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735" firstSheet="1" activeTab="2"/>
  </bookViews>
  <sheets>
    <sheet name="Chlorophyll" sheetId="4" r:id="rId1"/>
    <sheet name="Chamber Data" sheetId="1" r:id="rId2"/>
    <sheet name="Treatment Water Chem" sheetId="7" r:id="rId3"/>
    <sheet name="r.summary" sheetId="3" r:id="rId4"/>
    <sheet name="Sigmaplot Summary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T26" i="7" l="1"/>
  <c r="K26" i="7"/>
  <c r="F27" i="7"/>
  <c r="F26" i="7"/>
  <c r="C16" i="5" l="1"/>
  <c r="C15" i="5"/>
  <c r="C14" i="5"/>
  <c r="B16" i="5"/>
  <c r="B15" i="5"/>
  <c r="B14" i="5"/>
  <c r="C12" i="5" l="1"/>
  <c r="C11" i="5"/>
  <c r="C10" i="5"/>
  <c r="B12" i="5"/>
  <c r="B11" i="5"/>
  <c r="B10" i="5"/>
  <c r="C8" i="5"/>
  <c r="B8" i="5"/>
  <c r="C7" i="5"/>
  <c r="C6" i="5"/>
  <c r="B7" i="5"/>
  <c r="B6" i="5"/>
  <c r="X20" i="7" l="1"/>
  <c r="W5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1" i="7"/>
  <c r="X22" i="7"/>
  <c r="X23" i="7"/>
  <c r="X24" i="7"/>
  <c r="X25" i="7"/>
  <c r="X2" i="7"/>
  <c r="W3" i="7"/>
  <c r="W4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9" i="7"/>
  <c r="T8" i="7"/>
  <c r="T7" i="7"/>
  <c r="T6" i="7"/>
  <c r="T5" i="7"/>
  <c r="T4" i="7"/>
  <c r="T3" i="7"/>
  <c r="T2" i="7"/>
  <c r="M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10" i="7"/>
  <c r="L10" i="7"/>
  <c r="Q3" i="7" l="1"/>
  <c r="Q4" i="7"/>
  <c r="Q5" i="7"/>
  <c r="Q6" i="7"/>
  <c r="Q7" i="7"/>
  <c r="Q8" i="7"/>
  <c r="Q9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I11" i="7"/>
  <c r="G11" i="7"/>
  <c r="F10" i="7"/>
  <c r="E10" i="7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D62" i="4"/>
  <c r="D61" i="4"/>
  <c r="D60" i="4"/>
  <c r="D59" i="4"/>
  <c r="H22" i="4" s="1"/>
  <c r="I22" i="4" s="1"/>
  <c r="D58" i="4"/>
  <c r="D57" i="4"/>
  <c r="H20" i="4" s="1"/>
  <c r="I20" i="4" s="1"/>
  <c r="D56" i="4"/>
  <c r="D55" i="4"/>
  <c r="H18" i="4" s="1"/>
  <c r="I18" i="4" s="1"/>
  <c r="D54" i="4"/>
  <c r="D53" i="4"/>
  <c r="H16" i="4" s="1"/>
  <c r="I16" i="4" s="1"/>
  <c r="D52" i="4"/>
  <c r="D51" i="4"/>
  <c r="H14" i="4" s="1"/>
  <c r="I14" i="4" s="1"/>
  <c r="D50" i="4"/>
  <c r="D49" i="4"/>
  <c r="H4" i="4"/>
  <c r="I4" i="4" s="1"/>
  <c r="H12" i="4"/>
  <c r="I12" i="4" s="1"/>
  <c r="H13" i="4"/>
  <c r="I13" i="4"/>
  <c r="H15" i="4"/>
  <c r="I15" i="4"/>
  <c r="H17" i="4"/>
  <c r="I17" i="4"/>
  <c r="H19" i="4"/>
  <c r="I19" i="4"/>
  <c r="H21" i="4"/>
  <c r="I21" i="4"/>
  <c r="H23" i="4"/>
  <c r="I23" i="4" s="1"/>
  <c r="H24" i="4"/>
  <c r="I24" i="4" s="1"/>
  <c r="H25" i="4"/>
  <c r="I25" i="4"/>
  <c r="D39" i="4"/>
  <c r="H2" i="4" s="1"/>
  <c r="I2" i="4" s="1"/>
  <c r="B35" i="4"/>
  <c r="B36" i="4"/>
  <c r="D41" i="4" s="1"/>
  <c r="D40" i="4"/>
  <c r="H3" i="4" s="1"/>
  <c r="I3" i="4" s="1"/>
  <c r="D42" i="4"/>
  <c r="H5" i="4" s="1"/>
  <c r="I5" i="4" s="1"/>
  <c r="D43" i="4"/>
  <c r="H6" i="4" s="1"/>
  <c r="I6" i="4" s="1"/>
  <c r="D44" i="4"/>
  <c r="H7" i="4" s="1"/>
  <c r="I7" i="4" s="1"/>
  <c r="D46" i="4"/>
  <c r="H9" i="4" s="1"/>
  <c r="I9" i="4" s="1"/>
  <c r="D47" i="4"/>
  <c r="H10" i="4" s="1"/>
  <c r="I10" i="4" s="1"/>
  <c r="D48" i="4"/>
  <c r="H11" i="4" s="1"/>
  <c r="I11" i="4" s="1"/>
  <c r="D45" i="4" l="1"/>
  <c r="H8" i="4" s="1"/>
  <c r="I8" i="4" s="1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11" i="7"/>
  <c r="M3" i="7"/>
  <c r="M4" i="7"/>
  <c r="M5" i="7"/>
  <c r="M6" i="7"/>
  <c r="M7" i="7"/>
  <c r="M8" i="7"/>
  <c r="M9" i="7"/>
  <c r="M2" i="7"/>
  <c r="N8" i="7" l="1"/>
  <c r="N3" i="7"/>
  <c r="N2" i="7"/>
  <c r="D3" i="7"/>
  <c r="P3" i="7" s="1"/>
  <c r="D4" i="7"/>
  <c r="P4" i="7" s="1"/>
  <c r="D5" i="7"/>
  <c r="P5" i="7" s="1"/>
  <c r="D6" i="7"/>
  <c r="P6" i="7" s="1"/>
  <c r="D7" i="7"/>
  <c r="P7" i="7" s="1"/>
  <c r="D8" i="7"/>
  <c r="P8" i="7" s="1"/>
  <c r="D9" i="7"/>
  <c r="P9" i="7" s="1"/>
  <c r="D10" i="7"/>
  <c r="P10" i="7" s="1"/>
  <c r="D11" i="7"/>
  <c r="P11" i="7" s="1"/>
  <c r="D12" i="7"/>
  <c r="P12" i="7" s="1"/>
  <c r="D13" i="7"/>
  <c r="P13" i="7" s="1"/>
  <c r="D14" i="7"/>
  <c r="P14" i="7" s="1"/>
  <c r="D15" i="7"/>
  <c r="P15" i="7" s="1"/>
  <c r="D16" i="7"/>
  <c r="P16" i="7" s="1"/>
  <c r="D17" i="7"/>
  <c r="P17" i="7" s="1"/>
  <c r="D18" i="7"/>
  <c r="D19" i="7"/>
  <c r="D20" i="7"/>
  <c r="D21" i="7"/>
  <c r="D22" i="7"/>
  <c r="D23" i="7"/>
  <c r="D24" i="7"/>
  <c r="D25" i="7"/>
  <c r="D2" i="7"/>
  <c r="P2" i="7" s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F3" i="7"/>
  <c r="F4" i="7"/>
  <c r="F5" i="7"/>
  <c r="F6" i="7"/>
  <c r="F7" i="7"/>
  <c r="F8" i="7"/>
  <c r="F9" i="7"/>
  <c r="F2" i="7"/>
  <c r="I25" i="7" l="1"/>
  <c r="P25" i="7"/>
  <c r="I21" i="7"/>
  <c r="P21" i="7"/>
  <c r="I24" i="7"/>
  <c r="P24" i="7"/>
  <c r="I20" i="7"/>
  <c r="P20" i="7"/>
  <c r="N5" i="7"/>
  <c r="I23" i="7"/>
  <c r="P23" i="7"/>
  <c r="I19" i="7"/>
  <c r="P19" i="7"/>
  <c r="N7" i="7"/>
  <c r="N9" i="7"/>
  <c r="I22" i="7"/>
  <c r="P22" i="7"/>
  <c r="I18" i="7"/>
  <c r="P18" i="7"/>
  <c r="N6" i="7"/>
  <c r="N4" i="7"/>
  <c r="M24" i="7"/>
  <c r="N24" i="7" s="1"/>
  <c r="I12" i="7"/>
  <c r="M20" i="7"/>
  <c r="N20" i="7" s="1"/>
  <c r="G8" i="7"/>
  <c r="M16" i="7"/>
  <c r="N16" i="7" s="1"/>
  <c r="G4" i="7"/>
  <c r="M12" i="7"/>
  <c r="N12" i="7" s="1"/>
  <c r="I15" i="7"/>
  <c r="M23" i="7"/>
  <c r="N23" i="7" s="1"/>
  <c r="M19" i="7"/>
  <c r="N19" i="7" s="1"/>
  <c r="M15" i="7"/>
  <c r="N15" i="7" s="1"/>
  <c r="M11" i="7"/>
  <c r="N11" i="7" s="1"/>
  <c r="G2" i="7"/>
  <c r="N10" i="7"/>
  <c r="Q10" i="7" s="1"/>
  <c r="I14" i="7"/>
  <c r="M22" i="7"/>
  <c r="N22" i="7" s="1"/>
  <c r="G10" i="7"/>
  <c r="M18" i="7"/>
  <c r="N18" i="7" s="1"/>
  <c r="M14" i="7"/>
  <c r="N14" i="7" s="1"/>
  <c r="I16" i="7"/>
  <c r="I17" i="7"/>
  <c r="M25" i="7"/>
  <c r="N25" i="7" s="1"/>
  <c r="I13" i="7"/>
  <c r="M21" i="7"/>
  <c r="N21" i="7" s="1"/>
  <c r="I9" i="7"/>
  <c r="M17" i="7"/>
  <c r="N17" i="7" s="1"/>
  <c r="I5" i="7"/>
  <c r="M13" i="7"/>
  <c r="N13" i="7" s="1"/>
  <c r="G7" i="7"/>
  <c r="G3" i="7"/>
  <c r="G6" i="7"/>
  <c r="I4" i="7"/>
  <c r="I7" i="7"/>
  <c r="I6" i="7"/>
  <c r="I2" i="7"/>
  <c r="I10" i="7"/>
  <c r="I8" i="7"/>
  <c r="I3" i="7"/>
  <c r="G9" i="7"/>
  <c r="G5" i="7"/>
  <c r="F23" i="7"/>
  <c r="G23" i="7" s="1"/>
  <c r="F19" i="7"/>
  <c r="G19" i="7" s="1"/>
  <c r="F15" i="7"/>
  <c r="G15" i="7" s="1"/>
  <c r="F11" i="7"/>
  <c r="F22" i="7"/>
  <c r="G22" i="7" s="1"/>
  <c r="F18" i="7"/>
  <c r="G18" i="7" s="1"/>
  <c r="F14" i="7"/>
  <c r="G14" i="7" s="1"/>
  <c r="F25" i="7"/>
  <c r="G25" i="7" s="1"/>
  <c r="F21" i="7"/>
  <c r="G21" i="7" s="1"/>
  <c r="F17" i="7"/>
  <c r="G17" i="7" s="1"/>
  <c r="F13" i="7"/>
  <c r="G13" i="7" s="1"/>
  <c r="F24" i="7"/>
  <c r="G24" i="7" s="1"/>
  <c r="F20" i="7"/>
  <c r="G20" i="7" s="1"/>
  <c r="F16" i="7"/>
  <c r="G16" i="7" s="1"/>
  <c r="F12" i="7"/>
  <c r="G12" i="7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" i="3"/>
  <c r="D2" i="4"/>
  <c r="E9" i="4" s="1"/>
  <c r="J9" i="4" s="1"/>
  <c r="V10" i="1" l="1"/>
  <c r="L10" i="1"/>
  <c r="E23" i="4"/>
  <c r="E15" i="4"/>
  <c r="E3" i="4"/>
  <c r="J3" i="4" s="1"/>
  <c r="E22" i="4"/>
  <c r="E14" i="4"/>
  <c r="E6" i="4"/>
  <c r="J6" i="4" s="1"/>
  <c r="E25" i="4"/>
  <c r="E21" i="4"/>
  <c r="E17" i="4"/>
  <c r="E13" i="4"/>
  <c r="E5" i="4"/>
  <c r="J5" i="4" s="1"/>
  <c r="E24" i="4"/>
  <c r="E20" i="4"/>
  <c r="E16" i="4"/>
  <c r="E12" i="4"/>
  <c r="E8" i="4"/>
  <c r="J8" i="4" s="1"/>
  <c r="E4" i="4"/>
  <c r="J4" i="4" s="1"/>
  <c r="E11" i="4"/>
  <c r="J11" i="4" s="1"/>
  <c r="E2" i="4"/>
  <c r="J2" i="4" s="1"/>
  <c r="E19" i="4"/>
  <c r="E7" i="4"/>
  <c r="J7" i="4" s="1"/>
  <c r="E18" i="4"/>
  <c r="E10" i="4"/>
  <c r="J10" i="4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H3" i="1"/>
  <c r="I3" i="1" s="1"/>
  <c r="L8" i="1" l="1"/>
  <c r="V8" i="1"/>
  <c r="V13" i="1"/>
  <c r="L13" i="1"/>
  <c r="V6" i="1"/>
  <c r="L6" i="1"/>
  <c r="V26" i="1"/>
  <c r="L26" i="1"/>
  <c r="V4" i="1"/>
  <c r="L4" i="1"/>
  <c r="V20" i="1"/>
  <c r="L20" i="1"/>
  <c r="V3" i="1"/>
  <c r="L3" i="1"/>
  <c r="M3" i="1" s="1"/>
  <c r="V17" i="1"/>
  <c r="L17" i="1"/>
  <c r="V14" i="1"/>
  <c r="L14" i="1"/>
  <c r="V7" i="1"/>
  <c r="L7" i="1"/>
  <c r="V16" i="1"/>
  <c r="L16" i="1"/>
  <c r="V11" i="1"/>
  <c r="L11" i="1"/>
  <c r="V12" i="1"/>
  <c r="W12" i="1" s="1"/>
  <c r="Y12" i="1" s="1"/>
  <c r="C11" i="3" s="1"/>
  <c r="L12" i="1"/>
  <c r="V5" i="1"/>
  <c r="L5" i="1"/>
  <c r="V21" i="1"/>
  <c r="L21" i="1"/>
  <c r="V18" i="1"/>
  <c r="L18" i="1"/>
  <c r="L15" i="1"/>
  <c r="V15" i="1"/>
  <c r="V24" i="1"/>
  <c r="L24" i="1"/>
  <c r="V19" i="1"/>
  <c r="L19" i="1"/>
  <c r="V9" i="1"/>
  <c r="L9" i="1"/>
  <c r="V25" i="1"/>
  <c r="L25" i="1"/>
  <c r="V22" i="1"/>
  <c r="L22" i="1"/>
  <c r="V23" i="1"/>
  <c r="L23" i="1"/>
  <c r="W24" i="1"/>
  <c r="Y24" i="1" s="1"/>
  <c r="C23" i="3" s="1"/>
  <c r="K3" i="1"/>
  <c r="R4" i="1"/>
  <c r="S4" i="1" s="1"/>
  <c r="U4" i="1" s="1"/>
  <c r="R5" i="1"/>
  <c r="S5" i="1" s="1"/>
  <c r="U5" i="1" s="1"/>
  <c r="R6" i="1"/>
  <c r="S6" i="1" s="1"/>
  <c r="R7" i="1"/>
  <c r="S7" i="1" s="1"/>
  <c r="U7" i="1" s="1"/>
  <c r="R8" i="1"/>
  <c r="S8" i="1" s="1"/>
  <c r="U8" i="1" s="1"/>
  <c r="R9" i="1"/>
  <c r="S9" i="1" s="1"/>
  <c r="U9" i="1" s="1"/>
  <c r="R10" i="1"/>
  <c r="S10" i="1" s="1"/>
  <c r="U10" i="1" s="1"/>
  <c r="R11" i="1"/>
  <c r="S11" i="1" s="1"/>
  <c r="U11" i="1" s="1"/>
  <c r="R12" i="1"/>
  <c r="S12" i="1" s="1"/>
  <c r="U12" i="1" s="1"/>
  <c r="R13" i="1"/>
  <c r="S13" i="1" s="1"/>
  <c r="R14" i="1"/>
  <c r="S14" i="1" s="1"/>
  <c r="U14" i="1" s="1"/>
  <c r="R15" i="1"/>
  <c r="S15" i="1" s="1"/>
  <c r="U15" i="1" s="1"/>
  <c r="R16" i="1"/>
  <c r="S16" i="1" s="1"/>
  <c r="U16" i="1" s="1"/>
  <c r="R17" i="1"/>
  <c r="S17" i="1" s="1"/>
  <c r="R18" i="1"/>
  <c r="S18" i="1" s="1"/>
  <c r="U18" i="1" s="1"/>
  <c r="R19" i="1"/>
  <c r="S19" i="1" s="1"/>
  <c r="U19" i="1" s="1"/>
  <c r="R20" i="1"/>
  <c r="S20" i="1" s="1"/>
  <c r="U20" i="1" s="1"/>
  <c r="R21" i="1"/>
  <c r="S21" i="1" s="1"/>
  <c r="U21" i="1" s="1"/>
  <c r="R22" i="1"/>
  <c r="S22" i="1" s="1"/>
  <c r="R23" i="1"/>
  <c r="S23" i="1" s="1"/>
  <c r="U23" i="1" s="1"/>
  <c r="R24" i="1"/>
  <c r="S24" i="1" s="1"/>
  <c r="U24" i="1" s="1"/>
  <c r="R25" i="1"/>
  <c r="S25" i="1" s="1"/>
  <c r="U25" i="1" s="1"/>
  <c r="R26" i="1"/>
  <c r="S26" i="1" s="1"/>
  <c r="R3" i="1"/>
  <c r="S3" i="1" s="1"/>
  <c r="U3" i="1" s="1"/>
  <c r="W8" i="1" l="1"/>
  <c r="Y8" i="1" s="1"/>
  <c r="C7" i="3" s="1"/>
  <c r="W21" i="1"/>
  <c r="Y21" i="1" s="1"/>
  <c r="C20" i="3" s="1"/>
  <c r="W16" i="1"/>
  <c r="Y16" i="1" s="1"/>
  <c r="C15" i="3" s="1"/>
  <c r="U26" i="1"/>
  <c r="W26" i="1"/>
  <c r="Y26" i="1" s="1"/>
  <c r="C25" i="3" s="1"/>
  <c r="U22" i="1"/>
  <c r="W22" i="1"/>
  <c r="Y22" i="1" s="1"/>
  <c r="C21" i="3" s="1"/>
  <c r="U6" i="1"/>
  <c r="W6" i="1"/>
  <c r="Y6" i="1" s="1"/>
  <c r="C5" i="3" s="1"/>
  <c r="W18" i="1"/>
  <c r="Y18" i="1" s="1"/>
  <c r="C17" i="3" s="1"/>
  <c r="W19" i="1"/>
  <c r="Y19" i="1" s="1"/>
  <c r="U17" i="1"/>
  <c r="W17" i="1"/>
  <c r="Y17" i="1" s="1"/>
  <c r="C16" i="3" s="1"/>
  <c r="U13" i="1"/>
  <c r="W13" i="1"/>
  <c r="Y13" i="1" s="1"/>
  <c r="C12" i="3" s="1"/>
  <c r="W7" i="1"/>
  <c r="Y7" i="1" s="1"/>
  <c r="C6" i="3" s="1"/>
  <c r="W23" i="1"/>
  <c r="Y23" i="1" s="1"/>
  <c r="C22" i="3" s="1"/>
  <c r="W25" i="1"/>
  <c r="Y25" i="1" s="1"/>
  <c r="C24" i="3" s="1"/>
  <c r="W4" i="1"/>
  <c r="Y4" i="1" s="1"/>
  <c r="C3" i="3" s="1"/>
  <c r="W20" i="1"/>
  <c r="Y20" i="1" s="1"/>
  <c r="C19" i="3" s="1"/>
  <c r="W10" i="1"/>
  <c r="Y10" i="1" s="1"/>
  <c r="C9" i="3" s="1"/>
  <c r="W11" i="1"/>
  <c r="Y11" i="1" s="1"/>
  <c r="W3" i="1"/>
  <c r="W5" i="1"/>
  <c r="Y5" i="1" s="1"/>
  <c r="C4" i="3" s="1"/>
  <c r="W14" i="1"/>
  <c r="Y14" i="1" s="1"/>
  <c r="C13" i="3" s="1"/>
  <c r="W15" i="1"/>
  <c r="Y15" i="1" s="1"/>
  <c r="C14" i="3" s="1"/>
  <c r="W9" i="1"/>
  <c r="Y9" i="1" s="1"/>
  <c r="C8" i="3" s="1"/>
  <c r="H4" i="1"/>
  <c r="I4" i="1" s="1"/>
  <c r="M4" i="1" s="1"/>
  <c r="H5" i="1"/>
  <c r="I5" i="1" s="1"/>
  <c r="M5" i="1" s="1"/>
  <c r="X5" i="1" s="1"/>
  <c r="Z5" i="1" s="1"/>
  <c r="D4" i="3" s="1"/>
  <c r="H6" i="1"/>
  <c r="I6" i="1" s="1"/>
  <c r="M6" i="1" s="1"/>
  <c r="H7" i="1"/>
  <c r="I7" i="1" s="1"/>
  <c r="M7" i="1" s="1"/>
  <c r="H8" i="1"/>
  <c r="I8" i="1" s="1"/>
  <c r="M8" i="1" s="1"/>
  <c r="H9" i="1"/>
  <c r="I9" i="1" s="1"/>
  <c r="M9" i="1" s="1"/>
  <c r="H10" i="1"/>
  <c r="I10" i="1" s="1"/>
  <c r="M10" i="1" s="1"/>
  <c r="H11" i="1"/>
  <c r="I11" i="1" s="1"/>
  <c r="M11" i="1" s="1"/>
  <c r="H12" i="1"/>
  <c r="I12" i="1" s="1"/>
  <c r="M12" i="1" s="1"/>
  <c r="X12" i="1" s="1"/>
  <c r="Z12" i="1" s="1"/>
  <c r="D11" i="3" s="1"/>
  <c r="H13" i="1"/>
  <c r="I13" i="1" s="1"/>
  <c r="M13" i="1" s="1"/>
  <c r="H14" i="1"/>
  <c r="I14" i="1" s="1"/>
  <c r="M14" i="1" s="1"/>
  <c r="H15" i="1"/>
  <c r="I15" i="1" s="1"/>
  <c r="M15" i="1" s="1"/>
  <c r="H16" i="1"/>
  <c r="I16" i="1" s="1"/>
  <c r="M16" i="1" s="1"/>
  <c r="H17" i="1"/>
  <c r="I17" i="1" s="1"/>
  <c r="M17" i="1" s="1"/>
  <c r="X17" i="1" s="1"/>
  <c r="Z17" i="1" s="1"/>
  <c r="D16" i="3" s="1"/>
  <c r="H18" i="1"/>
  <c r="I18" i="1" s="1"/>
  <c r="M18" i="1" s="1"/>
  <c r="X18" i="1" s="1"/>
  <c r="Z18" i="1" s="1"/>
  <c r="D17" i="3" s="1"/>
  <c r="H19" i="1"/>
  <c r="I19" i="1" s="1"/>
  <c r="M19" i="1" s="1"/>
  <c r="X19" i="1" s="1"/>
  <c r="Z19" i="1" s="1"/>
  <c r="H20" i="1"/>
  <c r="I20" i="1" s="1"/>
  <c r="M20" i="1" s="1"/>
  <c r="X20" i="1" s="1"/>
  <c r="Z20" i="1" s="1"/>
  <c r="D19" i="3" s="1"/>
  <c r="H21" i="1"/>
  <c r="I21" i="1" s="1"/>
  <c r="M21" i="1" s="1"/>
  <c r="H22" i="1"/>
  <c r="I22" i="1" s="1"/>
  <c r="M22" i="1" s="1"/>
  <c r="H23" i="1"/>
  <c r="I23" i="1" s="1"/>
  <c r="M23" i="1" s="1"/>
  <c r="H24" i="1"/>
  <c r="I24" i="1" s="1"/>
  <c r="M24" i="1" s="1"/>
  <c r="X24" i="1" s="1"/>
  <c r="Z24" i="1" s="1"/>
  <c r="D23" i="3" s="1"/>
  <c r="H25" i="1"/>
  <c r="I25" i="1" s="1"/>
  <c r="M25" i="1" s="1"/>
  <c r="H26" i="1"/>
  <c r="I26" i="1" s="1"/>
  <c r="M26" i="1" s="1"/>
  <c r="X25" i="1" l="1"/>
  <c r="Z25" i="1" s="1"/>
  <c r="D24" i="3" s="1"/>
  <c r="X21" i="1"/>
  <c r="Z21" i="1" s="1"/>
  <c r="D20" i="3" s="1"/>
  <c r="X8" i="1"/>
  <c r="Z8" i="1" s="1"/>
  <c r="D7" i="3" s="1"/>
  <c r="X16" i="1"/>
  <c r="Z16" i="1" s="1"/>
  <c r="D15" i="3" s="1"/>
  <c r="X4" i="1"/>
  <c r="Z4" i="1" s="1"/>
  <c r="D3" i="3" s="1"/>
  <c r="X22" i="1"/>
  <c r="Z22" i="1" s="1"/>
  <c r="D21" i="3" s="1"/>
  <c r="X13" i="1"/>
  <c r="Z13" i="1" s="1"/>
  <c r="D12" i="3" s="1"/>
  <c r="X9" i="1"/>
  <c r="Z9" i="1" s="1"/>
  <c r="D8" i="3" s="1"/>
  <c r="X23" i="1"/>
  <c r="Z23" i="1" s="1"/>
  <c r="D22" i="3" s="1"/>
  <c r="D18" i="3"/>
  <c r="X15" i="1"/>
  <c r="Z15" i="1" s="1"/>
  <c r="D14" i="3" s="1"/>
  <c r="X11" i="1"/>
  <c r="Z11" i="1" s="1"/>
  <c r="X7" i="1"/>
  <c r="Z7" i="1" s="1"/>
  <c r="D6" i="3" s="1"/>
  <c r="Y3" i="1"/>
  <c r="X3" i="1"/>
  <c r="Z3" i="1" s="1"/>
  <c r="C18" i="3"/>
  <c r="C4" i="5"/>
  <c r="B4" i="5"/>
  <c r="X26" i="1"/>
  <c r="Z26" i="1" s="1"/>
  <c r="D25" i="3" s="1"/>
  <c r="X14" i="1"/>
  <c r="Z14" i="1" s="1"/>
  <c r="D13" i="3" s="1"/>
  <c r="X10" i="1"/>
  <c r="Z10" i="1" s="1"/>
  <c r="D9" i="3" s="1"/>
  <c r="X6" i="1"/>
  <c r="Z6" i="1" s="1"/>
  <c r="D5" i="3" s="1"/>
  <c r="C10" i="3"/>
  <c r="C3" i="5"/>
  <c r="B3" i="5"/>
  <c r="K26" i="1"/>
  <c r="K22" i="1"/>
  <c r="K18" i="1"/>
  <c r="K14" i="1"/>
  <c r="K10" i="1"/>
  <c r="K6" i="1"/>
  <c r="K25" i="1"/>
  <c r="K21" i="1"/>
  <c r="K17" i="1"/>
  <c r="K13" i="1"/>
  <c r="K9" i="1"/>
  <c r="K5" i="1"/>
  <c r="K24" i="1"/>
  <c r="K20" i="1"/>
  <c r="K16" i="1"/>
  <c r="K12" i="1"/>
  <c r="K8" i="1"/>
  <c r="K4" i="1"/>
  <c r="K23" i="1"/>
  <c r="K19" i="1"/>
  <c r="K15" i="1"/>
  <c r="K11" i="1"/>
  <c r="K7" i="1"/>
  <c r="D4" i="5" l="1"/>
  <c r="D10" i="3"/>
  <c r="E3" i="5"/>
  <c r="D3" i="5"/>
  <c r="C2" i="5"/>
  <c r="B2" i="5"/>
  <c r="C2" i="3"/>
  <c r="E4" i="5"/>
  <c r="D2" i="3"/>
  <c r="D2" i="5"/>
  <c r="E2" i="5"/>
</calcChain>
</file>

<file path=xl/sharedStrings.xml><?xml version="1.0" encoding="utf-8"?>
<sst xmlns="http://schemas.openxmlformats.org/spreadsheetml/2006/main" count="184" uniqueCount="80">
  <si>
    <t>NPP</t>
  </si>
  <si>
    <t>CR</t>
  </si>
  <si>
    <t>NDS ID</t>
  </si>
  <si>
    <t xml:space="preserve">Nutrient </t>
  </si>
  <si>
    <t>start time</t>
  </si>
  <si>
    <t>start O2 (mg/L)</t>
  </si>
  <si>
    <t>end time</t>
  </si>
  <si>
    <t>end O2 (mg/L)</t>
  </si>
  <si>
    <t>Total Time (hms)</t>
  </si>
  <si>
    <t>Total Time (h)</t>
  </si>
  <si>
    <t>Change in O2 (ug)</t>
  </si>
  <si>
    <t>Change in O2 (ug/h)</t>
  </si>
  <si>
    <t>area (cm2)</t>
  </si>
  <si>
    <t>C</t>
  </si>
  <si>
    <t>L</t>
  </si>
  <si>
    <t>F</t>
  </si>
  <si>
    <t>nutrient</t>
  </si>
  <si>
    <t>cr.area</t>
  </si>
  <si>
    <t>gpp.area</t>
  </si>
  <si>
    <t>Volume water (mL)</t>
  </si>
  <si>
    <t>Chamber</t>
  </si>
  <si>
    <t>Mass of foil (g)</t>
  </si>
  <si>
    <t>Area of Known (cm2)</t>
  </si>
  <si>
    <t>Mass of Known (g)</t>
  </si>
  <si>
    <t>Area of Unknown (cm2)</t>
  </si>
  <si>
    <r>
      <t>NPP (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g O2 m-2 h-1)</t>
    </r>
  </si>
  <si>
    <r>
      <t>CR (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g O2 m-2 h-1)</t>
    </r>
  </si>
  <si>
    <r>
      <t>GPP (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g O2 m-2 h-1)</t>
    </r>
  </si>
  <si>
    <t>Corrected CR (mg O2 m-2 h-1)</t>
  </si>
  <si>
    <t>Corrected GPP (mg O2 m-2 h-1)</t>
  </si>
  <si>
    <t>chamber.id</t>
  </si>
  <si>
    <t>se</t>
  </si>
  <si>
    <t>GPP</t>
  </si>
  <si>
    <t>Control</t>
  </si>
  <si>
    <t>Frass</t>
  </si>
  <si>
    <t>Litter</t>
  </si>
  <si>
    <t>Final SRP (ug P L-1)</t>
  </si>
  <si>
    <t>Treatment</t>
  </si>
  <si>
    <t>Volume Added (mL)</t>
  </si>
  <si>
    <t>SRP Initial Chamber Concentration (ug P L-1)</t>
  </si>
  <si>
    <t>NH4+ Initial Chamber Concentration (ug N L-1)</t>
  </si>
  <si>
    <t>Final NH4+ (ug N L-1)</t>
  </si>
  <si>
    <t>x</t>
  </si>
  <si>
    <t>Volume Water in Chamber (mL)</t>
  </si>
  <si>
    <t>Mass P Added (ug)</t>
  </si>
  <si>
    <t>SRP Initial Mass (ug)</t>
  </si>
  <si>
    <t>SRP Final Mass (ug)</t>
  </si>
  <si>
    <t>Change in P (ug)</t>
  </si>
  <si>
    <t>Mass N added (ug)</t>
  </si>
  <si>
    <t>Initial Concentration (ug P L-1)</t>
  </si>
  <si>
    <t>Initial NH4 Concentration (ug N L-1)</t>
  </si>
  <si>
    <t>Initial NH4 Mass (ug)</t>
  </si>
  <si>
    <t>NH4 Final Mass</t>
  </si>
  <si>
    <t>Change in NH4 (ug)</t>
  </si>
  <si>
    <t>Subsample Volume (mL)</t>
  </si>
  <si>
    <t>Total Volume (mL)</t>
  </si>
  <si>
    <t>Subsample Chl a (ug)</t>
  </si>
  <si>
    <t>Total Sample Chl a (ug)</t>
  </si>
  <si>
    <t>Chl a (ug cm-2)</t>
  </si>
  <si>
    <t>chl a (mg/L)</t>
  </si>
  <si>
    <t>RFU</t>
  </si>
  <si>
    <t>blank</t>
  </si>
  <si>
    <t>slope</t>
  </si>
  <si>
    <t>intercept</t>
  </si>
  <si>
    <t>sample</t>
  </si>
  <si>
    <t>dilution correction</t>
  </si>
  <si>
    <t>mg/L</t>
  </si>
  <si>
    <t>chla</t>
  </si>
  <si>
    <t>Initial DOC Concentration (mg C L-1)</t>
  </si>
  <si>
    <t>Mass C added (mg)</t>
  </si>
  <si>
    <t>DOC Initial Chamber Concentration (mg C L-1)</t>
  </si>
  <si>
    <t>Initial DOC Mass (mg)</t>
  </si>
  <si>
    <t>Final DOC (mg C L-1)</t>
  </si>
  <si>
    <t>NH4 Final Mass (mg)</t>
  </si>
  <si>
    <t>Change in DOC (mg)</t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</si>
  <si>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-N</t>
    </r>
  </si>
  <si>
    <t>SRP</t>
  </si>
  <si>
    <t>DOC</t>
  </si>
  <si>
    <t>L average</t>
  </si>
  <si>
    <t>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</si>
</sst>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NumberFormat="1" applyFont="1"/>
    <xf numFmtId="2" fontId="2" fillId="0" borderId="0" xfId="0" applyNumberFormat="1" applyFont="1"/>
    <xf numFmtId="0" fontId="2" fillId="0" borderId="0" xfId="0" applyFont="1" applyFill="1"/>
    <xf numFmtId="2" fontId="1" fillId="0" borderId="0" xfId="0" applyNumberFormat="1" applyFont="1" applyFill="1"/>
    <xf numFmtId="21" fontId="0" fillId="0" borderId="0" xfId="0" applyNumberFormat="1"/>
    <xf numFmtId="2" fontId="0" fillId="0" borderId="0" xfId="0" applyNumberFormat="1"/>
    <xf numFmtId="2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46" fontId="0" fillId="0" borderId="0" xfId="0" applyNumberFormat="1"/>
    <xf numFmtId="21" fontId="0" fillId="0" borderId="0" xfId="0" applyNumberFormat="1" applyFill="1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" fontId="1" fillId="3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07589676290465"/>
                  <c:y val="-0.25018773694954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[1]Chloropyll!$A$18:$A$22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[1]Chloropyll!$B$18:$B$22</c:f>
              <c:numCache>
                <c:formatCode>General</c:formatCode>
                <c:ptCount val="5"/>
                <c:pt idx="0">
                  <c:v>440.3</c:v>
                </c:pt>
                <c:pt idx="1">
                  <c:v>799.21</c:v>
                </c:pt>
                <c:pt idx="2">
                  <c:v>2564.08</c:v>
                </c:pt>
                <c:pt idx="3">
                  <c:v>5736.22</c:v>
                </c:pt>
                <c:pt idx="4">
                  <c:v>9847.69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34664"/>
        <c:axId val="187414432"/>
      </c:scatterChart>
      <c:valAx>
        <c:axId val="1870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4432"/>
        <c:crosses val="autoZero"/>
        <c:crossBetween val="midCat"/>
      </c:valAx>
      <c:valAx>
        <c:axId val="1874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26</xdr:row>
      <xdr:rowOff>147637</xdr:rowOff>
    </xdr:from>
    <xdr:to>
      <xdr:col>7</xdr:col>
      <xdr:colOff>614362</xdr:colOff>
      <xdr:row>41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angoC\Dropbox\Spruce%20Budworm\Data\Stand%20Up%20Creek\Stand%20Up%20Whole%20Stream%20Uptak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Uptake"/>
      <sheetName val="NH4 Uptake"/>
      <sheetName val="Fluorometric NH4"/>
      <sheetName val="Canopy Cover"/>
      <sheetName val="Benthic Cover"/>
      <sheetName val="FBOM"/>
      <sheetName val="Chloropyll"/>
    </sheetNames>
    <sheetDataSet>
      <sheetData sheetId="0"/>
      <sheetData sheetId="1"/>
      <sheetData sheetId="2"/>
      <sheetData sheetId="3"/>
      <sheetData sheetId="4"/>
      <sheetData sheetId="5"/>
      <sheetData sheetId="6">
        <row r="18">
          <cell r="A18">
            <v>2.5000000000000001E-2</v>
          </cell>
          <cell r="B18">
            <v>440.3</v>
          </cell>
        </row>
        <row r="19">
          <cell r="A19">
            <v>0.05</v>
          </cell>
          <cell r="B19">
            <v>799.21</v>
          </cell>
        </row>
        <row r="20">
          <cell r="A20">
            <v>0.25</v>
          </cell>
          <cell r="B20">
            <v>2564.08</v>
          </cell>
        </row>
        <row r="21">
          <cell r="A21">
            <v>0.5</v>
          </cell>
          <cell r="B21">
            <v>5736.22</v>
          </cell>
        </row>
        <row r="22">
          <cell r="A22">
            <v>1</v>
          </cell>
          <cell r="B22">
            <v>9847.69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C1" workbookViewId="0">
      <selection activeCell="I30" sqref="I30"/>
    </sheetView>
  </sheetViews>
  <sheetFormatPr defaultRowHeight="15" x14ac:dyDescent="0.25"/>
  <cols>
    <col min="2" max="2" width="14.140625" bestFit="1" customWidth="1"/>
    <col min="3" max="3" width="17.85546875" bestFit="1" customWidth="1"/>
    <col min="4" max="4" width="19.7109375" bestFit="1" customWidth="1"/>
    <col min="5" max="5" width="22.140625" bestFit="1" customWidth="1"/>
    <col min="6" max="6" width="23" bestFit="1" customWidth="1"/>
    <col min="7" max="7" width="17.5703125" bestFit="1" customWidth="1"/>
    <col min="8" max="8" width="19.7109375" bestFit="1" customWidth="1"/>
    <col min="9" max="9" width="21.5703125" bestFit="1" customWidth="1"/>
    <col min="10" max="10" width="14.140625" bestFit="1" customWidth="1"/>
  </cols>
  <sheetData>
    <row r="1" spans="1:10" x14ac:dyDescent="0.25">
      <c r="A1" s="1" t="s">
        <v>20</v>
      </c>
      <c r="B1" s="1" t="s">
        <v>21</v>
      </c>
      <c r="C1" s="1" t="s">
        <v>23</v>
      </c>
      <c r="D1" s="1" t="s">
        <v>22</v>
      </c>
      <c r="E1" s="1" t="s">
        <v>24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</row>
    <row r="2" spans="1:10" x14ac:dyDescent="0.25">
      <c r="A2">
        <v>1</v>
      </c>
      <c r="B2">
        <v>0.57699999999999996</v>
      </c>
      <c r="C2">
        <v>3.8677999999999999</v>
      </c>
      <c r="D2">
        <f>(12*2.54)*30</f>
        <v>914.4</v>
      </c>
      <c r="E2">
        <f>B2*($D$2/$C$2)</f>
        <v>136.41056931589017</v>
      </c>
      <c r="F2" s="12">
        <v>10</v>
      </c>
      <c r="G2">
        <v>80</v>
      </c>
      <c r="H2">
        <f>Chlorophyll!D39</f>
        <v>0.32190619876438686</v>
      </c>
      <c r="I2">
        <f>(((H2*0.01)*1000)/F2)*G2</f>
        <v>25.752495901150951</v>
      </c>
      <c r="J2">
        <f>I2/E2</f>
        <v>0.18878666096257615</v>
      </c>
    </row>
    <row r="3" spans="1:10" x14ac:dyDescent="0.25">
      <c r="A3">
        <v>2</v>
      </c>
      <c r="B3">
        <v>0.81530000000000002</v>
      </c>
      <c r="E3">
        <f t="shared" ref="E3:E25" si="0">B3*($D$2/$C$2)</f>
        <v>192.74789802988781</v>
      </c>
      <c r="F3">
        <v>15</v>
      </c>
      <c r="G3">
        <v>95</v>
      </c>
      <c r="H3">
        <f>Chlorophyll!D40</f>
        <v>0.40380165534983409</v>
      </c>
      <c r="I3">
        <f t="shared" ref="I3:I25" si="1">(((H3*0.01)*1000)/F3)*G3</f>
        <v>25.574104838822826</v>
      </c>
      <c r="J3">
        <f t="shared" ref="J3:J25" si="2">I3/E3</f>
        <v>0.13268162766090069</v>
      </c>
    </row>
    <row r="4" spans="1:10" x14ac:dyDescent="0.25">
      <c r="A4">
        <v>3</v>
      </c>
      <c r="B4">
        <v>0.6905</v>
      </c>
      <c r="E4">
        <f t="shared" si="0"/>
        <v>163.24349759553235</v>
      </c>
      <c r="F4">
        <v>10</v>
      </c>
      <c r="G4">
        <v>90</v>
      </c>
      <c r="H4">
        <f>Chlorophyll!D41</f>
        <v>0.63323449752150041</v>
      </c>
      <c r="I4">
        <f t="shared" si="1"/>
        <v>56.991104776935046</v>
      </c>
      <c r="J4">
        <f t="shared" si="2"/>
        <v>0.34911715085976436</v>
      </c>
    </row>
    <row r="5" spans="1:10" x14ac:dyDescent="0.25">
      <c r="A5">
        <v>4</v>
      </c>
      <c r="B5">
        <v>1.0942000000000001</v>
      </c>
      <c r="E5">
        <f t="shared" si="0"/>
        <v>258.68361342365171</v>
      </c>
      <c r="F5">
        <v>10</v>
      </c>
      <c r="G5">
        <v>70</v>
      </c>
      <c r="H5">
        <f>Chlorophyll!D42</f>
        <v>0.45971649847848411</v>
      </c>
      <c r="I5">
        <f t="shared" si="1"/>
        <v>32.180154893493892</v>
      </c>
      <c r="J5">
        <f t="shared" si="2"/>
        <v>0.12439966516468812</v>
      </c>
    </row>
    <row r="6" spans="1:10" x14ac:dyDescent="0.25">
      <c r="A6">
        <v>5</v>
      </c>
      <c r="B6">
        <v>0.59870000000000001</v>
      </c>
      <c r="E6">
        <f t="shared" si="0"/>
        <v>141.54074150679975</v>
      </c>
      <c r="F6">
        <v>15</v>
      </c>
      <c r="G6">
        <v>60</v>
      </c>
      <c r="H6">
        <f>Chlorophyll!D43</f>
        <v>0.32920305193970861</v>
      </c>
      <c r="I6">
        <f t="shared" si="1"/>
        <v>13.168122077588345</v>
      </c>
      <c r="J6">
        <f t="shared" si="2"/>
        <v>9.3034146475456589E-2</v>
      </c>
    </row>
    <row r="7" spans="1:10" x14ac:dyDescent="0.25">
      <c r="A7">
        <v>6</v>
      </c>
      <c r="B7">
        <v>0.93669999999999998</v>
      </c>
      <c r="E7">
        <f t="shared" si="0"/>
        <v>221.44849268317907</v>
      </c>
      <c r="F7">
        <v>10</v>
      </c>
      <c r="G7">
        <v>65</v>
      </c>
      <c r="H7">
        <f>Chlorophyll!D44</f>
        <v>0.63600531158399776</v>
      </c>
      <c r="I7">
        <f t="shared" si="1"/>
        <v>41.340345252959857</v>
      </c>
      <c r="J7">
        <f t="shared" si="2"/>
        <v>0.18668153823067324</v>
      </c>
    </row>
    <row r="8" spans="1:10" x14ac:dyDescent="0.25">
      <c r="A8">
        <v>7</v>
      </c>
      <c r="B8">
        <v>0.94499999999999995</v>
      </c>
      <c r="E8">
        <f t="shared" si="0"/>
        <v>223.41072444283571</v>
      </c>
      <c r="F8">
        <v>15</v>
      </c>
      <c r="G8">
        <v>80</v>
      </c>
      <c r="H8">
        <f>Chlorophyll!D45</f>
        <v>0.2013383436124726</v>
      </c>
      <c r="I8">
        <f t="shared" si="1"/>
        <v>10.738044992665207</v>
      </c>
      <c r="J8">
        <f t="shared" si="2"/>
        <v>4.806414293425184E-2</v>
      </c>
    </row>
    <row r="9" spans="1:10" x14ac:dyDescent="0.25">
      <c r="A9">
        <v>8</v>
      </c>
      <c r="B9">
        <v>0.50539999999999996</v>
      </c>
      <c r="E9">
        <f t="shared" si="0"/>
        <v>119.4833652205388</v>
      </c>
      <c r="F9">
        <v>10</v>
      </c>
      <c r="G9">
        <v>60</v>
      </c>
      <c r="H9">
        <f>Chlorophyll!D46</f>
        <v>0.3512669796909838</v>
      </c>
      <c r="I9">
        <f t="shared" si="1"/>
        <v>21.076018781459027</v>
      </c>
      <c r="J9">
        <f t="shared" si="2"/>
        <v>0.17639291245737468</v>
      </c>
    </row>
    <row r="10" spans="1:10" x14ac:dyDescent="0.25">
      <c r="A10">
        <v>9</v>
      </c>
      <c r="B10">
        <v>0.68799999999999994</v>
      </c>
      <c r="E10">
        <f t="shared" si="0"/>
        <v>162.65246393298514</v>
      </c>
      <c r="F10">
        <v>10</v>
      </c>
      <c r="G10">
        <v>60</v>
      </c>
      <c r="H10">
        <f>Chlorophyll!D47</f>
        <v>0.13235625519389591</v>
      </c>
      <c r="I10">
        <f t="shared" si="1"/>
        <v>7.9413753116337542</v>
      </c>
      <c r="J10">
        <f t="shared" si="2"/>
        <v>4.8824193126921829E-2</v>
      </c>
    </row>
    <row r="11" spans="1:10" x14ac:dyDescent="0.25">
      <c r="A11">
        <v>10</v>
      </c>
      <c r="B11">
        <v>0.75070000000000003</v>
      </c>
      <c r="E11">
        <f t="shared" si="0"/>
        <v>177.47558818966854</v>
      </c>
      <c r="F11">
        <v>10</v>
      </c>
      <c r="G11">
        <v>90</v>
      </c>
      <c r="H11">
        <f>Chlorophyll!D48</f>
        <v>0.18275101299477894</v>
      </c>
      <c r="I11">
        <f t="shared" si="1"/>
        <v>16.447591169530106</v>
      </c>
      <c r="J11">
        <f t="shared" si="2"/>
        <v>9.2675231209559533E-2</v>
      </c>
    </row>
    <row r="12" spans="1:10" x14ac:dyDescent="0.25">
      <c r="A12">
        <v>11</v>
      </c>
      <c r="B12">
        <v>0.7046</v>
      </c>
      <c r="E12">
        <f t="shared" si="0"/>
        <v>166.57692745229846</v>
      </c>
      <c r="F12">
        <v>10</v>
      </c>
      <c r="G12">
        <v>85</v>
      </c>
      <c r="H12">
        <f>Chlorophyll!D49</f>
        <v>0.30277209143610045</v>
      </c>
      <c r="I12">
        <f t="shared" si="1"/>
        <v>25.73562777206854</v>
      </c>
      <c r="J12">
        <f t="shared" si="2"/>
        <v>0.15449695324364943</v>
      </c>
    </row>
    <row r="13" spans="1:10" x14ac:dyDescent="0.25">
      <c r="A13">
        <v>12</v>
      </c>
      <c r="B13">
        <v>1.0410999999999999</v>
      </c>
      <c r="E13">
        <f t="shared" si="0"/>
        <v>246.13005843114948</v>
      </c>
      <c r="F13">
        <v>10</v>
      </c>
      <c r="G13">
        <v>90</v>
      </c>
      <c r="H13">
        <f>Chlorophyll!D50</f>
        <v>0.24463218510805873</v>
      </c>
      <c r="I13">
        <f t="shared" si="1"/>
        <v>22.016896659725287</v>
      </c>
      <c r="J13">
        <f t="shared" si="2"/>
        <v>8.9452287136575492E-2</v>
      </c>
    </row>
    <row r="14" spans="1:10" x14ac:dyDescent="0.25">
      <c r="A14">
        <v>13</v>
      </c>
      <c r="B14">
        <v>0.81979999999999997</v>
      </c>
      <c r="E14">
        <f t="shared" si="0"/>
        <v>193.81175862247272</v>
      </c>
      <c r="F14">
        <v>15</v>
      </c>
      <c r="G14">
        <v>75</v>
      </c>
      <c r="H14">
        <f>Chlorophyll!D51</f>
        <v>0.17316549407586901</v>
      </c>
      <c r="I14">
        <f t="shared" si="1"/>
        <v>8.6582747037934507</v>
      </c>
      <c r="J14">
        <f t="shared" si="2"/>
        <v>4.467362953276207E-2</v>
      </c>
    </row>
    <row r="15" spans="1:10" x14ac:dyDescent="0.25">
      <c r="A15">
        <v>14</v>
      </c>
      <c r="B15">
        <v>0.30990000000000001</v>
      </c>
      <c r="E15">
        <f t="shared" si="0"/>
        <v>73.264532809348992</v>
      </c>
      <c r="F15">
        <v>10</v>
      </c>
      <c r="G15">
        <v>75</v>
      </c>
      <c r="H15">
        <f>Chlorophyll!D52</f>
        <v>0.27112777400335047</v>
      </c>
      <c r="I15">
        <f t="shared" si="1"/>
        <v>20.334583050251286</v>
      </c>
      <c r="J15">
        <f t="shared" si="2"/>
        <v>0.27755016336713023</v>
      </c>
    </row>
    <row r="16" spans="1:10" x14ac:dyDescent="0.25">
      <c r="A16">
        <v>15</v>
      </c>
      <c r="B16">
        <v>0.91859999999999997</v>
      </c>
      <c r="E16">
        <f t="shared" si="0"/>
        <v>217.16940896633744</v>
      </c>
      <c r="F16">
        <v>12</v>
      </c>
      <c r="G16">
        <v>105</v>
      </c>
      <c r="H16">
        <f>Chlorophyll!D53</f>
        <v>0.30310651771687575</v>
      </c>
      <c r="I16">
        <f t="shared" si="1"/>
        <v>26.521820300226626</v>
      </c>
      <c r="J16">
        <f t="shared" si="2"/>
        <v>0.1221250286882609</v>
      </c>
    </row>
    <row r="17" spans="1:10" x14ac:dyDescent="0.25">
      <c r="A17">
        <v>16</v>
      </c>
      <c r="B17">
        <v>0.77639999999999998</v>
      </c>
      <c r="E17">
        <f t="shared" si="0"/>
        <v>183.5514142406536</v>
      </c>
      <c r="F17">
        <v>10</v>
      </c>
      <c r="G17">
        <v>90</v>
      </c>
      <c r="H17">
        <f>Chlorophyll!D54</f>
        <v>0.43570140880685715</v>
      </c>
      <c r="I17">
        <f t="shared" si="1"/>
        <v>39.213126792617146</v>
      </c>
      <c r="J17">
        <f t="shared" si="2"/>
        <v>0.21363565600864812</v>
      </c>
    </row>
    <row r="18" spans="1:10" x14ac:dyDescent="0.25">
      <c r="A18">
        <v>17</v>
      </c>
      <c r="B18">
        <v>0.67459999999999998</v>
      </c>
      <c r="E18">
        <f t="shared" si="0"/>
        <v>159.48452350173224</v>
      </c>
      <c r="F18">
        <v>10</v>
      </c>
      <c r="G18">
        <v>110</v>
      </c>
      <c r="H18">
        <f>Chlorophyll!D55</f>
        <v>0.35373414289731708</v>
      </c>
      <c r="I18">
        <f t="shared" si="1"/>
        <v>38.910755718704884</v>
      </c>
      <c r="J18">
        <f t="shared" si="2"/>
        <v>0.24397825484478597</v>
      </c>
    </row>
    <row r="19" spans="1:10" x14ac:dyDescent="0.25">
      <c r="A19">
        <v>18</v>
      </c>
      <c r="B19">
        <v>0.52700000000000002</v>
      </c>
      <c r="E19">
        <f t="shared" si="0"/>
        <v>124.58989606494649</v>
      </c>
      <c r="F19">
        <v>10</v>
      </c>
      <c r="G19">
        <v>80</v>
      </c>
      <c r="H19">
        <f>Chlorophyll!D56</f>
        <v>0.26028354021784139</v>
      </c>
      <c r="I19">
        <f t="shared" si="1"/>
        <v>20.822683217427311</v>
      </c>
      <c r="J19">
        <f t="shared" si="2"/>
        <v>0.16712979041713638</v>
      </c>
    </row>
    <row r="20" spans="1:10" x14ac:dyDescent="0.25">
      <c r="A20">
        <v>19</v>
      </c>
      <c r="B20">
        <v>0.78139999999999998</v>
      </c>
      <c r="E20">
        <f t="shared" si="0"/>
        <v>184.73348156574798</v>
      </c>
      <c r="F20">
        <v>10</v>
      </c>
      <c r="G20">
        <v>110</v>
      </c>
      <c r="H20">
        <f>Chlorophyll!D57</f>
        <v>0.43657543086581602</v>
      </c>
      <c r="I20">
        <f t="shared" si="1"/>
        <v>48.023297395239759</v>
      </c>
      <c r="J20">
        <f t="shared" si="2"/>
        <v>0.25995990000409275</v>
      </c>
    </row>
    <row r="21" spans="1:10" x14ac:dyDescent="0.25">
      <c r="A21">
        <v>20</v>
      </c>
      <c r="B21">
        <v>0.83460000000000001</v>
      </c>
      <c r="E21">
        <f t="shared" si="0"/>
        <v>197.31067790475205</v>
      </c>
      <c r="F21">
        <v>13</v>
      </c>
      <c r="G21">
        <v>120</v>
      </c>
      <c r="H21">
        <f>Chlorophyll!D58</f>
        <v>0.27246958251639997</v>
      </c>
      <c r="I21">
        <f t="shared" si="1"/>
        <v>25.15103838612923</v>
      </c>
      <c r="J21">
        <f t="shared" si="2"/>
        <v>0.12746922089168641</v>
      </c>
    </row>
    <row r="22" spans="1:10" x14ac:dyDescent="0.25">
      <c r="A22">
        <v>21</v>
      </c>
      <c r="B22">
        <v>0.66259999999999997</v>
      </c>
      <c r="E22">
        <f t="shared" si="0"/>
        <v>156.64756192150577</v>
      </c>
      <c r="F22">
        <v>15</v>
      </c>
      <c r="G22">
        <v>90</v>
      </c>
      <c r="H22">
        <f>Chlorophyll!D59</f>
        <v>0.22834377870882366</v>
      </c>
      <c r="I22">
        <f t="shared" si="1"/>
        <v>13.700626722529419</v>
      </c>
      <c r="J22">
        <f t="shared" si="2"/>
        <v>8.7461474372608747E-2</v>
      </c>
    </row>
    <row r="23" spans="1:10" x14ac:dyDescent="0.25">
      <c r="A23">
        <v>22</v>
      </c>
      <c r="B23">
        <v>0.62670000000000003</v>
      </c>
      <c r="E23">
        <f t="shared" si="0"/>
        <v>148.1603185273282</v>
      </c>
      <c r="F23">
        <v>10</v>
      </c>
      <c r="G23">
        <v>100</v>
      </c>
      <c r="H23">
        <f>Chlorophyll!D60</f>
        <v>9.4474785039937434E-2</v>
      </c>
      <c r="I23">
        <f t="shared" si="1"/>
        <v>9.447478503993743</v>
      </c>
      <c r="J23">
        <f t="shared" si="2"/>
        <v>6.3765241583569846E-2</v>
      </c>
    </row>
    <row r="24" spans="1:10" x14ac:dyDescent="0.25">
      <c r="A24">
        <v>23</v>
      </c>
      <c r="B24">
        <v>0.80330000000000001</v>
      </c>
      <c r="E24">
        <f t="shared" si="0"/>
        <v>189.91093644966131</v>
      </c>
      <c r="F24">
        <v>15</v>
      </c>
      <c r="G24">
        <v>80</v>
      </c>
      <c r="H24">
        <f>Chlorophyll!D61</f>
        <v>0.36226611644703605</v>
      </c>
      <c r="I24">
        <f t="shared" si="1"/>
        <v>19.320859543841923</v>
      </c>
      <c r="J24">
        <f t="shared" si="2"/>
        <v>0.10173642395240994</v>
      </c>
    </row>
    <row r="25" spans="1:10" x14ac:dyDescent="0.25">
      <c r="A25">
        <v>24</v>
      </c>
      <c r="B25">
        <v>0.93700000000000006</v>
      </c>
      <c r="E25">
        <f t="shared" si="0"/>
        <v>221.51941672268475</v>
      </c>
      <c r="F25">
        <v>12</v>
      </c>
      <c r="G25">
        <v>80</v>
      </c>
      <c r="H25">
        <f>Chlorophyll!D62</f>
        <v>0.2787775187142143</v>
      </c>
      <c r="I25">
        <f t="shared" si="1"/>
        <v>18.585167914280952</v>
      </c>
      <c r="J25">
        <f t="shared" si="2"/>
        <v>8.3898595388355104E-2</v>
      </c>
    </row>
    <row r="27" spans="1:10" x14ac:dyDescent="0.25">
      <c r="A27" t="s">
        <v>59</v>
      </c>
      <c r="B27" t="s">
        <v>60</v>
      </c>
    </row>
    <row r="28" spans="1:10" x14ac:dyDescent="0.25">
      <c r="A28" t="s">
        <v>61</v>
      </c>
      <c r="B28">
        <v>5.3</v>
      </c>
    </row>
    <row r="29" spans="1:10" x14ac:dyDescent="0.25">
      <c r="A29">
        <v>2.5000000000000001E-2</v>
      </c>
      <c r="B29">
        <v>440.3</v>
      </c>
    </row>
    <row r="30" spans="1:10" x14ac:dyDescent="0.25">
      <c r="A30">
        <v>0.05</v>
      </c>
      <c r="B30">
        <v>799.21</v>
      </c>
    </row>
    <row r="31" spans="1:10" x14ac:dyDescent="0.25">
      <c r="A31">
        <v>0.25</v>
      </c>
      <c r="B31">
        <v>2564.08</v>
      </c>
    </row>
    <row r="32" spans="1:10" x14ac:dyDescent="0.25">
      <c r="A32">
        <v>0.5</v>
      </c>
      <c r="B32">
        <v>5736.22</v>
      </c>
    </row>
    <row r="33" spans="1:4" x14ac:dyDescent="0.25">
      <c r="A33">
        <v>1</v>
      </c>
      <c r="B33">
        <v>9847.69</v>
      </c>
    </row>
    <row r="35" spans="1:4" x14ac:dyDescent="0.25">
      <c r="A35" t="s">
        <v>62</v>
      </c>
      <c r="B35">
        <f>SLOPE(B29:B33,A29:A33)</f>
        <v>9748.0377213240972</v>
      </c>
    </row>
    <row r="36" spans="1:4" x14ac:dyDescent="0.25">
      <c r="A36" t="s">
        <v>63</v>
      </c>
      <c r="B36">
        <f>INTERCEPT(B29:B33,A29:A33)</f>
        <v>319.46623171670444</v>
      </c>
    </row>
    <row r="38" spans="1:4" x14ac:dyDescent="0.25">
      <c r="A38" t="s">
        <v>64</v>
      </c>
      <c r="B38" t="s">
        <v>60</v>
      </c>
      <c r="C38" t="s">
        <v>65</v>
      </c>
      <c r="D38" t="s">
        <v>66</v>
      </c>
    </row>
    <row r="39" spans="1:4" x14ac:dyDescent="0.25">
      <c r="A39">
        <v>1</v>
      </c>
      <c r="B39">
        <v>3457.42</v>
      </c>
      <c r="C39">
        <v>1</v>
      </c>
      <c r="D39">
        <f t="shared" ref="D39:D62" si="3">((B39-$B$36)/$B$35)*C39</f>
        <v>0.32190619876438686</v>
      </c>
    </row>
    <row r="40" spans="1:4" x14ac:dyDescent="0.25">
      <c r="A40">
        <v>2</v>
      </c>
      <c r="B40">
        <v>4255.74</v>
      </c>
      <c r="C40">
        <v>1</v>
      </c>
      <c r="D40">
        <f t="shared" si="3"/>
        <v>0.40380165534983409</v>
      </c>
    </row>
    <row r="41" spans="1:4" x14ac:dyDescent="0.25">
      <c r="A41">
        <v>3</v>
      </c>
      <c r="B41">
        <v>6492.26</v>
      </c>
      <c r="C41">
        <v>1</v>
      </c>
      <c r="D41">
        <f t="shared" si="3"/>
        <v>0.63323449752150041</v>
      </c>
    </row>
    <row r="42" spans="1:4" x14ac:dyDescent="0.25">
      <c r="A42">
        <v>4</v>
      </c>
      <c r="B42">
        <v>4800.8</v>
      </c>
      <c r="C42">
        <v>1</v>
      </c>
      <c r="D42">
        <f t="shared" si="3"/>
        <v>0.45971649847848411</v>
      </c>
    </row>
    <row r="43" spans="1:4" x14ac:dyDescent="0.25">
      <c r="A43">
        <v>5</v>
      </c>
      <c r="B43">
        <v>3528.55</v>
      </c>
      <c r="C43">
        <v>1</v>
      </c>
      <c r="D43">
        <f t="shared" si="3"/>
        <v>0.32920305193970861</v>
      </c>
    </row>
    <row r="44" spans="1:4" x14ac:dyDescent="0.25">
      <c r="A44">
        <v>6</v>
      </c>
      <c r="B44">
        <v>6519.27</v>
      </c>
      <c r="C44">
        <v>1</v>
      </c>
      <c r="D44">
        <f t="shared" si="3"/>
        <v>0.63600531158399776</v>
      </c>
    </row>
    <row r="45" spans="1:4" x14ac:dyDescent="0.25">
      <c r="A45">
        <v>7</v>
      </c>
      <c r="B45">
        <v>2282.12</v>
      </c>
      <c r="C45">
        <v>1</v>
      </c>
      <c r="D45">
        <f t="shared" si="3"/>
        <v>0.2013383436124726</v>
      </c>
    </row>
    <row r="46" spans="1:4" x14ac:dyDescent="0.25">
      <c r="A46">
        <v>8</v>
      </c>
      <c r="B46">
        <v>3743.63</v>
      </c>
      <c r="C46">
        <v>1</v>
      </c>
      <c r="D46">
        <f t="shared" si="3"/>
        <v>0.3512669796909838</v>
      </c>
    </row>
    <row r="47" spans="1:4" x14ac:dyDescent="0.25">
      <c r="A47">
        <v>9</v>
      </c>
      <c r="B47">
        <v>1609.68</v>
      </c>
      <c r="C47">
        <v>1</v>
      </c>
      <c r="D47">
        <f t="shared" si="3"/>
        <v>0.13235625519389591</v>
      </c>
    </row>
    <row r="48" spans="1:4" x14ac:dyDescent="0.25">
      <c r="A48">
        <v>10</v>
      </c>
      <c r="B48">
        <v>2100.9299999999998</v>
      </c>
      <c r="C48">
        <v>1</v>
      </c>
      <c r="D48">
        <f t="shared" si="3"/>
        <v>0.18275101299477894</v>
      </c>
    </row>
    <row r="49" spans="1:4" x14ac:dyDescent="0.25">
      <c r="A49">
        <v>11</v>
      </c>
      <c r="B49">
        <v>3270.9</v>
      </c>
      <c r="C49">
        <v>1</v>
      </c>
      <c r="D49">
        <f t="shared" si="3"/>
        <v>0.30277209143610045</v>
      </c>
    </row>
    <row r="50" spans="1:4" x14ac:dyDescent="0.25">
      <c r="A50">
        <v>12</v>
      </c>
      <c r="B50">
        <v>2704.15</v>
      </c>
      <c r="C50">
        <v>1</v>
      </c>
      <c r="D50">
        <f t="shared" si="3"/>
        <v>0.24463218510805873</v>
      </c>
    </row>
    <row r="51" spans="1:4" x14ac:dyDescent="0.25">
      <c r="A51">
        <v>13</v>
      </c>
      <c r="B51">
        <v>2007.49</v>
      </c>
      <c r="C51">
        <v>1</v>
      </c>
      <c r="D51">
        <f t="shared" si="3"/>
        <v>0.17316549407586901</v>
      </c>
    </row>
    <row r="52" spans="1:4" x14ac:dyDescent="0.25">
      <c r="A52">
        <v>14</v>
      </c>
      <c r="B52">
        <v>2962.43</v>
      </c>
      <c r="C52">
        <v>1</v>
      </c>
      <c r="D52">
        <f t="shared" si="3"/>
        <v>0.27112777400335047</v>
      </c>
    </row>
    <row r="53" spans="1:4" x14ac:dyDescent="0.25">
      <c r="A53">
        <v>15</v>
      </c>
      <c r="B53">
        <v>3274.16</v>
      </c>
      <c r="C53">
        <v>1</v>
      </c>
      <c r="D53">
        <f t="shared" si="3"/>
        <v>0.30310651771687575</v>
      </c>
    </row>
    <row r="54" spans="1:4" x14ac:dyDescent="0.25">
      <c r="A54">
        <v>16</v>
      </c>
      <c r="B54">
        <v>4566.7</v>
      </c>
      <c r="C54">
        <v>1</v>
      </c>
      <c r="D54">
        <f t="shared" si="3"/>
        <v>0.43570140880685715</v>
      </c>
    </row>
    <row r="55" spans="1:4" x14ac:dyDescent="0.25">
      <c r="A55">
        <v>17</v>
      </c>
      <c r="B55">
        <v>3767.68</v>
      </c>
      <c r="C55">
        <v>1</v>
      </c>
      <c r="D55">
        <f t="shared" si="3"/>
        <v>0.35373414289731708</v>
      </c>
    </row>
    <row r="56" spans="1:4" x14ac:dyDescent="0.25">
      <c r="A56">
        <v>18</v>
      </c>
      <c r="B56">
        <v>2856.72</v>
      </c>
      <c r="C56">
        <v>1</v>
      </c>
      <c r="D56">
        <f t="shared" si="3"/>
        <v>0.26028354021784139</v>
      </c>
    </row>
    <row r="57" spans="1:4" x14ac:dyDescent="0.25">
      <c r="A57">
        <v>19</v>
      </c>
      <c r="B57">
        <v>4575.22</v>
      </c>
      <c r="C57">
        <v>1</v>
      </c>
      <c r="D57">
        <f t="shared" si="3"/>
        <v>0.43657543086581602</v>
      </c>
    </row>
    <row r="58" spans="1:4" x14ac:dyDescent="0.25">
      <c r="A58">
        <v>20</v>
      </c>
      <c r="B58">
        <v>2975.51</v>
      </c>
      <c r="C58">
        <v>1</v>
      </c>
      <c r="D58">
        <f t="shared" si="3"/>
        <v>0.27246958251639997</v>
      </c>
    </row>
    <row r="59" spans="1:4" x14ac:dyDescent="0.25">
      <c r="A59">
        <v>21</v>
      </c>
      <c r="B59">
        <v>2545.37</v>
      </c>
      <c r="C59">
        <v>1</v>
      </c>
      <c r="D59">
        <f t="shared" si="3"/>
        <v>0.22834377870882366</v>
      </c>
    </row>
    <row r="60" spans="1:4" x14ac:dyDescent="0.25">
      <c r="A60">
        <v>22</v>
      </c>
      <c r="B60">
        <v>1240.4100000000001</v>
      </c>
      <c r="C60">
        <v>1</v>
      </c>
      <c r="D60">
        <f t="shared" si="3"/>
        <v>9.4474785039937434E-2</v>
      </c>
    </row>
    <row r="61" spans="1:4" x14ac:dyDescent="0.25">
      <c r="A61">
        <v>23</v>
      </c>
      <c r="B61">
        <v>3850.85</v>
      </c>
      <c r="C61">
        <v>1</v>
      </c>
      <c r="D61">
        <f t="shared" si="3"/>
        <v>0.36226611644703605</v>
      </c>
    </row>
    <row r="62" spans="1:4" x14ac:dyDescent="0.25">
      <c r="A62">
        <v>24</v>
      </c>
      <c r="B62">
        <v>3037</v>
      </c>
      <c r="C62">
        <v>1</v>
      </c>
      <c r="D62">
        <f t="shared" si="3"/>
        <v>0.2787775187142143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workbookViewId="0">
      <pane xSplit="3" ySplit="2" topLeftCell="W3" activePane="bottomRight" state="frozen"/>
      <selection pane="topRight" activeCell="F1" sqref="F1"/>
      <selection pane="bottomLeft" activeCell="A3" sqref="A3"/>
      <selection pane="bottomRight" activeCell="L15" sqref="L15"/>
    </sheetView>
  </sheetViews>
  <sheetFormatPr defaultRowHeight="15" x14ac:dyDescent="0.25"/>
  <cols>
    <col min="1" max="1" width="7" bestFit="1" customWidth="1"/>
    <col min="2" max="2" width="9" bestFit="1" customWidth="1"/>
    <col min="3" max="3" width="18.28515625" bestFit="1" customWidth="1"/>
    <col min="4" max="4" width="9.5703125" bestFit="1" customWidth="1"/>
    <col min="5" max="5" width="14.28515625" style="12" bestFit="1" customWidth="1"/>
    <col min="7" max="7" width="13.7109375" style="12" bestFit="1" customWidth="1"/>
    <col min="8" max="8" width="16" bestFit="1" customWidth="1"/>
    <col min="9" max="9" width="13.42578125" bestFit="1" customWidth="1"/>
    <col min="10" max="10" width="16.7109375" bestFit="1" customWidth="1"/>
    <col min="11" max="11" width="18.85546875" customWidth="1"/>
    <col min="12" max="12" width="10.28515625" bestFit="1" customWidth="1"/>
    <col min="13" max="13" width="20" bestFit="1" customWidth="1"/>
    <col min="14" max="14" width="9.5703125" bestFit="1" customWidth="1"/>
    <col min="15" max="15" width="14.28515625" bestFit="1" customWidth="1"/>
    <col min="16" max="16" width="9" bestFit="1" customWidth="1"/>
    <col min="17" max="17" width="13.7109375" bestFit="1" customWidth="1"/>
    <col min="18" max="18" width="16" bestFit="1" customWidth="1"/>
    <col min="19" max="19" width="13.42578125" bestFit="1" customWidth="1"/>
    <col min="20" max="20" width="16.7109375" bestFit="1" customWidth="1"/>
    <col min="21" max="21" width="18.85546875" bestFit="1" customWidth="1"/>
    <col min="22" max="22" width="10.28515625" bestFit="1" customWidth="1"/>
    <col min="23" max="24" width="20" bestFit="1" customWidth="1"/>
    <col min="25" max="25" width="27.5703125" bestFit="1" customWidth="1"/>
    <col min="26" max="26" width="29" bestFit="1" customWidth="1"/>
    <col min="27" max="27" width="17.85546875" bestFit="1" customWidth="1"/>
  </cols>
  <sheetData>
    <row r="1" spans="1:27" x14ac:dyDescent="0.25">
      <c r="D1" s="3" t="s">
        <v>0</v>
      </c>
      <c r="E1" s="3"/>
      <c r="F1" s="3"/>
      <c r="G1" s="5"/>
      <c r="H1" s="3"/>
      <c r="I1" s="3"/>
      <c r="J1" s="3"/>
      <c r="K1" s="3"/>
      <c r="L1" s="3"/>
      <c r="M1" s="3"/>
      <c r="N1" s="3" t="s">
        <v>1</v>
      </c>
      <c r="O1" s="3"/>
      <c r="P1" s="3"/>
      <c r="Q1" s="4"/>
      <c r="R1" s="3"/>
    </row>
    <row r="2" spans="1:27" x14ac:dyDescent="0.25">
      <c r="A2" s="1" t="s">
        <v>2</v>
      </c>
      <c r="B2" s="1" t="s">
        <v>3</v>
      </c>
      <c r="C2" s="1" t="s">
        <v>19</v>
      </c>
      <c r="D2" s="3" t="s">
        <v>4</v>
      </c>
      <c r="E2" s="3" t="s">
        <v>5</v>
      </c>
      <c r="F2" s="3" t="s">
        <v>6</v>
      </c>
      <c r="G2" s="5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19" t="s">
        <v>25</v>
      </c>
      <c r="N2" s="3" t="s">
        <v>4</v>
      </c>
      <c r="O2" s="3" t="s">
        <v>5</v>
      </c>
      <c r="P2" s="3" t="s">
        <v>6</v>
      </c>
      <c r="Q2" s="5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6" t="s">
        <v>12</v>
      </c>
      <c r="W2" s="7" t="s">
        <v>26</v>
      </c>
      <c r="X2" s="7" t="s">
        <v>27</v>
      </c>
      <c r="Y2" s="21" t="s">
        <v>28</v>
      </c>
      <c r="Z2" s="21" t="s">
        <v>29</v>
      </c>
      <c r="AA2" s="1" t="s">
        <v>36</v>
      </c>
    </row>
    <row r="3" spans="1:27" x14ac:dyDescent="0.25">
      <c r="A3">
        <v>1</v>
      </c>
      <c r="B3" t="s">
        <v>13</v>
      </c>
      <c r="C3" s="16">
        <v>1600</v>
      </c>
      <c r="D3" s="15">
        <v>0.40625</v>
      </c>
      <c r="E3" s="9">
        <v>10.14</v>
      </c>
      <c r="F3" s="15">
        <v>0.57361111111111118</v>
      </c>
      <c r="G3">
        <v>10.59</v>
      </c>
      <c r="H3" s="8">
        <f t="shared" ref="H3:H26" si="0">F3-D3</f>
        <v>0.16736111111111118</v>
      </c>
      <c r="I3" s="9">
        <f>H3*24</f>
        <v>4.0166666666666684</v>
      </c>
      <c r="J3" s="17">
        <f t="shared" ref="J3:J26" si="1">(G3-E3)*(C3/1000)</f>
        <v>0.71999999999999886</v>
      </c>
      <c r="K3" s="18">
        <f>J3/I3</f>
        <v>0.17925311203319466</v>
      </c>
      <c r="L3">
        <f>Chlorophyll!E2</f>
        <v>136.41056931589017</v>
      </c>
      <c r="M3" s="20">
        <f>(J3/(I3*L3))*10000</f>
        <v>13.140705513668276</v>
      </c>
      <c r="N3" s="8">
        <v>0.57430555555555551</v>
      </c>
      <c r="O3">
        <v>9.9499999999999993</v>
      </c>
      <c r="P3" s="8">
        <v>0.6972222222222223</v>
      </c>
      <c r="Q3">
        <v>9.91</v>
      </c>
      <c r="R3" s="8">
        <f t="shared" ref="R3:R26" si="2">P3-N3</f>
        <v>0.12291666666666679</v>
      </c>
      <c r="S3" s="9">
        <f>R3*24</f>
        <v>2.9500000000000028</v>
      </c>
      <c r="T3">
        <f t="shared" ref="T3:T26" si="3">(Q3-O3)*(C3/1000)</f>
        <v>-6.3999999999998641E-2</v>
      </c>
      <c r="U3">
        <f>T3/S3</f>
        <v>-2.1694915254236807E-2</v>
      </c>
      <c r="V3">
        <f>Chlorophyll!E2</f>
        <v>136.41056931589017</v>
      </c>
      <c r="W3">
        <f>(T3/(S3*V3))*10000</f>
        <v>-1.5904130715851805</v>
      </c>
      <c r="X3">
        <f>M3+ABS(W3)</f>
        <v>14.731118585253457</v>
      </c>
      <c r="Y3" s="20">
        <f>IF(W3&lt;0,W3,0)</f>
        <v>-1.5904130715851805</v>
      </c>
      <c r="Z3" s="20">
        <f>IF(X3&lt;0,0,X3)</f>
        <v>14.731118585253457</v>
      </c>
      <c r="AA3">
        <v>3.1042389818028813</v>
      </c>
    </row>
    <row r="4" spans="1:27" x14ac:dyDescent="0.25">
      <c r="A4">
        <v>2</v>
      </c>
      <c r="B4" t="s">
        <v>13</v>
      </c>
      <c r="C4" s="16">
        <v>1530</v>
      </c>
      <c r="D4" s="15">
        <v>0.41944444444444445</v>
      </c>
      <c r="E4" s="9">
        <v>10.3</v>
      </c>
      <c r="F4" s="15">
        <v>0.5756944444444444</v>
      </c>
      <c r="G4">
        <v>10.56</v>
      </c>
      <c r="H4" s="8">
        <f t="shared" si="0"/>
        <v>0.15624999999999994</v>
      </c>
      <c r="I4" s="9">
        <f t="shared" ref="I4:I26" si="4">H4*24</f>
        <v>3.7499999999999987</v>
      </c>
      <c r="J4" s="17">
        <f t="shared" si="1"/>
        <v>0.39779999999999965</v>
      </c>
      <c r="K4" s="18">
        <f t="shared" ref="K4:K26" si="5">J4/I4</f>
        <v>0.10607999999999995</v>
      </c>
      <c r="L4">
        <f>Chlorophyll!E3</f>
        <v>192.74789802988781</v>
      </c>
      <c r="M4" s="20">
        <f t="shared" ref="M4:M26" si="6">(J4/(I4*L4))*10000</f>
        <v>5.5035619627639729</v>
      </c>
      <c r="N4" s="8">
        <v>0.57638888888888895</v>
      </c>
      <c r="O4">
        <v>9.93</v>
      </c>
      <c r="P4" s="8">
        <v>0.69861111111111107</v>
      </c>
      <c r="Q4">
        <v>9.85</v>
      </c>
      <c r="R4" s="8">
        <f t="shared" si="2"/>
        <v>0.12222222222222212</v>
      </c>
      <c r="S4" s="9">
        <f t="shared" ref="S4:S26" si="7">R4*24</f>
        <v>2.9333333333333309</v>
      </c>
      <c r="T4">
        <f t="shared" si="3"/>
        <v>-0.12240000000000011</v>
      </c>
      <c r="U4">
        <f t="shared" ref="U4:U26" si="8">T4/S4</f>
        <v>-4.17272727272728E-2</v>
      </c>
      <c r="V4">
        <f>Chlorophyll!E3</f>
        <v>192.74789802988781</v>
      </c>
      <c r="W4">
        <f t="shared" ref="W4:W26" si="9">(T4/(S4*V4))*10000</f>
        <v>-2.1648626601781409</v>
      </c>
      <c r="X4">
        <f t="shared" ref="X4:X26" si="10">M4+ABS(W4)</f>
        <v>7.6684246229421138</v>
      </c>
      <c r="Y4" s="20">
        <f t="shared" ref="Y4:Y26" si="11">IF(W4&lt;0,W4,0)</f>
        <v>-2.1648626601781409</v>
      </c>
      <c r="Z4" s="20">
        <f t="shared" ref="Z4:Z26" si="12">IF(X4&lt;0,0,X4)</f>
        <v>7.6684246229421138</v>
      </c>
      <c r="AA4">
        <v>3.4947332041052452</v>
      </c>
    </row>
    <row r="5" spans="1:27" x14ac:dyDescent="0.25">
      <c r="A5">
        <v>3</v>
      </c>
      <c r="B5" t="s">
        <v>13</v>
      </c>
      <c r="C5" s="16">
        <v>1565</v>
      </c>
      <c r="D5" s="15">
        <v>0.42222222222222222</v>
      </c>
      <c r="E5" s="9">
        <v>10.3</v>
      </c>
      <c r="F5" s="15">
        <v>0.57847222222222217</v>
      </c>
      <c r="G5">
        <v>10.32</v>
      </c>
      <c r="H5" s="8">
        <f t="shared" si="0"/>
        <v>0.15624999999999994</v>
      </c>
      <c r="I5" s="9">
        <f t="shared" si="4"/>
        <v>3.7499999999999987</v>
      </c>
      <c r="J5" s="17">
        <f t="shared" si="1"/>
        <v>3.1299999999999328E-2</v>
      </c>
      <c r="K5" s="18">
        <f t="shared" si="5"/>
        <v>8.3466666666664902E-3</v>
      </c>
      <c r="L5">
        <f>Chlorophyll!E4</f>
        <v>163.24349759553235</v>
      </c>
      <c r="M5" s="20">
        <f t="shared" si="6"/>
        <v>0.51130163158761699</v>
      </c>
      <c r="N5" s="8">
        <v>0.57916666666666672</v>
      </c>
      <c r="O5">
        <v>9.9600000000000009</v>
      </c>
      <c r="P5" s="8">
        <v>0.7006944444444444</v>
      </c>
      <c r="Q5">
        <v>9.82</v>
      </c>
      <c r="R5" s="8">
        <f t="shared" si="2"/>
        <v>0.12152777777777768</v>
      </c>
      <c r="S5" s="9">
        <f t="shared" si="7"/>
        <v>2.9166666666666643</v>
      </c>
      <c r="T5">
        <f t="shared" si="3"/>
        <v>-0.21910000000000088</v>
      </c>
      <c r="U5">
        <f t="shared" si="8"/>
        <v>-7.5120000000000367E-2</v>
      </c>
      <c r="V5">
        <f>Chlorophyll!E4</f>
        <v>163.24349759553235</v>
      </c>
      <c r="W5">
        <f t="shared" si="9"/>
        <v>-4.6017146842886714</v>
      </c>
      <c r="X5">
        <f t="shared" si="10"/>
        <v>5.1130163158762887</v>
      </c>
      <c r="Y5" s="20">
        <f t="shared" si="11"/>
        <v>-4.6017146842886714</v>
      </c>
      <c r="Z5" s="20">
        <f t="shared" si="12"/>
        <v>5.1130163158762887</v>
      </c>
      <c r="AA5">
        <v>0.76127364798869956</v>
      </c>
    </row>
    <row r="6" spans="1:27" x14ac:dyDescent="0.25">
      <c r="A6">
        <v>4</v>
      </c>
      <c r="B6" t="s">
        <v>13</v>
      </c>
      <c r="C6" s="16">
        <v>1555</v>
      </c>
      <c r="D6" s="15">
        <v>0.4236111111111111</v>
      </c>
      <c r="E6" s="9">
        <v>10.3</v>
      </c>
      <c r="F6" s="15">
        <v>0.58124999999999993</v>
      </c>
      <c r="G6">
        <v>10.24</v>
      </c>
      <c r="H6" s="8">
        <f t="shared" si="0"/>
        <v>0.15763888888888883</v>
      </c>
      <c r="I6" s="9">
        <f t="shared" si="4"/>
        <v>3.7833333333333319</v>
      </c>
      <c r="J6" s="17">
        <f t="shared" si="1"/>
        <v>-9.3300000000000771E-2</v>
      </c>
      <c r="K6" s="18">
        <f t="shared" si="5"/>
        <v>-2.4660792951542065E-2</v>
      </c>
      <c r="L6">
        <f>Chlorophyll!E5</f>
        <v>258.68361342365171</v>
      </c>
      <c r="M6" s="20">
        <f t="shared" si="6"/>
        <v>-0.9533187133564025</v>
      </c>
      <c r="N6" s="8">
        <v>0.58888888888888891</v>
      </c>
      <c r="O6">
        <v>9.9499999999999993</v>
      </c>
      <c r="P6" s="8">
        <v>0.70208333333333339</v>
      </c>
      <c r="Q6">
        <v>9.7799999999999994</v>
      </c>
      <c r="R6" s="8">
        <f t="shared" si="2"/>
        <v>0.11319444444444449</v>
      </c>
      <c r="S6" s="9">
        <f t="shared" si="7"/>
        <v>2.7166666666666677</v>
      </c>
      <c r="T6">
        <f t="shared" si="3"/>
        <v>-0.26434999999999986</v>
      </c>
      <c r="U6">
        <f t="shared" si="8"/>
        <v>-9.7306748466257587E-2</v>
      </c>
      <c r="V6">
        <f>Chlorophyll!E5</f>
        <v>258.68361342365171</v>
      </c>
      <c r="W6">
        <f t="shared" si="9"/>
        <v>-3.7616123873643375</v>
      </c>
      <c r="X6">
        <f t="shared" si="10"/>
        <v>2.8082936740079347</v>
      </c>
      <c r="Y6" s="20">
        <f t="shared" si="11"/>
        <v>-3.7616123873643375</v>
      </c>
      <c r="Z6" s="20">
        <f t="shared" si="12"/>
        <v>2.8082936740079347</v>
      </c>
      <c r="AA6">
        <v>1.5422620925934269</v>
      </c>
    </row>
    <row r="7" spans="1:27" x14ac:dyDescent="0.25">
      <c r="A7">
        <v>5</v>
      </c>
      <c r="B7" t="s">
        <v>13</v>
      </c>
      <c r="C7" s="16">
        <v>1790</v>
      </c>
      <c r="D7" s="15">
        <v>0.42499999999999999</v>
      </c>
      <c r="E7" s="9">
        <v>10.3</v>
      </c>
      <c r="F7" s="15">
        <v>0.58333333333333337</v>
      </c>
      <c r="G7">
        <v>10.35</v>
      </c>
      <c r="H7" s="8">
        <f t="shared" si="0"/>
        <v>0.15833333333333338</v>
      </c>
      <c r="I7" s="9">
        <f t="shared" si="4"/>
        <v>3.8000000000000012</v>
      </c>
      <c r="J7" s="17">
        <f t="shared" si="1"/>
        <v>8.9499999999998095E-2</v>
      </c>
      <c r="K7" s="18">
        <f t="shared" si="5"/>
        <v>2.355263157894686E-2</v>
      </c>
      <c r="L7">
        <f>Chlorophyll!E6</f>
        <v>141.54074150679975</v>
      </c>
      <c r="M7" s="20">
        <f t="shared" si="6"/>
        <v>1.6640178176412457</v>
      </c>
      <c r="N7" s="8">
        <v>0.58402777777777781</v>
      </c>
      <c r="O7">
        <v>9.9499999999999993</v>
      </c>
      <c r="P7" s="8">
        <v>0.70347222222222217</v>
      </c>
      <c r="Q7">
        <v>9.8699999999999992</v>
      </c>
      <c r="R7" s="8">
        <f t="shared" si="2"/>
        <v>0.11944444444444435</v>
      </c>
      <c r="S7" s="9">
        <f t="shared" si="7"/>
        <v>2.8666666666666645</v>
      </c>
      <c r="T7">
        <f t="shared" si="3"/>
        <v>-0.14320000000000013</v>
      </c>
      <c r="U7">
        <f t="shared" si="8"/>
        <v>-4.9953488372093111E-2</v>
      </c>
      <c r="V7">
        <f>Chlorophyll!E6</f>
        <v>141.54074150679975</v>
      </c>
      <c r="W7">
        <f t="shared" si="9"/>
        <v>-3.5292656969508167</v>
      </c>
      <c r="X7">
        <f t="shared" si="10"/>
        <v>5.1932835145920624</v>
      </c>
      <c r="Y7" s="20">
        <f t="shared" si="11"/>
        <v>-3.5292656969508167</v>
      </c>
      <c r="Z7" s="20">
        <f t="shared" si="12"/>
        <v>5.1932835145920624</v>
      </c>
      <c r="AA7">
        <v>13.647582983966702</v>
      </c>
    </row>
    <row r="8" spans="1:27" x14ac:dyDescent="0.25">
      <c r="A8">
        <v>6</v>
      </c>
      <c r="B8" t="s">
        <v>13</v>
      </c>
      <c r="C8" s="16">
        <v>1555</v>
      </c>
      <c r="D8" s="15">
        <v>0.42638888888888887</v>
      </c>
      <c r="E8" s="9">
        <v>10.31</v>
      </c>
      <c r="F8" s="15">
        <v>0.58402777777777781</v>
      </c>
      <c r="G8">
        <v>10.02</v>
      </c>
      <c r="H8" s="8">
        <f t="shared" si="0"/>
        <v>0.15763888888888894</v>
      </c>
      <c r="I8" s="9">
        <f t="shared" si="4"/>
        <v>3.7833333333333345</v>
      </c>
      <c r="J8" s="17">
        <f t="shared" si="1"/>
        <v>-0.45095000000000141</v>
      </c>
      <c r="K8" s="18">
        <f t="shared" si="5"/>
        <v>-0.11919383259911928</v>
      </c>
      <c r="L8">
        <f>Chlorophyll!E7</f>
        <v>221.44849268317907</v>
      </c>
      <c r="M8" s="20">
        <f t="shared" si="6"/>
        <v>-5.3824630348533002</v>
      </c>
      <c r="N8" s="8">
        <v>0.58472222222222225</v>
      </c>
      <c r="O8">
        <v>9.93</v>
      </c>
      <c r="P8" s="8">
        <v>0.70486111111111116</v>
      </c>
      <c r="Q8">
        <v>9.86</v>
      </c>
      <c r="R8" s="8">
        <f t="shared" si="2"/>
        <v>0.12013888888888891</v>
      </c>
      <c r="S8" s="9">
        <f t="shared" si="7"/>
        <v>2.8833333333333337</v>
      </c>
      <c r="T8">
        <f t="shared" si="3"/>
        <v>-0.10885000000000043</v>
      </c>
      <c r="U8">
        <f t="shared" si="8"/>
        <v>-3.7751445086705346E-2</v>
      </c>
      <c r="V8">
        <f>Chlorophyll!E7</f>
        <v>221.44849268317907</v>
      </c>
      <c r="W8">
        <f t="shared" si="9"/>
        <v>-1.7047506004349018</v>
      </c>
      <c r="X8">
        <f t="shared" si="10"/>
        <v>-3.6777124344183987</v>
      </c>
      <c r="Y8" s="20">
        <f t="shared" si="11"/>
        <v>-1.7047506004349018</v>
      </c>
      <c r="Z8" s="20">
        <f t="shared" si="12"/>
        <v>0</v>
      </c>
      <c r="AA8">
        <v>25.752903875339978</v>
      </c>
    </row>
    <row r="9" spans="1:27" x14ac:dyDescent="0.25">
      <c r="A9">
        <v>7</v>
      </c>
      <c r="B9" t="s">
        <v>13</v>
      </c>
      <c r="C9" s="16">
        <v>1835</v>
      </c>
      <c r="D9" s="15">
        <v>0.4284722222222222</v>
      </c>
      <c r="E9" s="9">
        <v>10.29</v>
      </c>
      <c r="F9" s="15">
        <v>0.58611111111111114</v>
      </c>
      <c r="G9">
        <v>10.4</v>
      </c>
      <c r="H9" s="8">
        <f t="shared" si="0"/>
        <v>0.15763888888888894</v>
      </c>
      <c r="I9" s="9">
        <f t="shared" si="4"/>
        <v>3.7833333333333345</v>
      </c>
      <c r="J9" s="17">
        <f t="shared" si="1"/>
        <v>0.20185000000000222</v>
      </c>
      <c r="K9" s="18">
        <f t="shared" si="5"/>
        <v>5.3352422907489559E-2</v>
      </c>
      <c r="L9">
        <f>Chlorophyll!E8</f>
        <v>223.41072444283571</v>
      </c>
      <c r="M9" s="20">
        <f t="shared" si="6"/>
        <v>2.3880869210976878</v>
      </c>
      <c r="N9" s="8">
        <v>0.58680555555555558</v>
      </c>
      <c r="O9">
        <v>9.9499999999999993</v>
      </c>
      <c r="P9" s="8">
        <v>0.70624999999999993</v>
      </c>
      <c r="Q9">
        <v>9.86</v>
      </c>
      <c r="R9" s="8">
        <f t="shared" si="2"/>
        <v>0.11944444444444435</v>
      </c>
      <c r="S9" s="9">
        <f t="shared" si="7"/>
        <v>2.8666666666666645</v>
      </c>
      <c r="T9">
        <f t="shared" si="3"/>
        <v>-0.16514999999999974</v>
      </c>
      <c r="U9">
        <f t="shared" si="8"/>
        <v>-5.7610465116279021E-2</v>
      </c>
      <c r="V9">
        <f>Chlorophyll!E8</f>
        <v>223.41072444283571</v>
      </c>
      <c r="W9">
        <f t="shared" si="9"/>
        <v>-2.5786794819252226</v>
      </c>
      <c r="X9">
        <f t="shared" si="10"/>
        <v>4.9667664030229108</v>
      </c>
      <c r="Y9" s="20">
        <f t="shared" si="11"/>
        <v>-2.5786794819252226</v>
      </c>
      <c r="Z9" s="20">
        <f t="shared" si="12"/>
        <v>4.9667664030229108</v>
      </c>
      <c r="AA9">
        <v>2.7137447595005182</v>
      </c>
    </row>
    <row r="10" spans="1:27" x14ac:dyDescent="0.25">
      <c r="A10">
        <v>8</v>
      </c>
      <c r="B10" t="s">
        <v>13</v>
      </c>
      <c r="C10" s="16">
        <v>1735</v>
      </c>
      <c r="D10" s="15">
        <v>0.43055555555555558</v>
      </c>
      <c r="E10" s="9">
        <v>10.28</v>
      </c>
      <c r="F10" s="15">
        <v>0.58819444444444446</v>
      </c>
      <c r="G10">
        <v>10.5</v>
      </c>
      <c r="H10" s="8">
        <f t="shared" si="0"/>
        <v>0.15763888888888888</v>
      </c>
      <c r="I10" s="9">
        <f t="shared" si="4"/>
        <v>3.7833333333333332</v>
      </c>
      <c r="J10" s="17">
        <f t="shared" si="1"/>
        <v>0.38170000000000115</v>
      </c>
      <c r="K10" s="18">
        <f t="shared" si="5"/>
        <v>0.10088986784141001</v>
      </c>
      <c r="L10">
        <f>Chlorophyll!E9</f>
        <v>119.4833652205388</v>
      </c>
      <c r="M10" s="20">
        <f t="shared" si="6"/>
        <v>8.4438421746148951</v>
      </c>
      <c r="N10" s="8">
        <v>0.58958333333333335</v>
      </c>
      <c r="O10">
        <v>9.94</v>
      </c>
      <c r="P10" s="8">
        <v>0.70763888888888893</v>
      </c>
      <c r="Q10">
        <v>9.85</v>
      </c>
      <c r="R10" s="8">
        <f t="shared" si="2"/>
        <v>0.11805555555555558</v>
      </c>
      <c r="S10" s="9">
        <f t="shared" si="7"/>
        <v>2.8333333333333339</v>
      </c>
      <c r="T10">
        <f t="shared" si="3"/>
        <v>-0.15614999999999976</v>
      </c>
      <c r="U10">
        <f t="shared" si="8"/>
        <v>-5.5111764705882256E-2</v>
      </c>
      <c r="V10">
        <f>Chlorophyll!E9</f>
        <v>119.4833652205388</v>
      </c>
      <c r="W10">
        <f t="shared" si="9"/>
        <v>-4.6125052306786491</v>
      </c>
      <c r="X10">
        <f t="shared" si="10"/>
        <v>13.056347405293543</v>
      </c>
      <c r="Y10" s="20">
        <f t="shared" si="11"/>
        <v>-4.6125052306786491</v>
      </c>
      <c r="Z10" s="20">
        <f t="shared" si="12"/>
        <v>13.056347405293543</v>
      </c>
      <c r="AA10">
        <v>9.7426407609430647</v>
      </c>
    </row>
    <row r="11" spans="1:27" x14ac:dyDescent="0.25">
      <c r="A11">
        <v>9</v>
      </c>
      <c r="B11" t="s">
        <v>14</v>
      </c>
      <c r="C11" s="16">
        <v>1800</v>
      </c>
      <c r="D11" s="15">
        <v>0.43472222222222223</v>
      </c>
      <c r="E11" s="9">
        <v>10.29</v>
      </c>
      <c r="F11" s="15">
        <v>0.59166666666666667</v>
      </c>
      <c r="G11">
        <v>10.31</v>
      </c>
      <c r="H11" s="8">
        <f t="shared" si="0"/>
        <v>0.15694444444444444</v>
      </c>
      <c r="I11" s="9">
        <f t="shared" si="4"/>
        <v>3.7666666666666666</v>
      </c>
      <c r="J11" s="17">
        <f t="shared" si="1"/>
        <v>3.6000000000002433E-2</v>
      </c>
      <c r="K11" s="18">
        <f t="shared" si="5"/>
        <v>9.5575221238944508E-3</v>
      </c>
      <c r="L11">
        <f>Chlorophyll!E10</f>
        <v>162.65246393298514</v>
      </c>
      <c r="M11" s="20">
        <f t="shared" si="6"/>
        <v>0.58760389438873006</v>
      </c>
      <c r="N11" s="8">
        <v>0.59236111111111112</v>
      </c>
      <c r="O11">
        <v>9.94</v>
      </c>
      <c r="P11" s="8">
        <v>0.71388888888888891</v>
      </c>
      <c r="Q11">
        <v>9.84</v>
      </c>
      <c r="R11" s="8">
        <f t="shared" si="2"/>
        <v>0.12152777777777779</v>
      </c>
      <c r="S11" s="9">
        <f t="shared" si="7"/>
        <v>2.916666666666667</v>
      </c>
      <c r="T11">
        <f t="shared" si="3"/>
        <v>-0.17999999999999935</v>
      </c>
      <c r="U11">
        <f t="shared" si="8"/>
        <v>-6.1714285714285486E-2</v>
      </c>
      <c r="V11">
        <f>Chlorophyll!E10</f>
        <v>162.65246393298514</v>
      </c>
      <c r="W11">
        <f t="shared" si="9"/>
        <v>-3.7942422894812431</v>
      </c>
      <c r="X11">
        <f t="shared" si="10"/>
        <v>4.3818461838699729</v>
      </c>
      <c r="Y11" s="20">
        <f t="shared" si="11"/>
        <v>-3.7942422894812431</v>
      </c>
      <c r="Z11" s="20">
        <f t="shared" si="12"/>
        <v>4.3818461838699729</v>
      </c>
      <c r="AA11">
        <v>8.9616523163383359</v>
      </c>
    </row>
    <row r="12" spans="1:27" x14ac:dyDescent="0.25">
      <c r="A12">
        <v>10</v>
      </c>
      <c r="B12" t="s">
        <v>14</v>
      </c>
      <c r="C12" s="16">
        <v>1425</v>
      </c>
      <c r="D12" s="15">
        <v>0.4381944444444445</v>
      </c>
      <c r="E12" s="9">
        <v>10.27</v>
      </c>
      <c r="F12" s="15">
        <v>0.59375</v>
      </c>
      <c r="G12">
        <v>10.54</v>
      </c>
      <c r="H12" s="8">
        <f t="shared" si="0"/>
        <v>0.1555555555555555</v>
      </c>
      <c r="I12" s="9">
        <f t="shared" si="4"/>
        <v>3.7333333333333321</v>
      </c>
      <c r="J12" s="17">
        <f t="shared" si="1"/>
        <v>0.38474999999999943</v>
      </c>
      <c r="K12" s="18">
        <f t="shared" si="5"/>
        <v>0.1030580357142856</v>
      </c>
      <c r="L12">
        <f>Chlorophyll!E11</f>
        <v>177.47558818966854</v>
      </c>
      <c r="M12" s="20">
        <f t="shared" si="6"/>
        <v>5.8068851477278809</v>
      </c>
      <c r="N12" s="8">
        <v>0.59444444444444444</v>
      </c>
      <c r="O12">
        <v>9.9499999999999993</v>
      </c>
      <c r="P12" s="8">
        <v>0.71527777777777779</v>
      </c>
      <c r="Q12">
        <v>9.7100000000000009</v>
      </c>
      <c r="R12" s="8">
        <f t="shared" si="2"/>
        <v>0.12083333333333335</v>
      </c>
      <c r="S12" s="9">
        <f t="shared" si="7"/>
        <v>2.9000000000000004</v>
      </c>
      <c r="T12">
        <f t="shared" si="3"/>
        <v>-0.34199999999999781</v>
      </c>
      <c r="U12">
        <f t="shared" si="8"/>
        <v>-0.11793103448275785</v>
      </c>
      <c r="V12">
        <f>Chlorophyll!E11</f>
        <v>177.47558818966854</v>
      </c>
      <c r="W12">
        <f t="shared" si="9"/>
        <v>-6.6449158267741426</v>
      </c>
      <c r="X12">
        <f t="shared" si="10"/>
        <v>12.451800974502024</v>
      </c>
      <c r="Y12" s="20">
        <f t="shared" si="11"/>
        <v>-6.6449158267741426</v>
      </c>
      <c r="Z12" s="20">
        <f t="shared" si="12"/>
        <v>12.451800974502024</v>
      </c>
      <c r="AA12">
        <v>30.829328765270702</v>
      </c>
    </row>
    <row r="13" spans="1:27" x14ac:dyDescent="0.25">
      <c r="A13">
        <v>11</v>
      </c>
      <c r="B13" t="s">
        <v>14</v>
      </c>
      <c r="C13" s="16">
        <v>1620</v>
      </c>
      <c r="D13" s="15">
        <v>0.44166666666666665</v>
      </c>
      <c r="E13" s="9">
        <v>10.28</v>
      </c>
      <c r="F13" s="15">
        <v>0.59652777777777777</v>
      </c>
      <c r="G13">
        <v>10.48</v>
      </c>
      <c r="H13" s="8">
        <f t="shared" si="0"/>
        <v>0.15486111111111112</v>
      </c>
      <c r="I13" s="9">
        <f t="shared" si="4"/>
        <v>3.7166666666666668</v>
      </c>
      <c r="J13" s="17">
        <f t="shared" si="1"/>
        <v>0.32400000000000173</v>
      </c>
      <c r="K13" s="18">
        <f t="shared" si="5"/>
        <v>8.7174887892377151E-2</v>
      </c>
      <c r="L13">
        <f>Chlorophyll!E12</f>
        <v>166.57692745229846</v>
      </c>
      <c r="M13" s="20">
        <f t="shared" si="6"/>
        <v>5.2333110728879815</v>
      </c>
      <c r="N13" s="8">
        <v>0.59722222222222221</v>
      </c>
      <c r="O13">
        <v>9.9700000000000006</v>
      </c>
      <c r="P13" s="8">
        <v>0.71736111111111101</v>
      </c>
      <c r="Q13">
        <v>9.7799999999999994</v>
      </c>
      <c r="R13" s="8">
        <f t="shared" si="2"/>
        <v>0.1201388888888888</v>
      </c>
      <c r="S13" s="9">
        <f t="shared" si="7"/>
        <v>2.8833333333333311</v>
      </c>
      <c r="T13">
        <f t="shared" si="3"/>
        <v>-0.30780000000000207</v>
      </c>
      <c r="U13">
        <f t="shared" si="8"/>
        <v>-0.106751445086706</v>
      </c>
      <c r="V13">
        <f>Chlorophyll!E12</f>
        <v>166.57692745229846</v>
      </c>
      <c r="W13">
        <f t="shared" si="9"/>
        <v>-6.4085372878111055</v>
      </c>
      <c r="X13">
        <f t="shared" si="10"/>
        <v>11.641848360699086</v>
      </c>
      <c r="Y13" s="20">
        <f t="shared" si="11"/>
        <v>-6.4085372878111055</v>
      </c>
      <c r="Z13" s="20">
        <f t="shared" si="12"/>
        <v>11.641848360699086</v>
      </c>
      <c r="AA13">
        <v>8.9616523163383359</v>
      </c>
    </row>
    <row r="14" spans="1:27" x14ac:dyDescent="0.25">
      <c r="A14">
        <v>12</v>
      </c>
      <c r="B14" t="s">
        <v>14</v>
      </c>
      <c r="C14" s="16">
        <v>1730</v>
      </c>
      <c r="D14" s="15">
        <v>0.44375000000000003</v>
      </c>
      <c r="E14" s="9">
        <v>10.27</v>
      </c>
      <c r="F14" s="15">
        <v>0.59930555555555554</v>
      </c>
      <c r="G14">
        <v>10.25</v>
      </c>
      <c r="H14" s="8">
        <f t="shared" si="0"/>
        <v>0.1555555555555555</v>
      </c>
      <c r="I14" s="9">
        <f t="shared" si="4"/>
        <v>3.7333333333333321</v>
      </c>
      <c r="J14" s="17">
        <f t="shared" si="1"/>
        <v>-3.4599999999999263E-2</v>
      </c>
      <c r="K14" s="18">
        <f t="shared" si="5"/>
        <v>-9.2678571428569494E-3</v>
      </c>
      <c r="L14">
        <f>Chlorophyll!E13</f>
        <v>246.13005843114948</v>
      </c>
      <c r="M14" s="20">
        <f t="shared" si="6"/>
        <v>-0.37654308465739339</v>
      </c>
      <c r="N14" s="8">
        <v>0.6</v>
      </c>
      <c r="O14">
        <v>9.93</v>
      </c>
      <c r="P14" s="8">
        <v>0.71944444444444444</v>
      </c>
      <c r="Q14">
        <v>9.74</v>
      </c>
      <c r="R14" s="8">
        <f t="shared" si="2"/>
        <v>0.11944444444444446</v>
      </c>
      <c r="S14" s="9">
        <f t="shared" si="7"/>
        <v>2.8666666666666671</v>
      </c>
      <c r="T14">
        <f t="shared" si="3"/>
        <v>-0.32869999999999916</v>
      </c>
      <c r="U14">
        <f t="shared" si="8"/>
        <v>-0.1146627906976741</v>
      </c>
      <c r="V14">
        <f>Chlorophyll!E13</f>
        <v>246.13005843114948</v>
      </c>
      <c r="W14">
        <f t="shared" si="9"/>
        <v>-4.6586260706450444</v>
      </c>
      <c r="X14">
        <f t="shared" si="10"/>
        <v>4.2820829859876515</v>
      </c>
      <c r="Y14" s="20">
        <f t="shared" si="11"/>
        <v>-4.6586260706450444</v>
      </c>
      <c r="Z14" s="20">
        <f t="shared" si="12"/>
        <v>4.2820829859876515</v>
      </c>
      <c r="AA14">
        <v>26.924386542247071</v>
      </c>
    </row>
    <row r="15" spans="1:27" x14ac:dyDescent="0.25">
      <c r="A15">
        <v>13</v>
      </c>
      <c r="B15" t="s">
        <v>14</v>
      </c>
      <c r="C15" s="16">
        <v>1700</v>
      </c>
      <c r="D15" s="15">
        <v>0.44513888888888892</v>
      </c>
      <c r="E15" s="9">
        <v>10.27</v>
      </c>
      <c r="F15" s="15">
        <v>0.60138888888888886</v>
      </c>
      <c r="G15">
        <v>10.15</v>
      </c>
      <c r="H15" s="8">
        <f t="shared" si="0"/>
        <v>0.15624999999999994</v>
      </c>
      <c r="I15" s="9">
        <f t="shared" si="4"/>
        <v>3.7499999999999987</v>
      </c>
      <c r="J15" s="17">
        <f t="shared" si="1"/>
        <v>-0.20399999999999865</v>
      </c>
      <c r="K15" s="18">
        <f t="shared" si="5"/>
        <v>-5.4399999999999664E-2</v>
      </c>
      <c r="L15">
        <f>Chlorophyll!E14</f>
        <v>193.81175862247272</v>
      </c>
      <c r="M15" s="20">
        <f t="shared" si="6"/>
        <v>-2.8068472411916865</v>
      </c>
      <c r="N15" s="8">
        <v>0.6020833333333333</v>
      </c>
      <c r="O15">
        <v>9.92</v>
      </c>
      <c r="P15" s="8">
        <v>0.72152777777777777</v>
      </c>
      <c r="Q15">
        <v>9.8000000000000007</v>
      </c>
      <c r="R15" s="8">
        <f t="shared" si="2"/>
        <v>0.11944444444444446</v>
      </c>
      <c r="S15" s="9">
        <f t="shared" si="7"/>
        <v>2.8666666666666671</v>
      </c>
      <c r="T15">
        <f t="shared" si="3"/>
        <v>-0.20399999999999865</v>
      </c>
      <c r="U15">
        <f t="shared" si="8"/>
        <v>-7.1162790697673936E-2</v>
      </c>
      <c r="V15">
        <f>Chlorophyll!E14</f>
        <v>193.81175862247272</v>
      </c>
      <c r="W15">
        <f t="shared" si="9"/>
        <v>-3.6717478445821459</v>
      </c>
      <c r="X15">
        <f t="shared" si="10"/>
        <v>0.86490060339045938</v>
      </c>
      <c r="Y15" s="20">
        <f t="shared" si="11"/>
        <v>-3.6717478445821459</v>
      </c>
      <c r="Z15" s="20">
        <f t="shared" si="12"/>
        <v>0.86490060339045938</v>
      </c>
      <c r="AA15">
        <v>23.019444319223432</v>
      </c>
    </row>
    <row r="16" spans="1:27" x14ac:dyDescent="0.25">
      <c r="A16">
        <v>14</v>
      </c>
      <c r="B16" t="s">
        <v>14</v>
      </c>
      <c r="C16" s="16">
        <v>1750</v>
      </c>
      <c r="D16" s="15">
        <v>0.44791666666666669</v>
      </c>
      <c r="E16" s="9">
        <v>10.24</v>
      </c>
      <c r="F16" s="15">
        <v>0.60416666666666663</v>
      </c>
      <c r="G16">
        <v>10.06</v>
      </c>
      <c r="H16" s="8">
        <f t="shared" si="0"/>
        <v>0.15624999999999994</v>
      </c>
      <c r="I16" s="9">
        <f t="shared" si="4"/>
        <v>3.7499999999999987</v>
      </c>
      <c r="J16" s="17">
        <f t="shared" si="1"/>
        <v>-0.3149999999999995</v>
      </c>
      <c r="K16" s="18">
        <f t="shared" si="5"/>
        <v>-8.3999999999999894E-2</v>
      </c>
      <c r="L16">
        <f>Chlorophyll!E15</f>
        <v>73.264532809348992</v>
      </c>
      <c r="M16" s="20">
        <f t="shared" si="6"/>
        <v>-11.465302074413966</v>
      </c>
      <c r="N16" s="8">
        <v>0.60555555555555551</v>
      </c>
      <c r="O16">
        <v>9.93</v>
      </c>
      <c r="P16" s="8">
        <v>0.72361111111111109</v>
      </c>
      <c r="Q16">
        <v>9.7799999999999994</v>
      </c>
      <c r="R16" s="8">
        <f t="shared" si="2"/>
        <v>0.11805555555555558</v>
      </c>
      <c r="S16" s="9">
        <f t="shared" si="7"/>
        <v>2.8333333333333339</v>
      </c>
      <c r="T16">
        <f t="shared" si="3"/>
        <v>-0.26250000000000062</v>
      </c>
      <c r="U16">
        <f t="shared" si="8"/>
        <v>-9.264705882352961E-2</v>
      </c>
      <c r="V16">
        <f>Chlorophyll!E15</f>
        <v>73.264532809348992</v>
      </c>
      <c r="W16">
        <f t="shared" si="9"/>
        <v>-12.645553758544857</v>
      </c>
      <c r="X16">
        <f t="shared" si="10"/>
        <v>1.1802516841308908</v>
      </c>
      <c r="Y16" s="20">
        <f t="shared" si="11"/>
        <v>-12.645553758544857</v>
      </c>
      <c r="Z16" s="20">
        <f t="shared" si="12"/>
        <v>1.1802516841308908</v>
      </c>
      <c r="AA16">
        <v>24.581421208432886</v>
      </c>
    </row>
    <row r="17" spans="1:27" x14ac:dyDescent="0.25">
      <c r="A17">
        <v>15</v>
      </c>
      <c r="B17" t="s">
        <v>14</v>
      </c>
      <c r="C17" s="16">
        <v>1730</v>
      </c>
      <c r="D17" s="15">
        <v>0.44930555555555557</v>
      </c>
      <c r="E17" s="9">
        <v>10.25</v>
      </c>
      <c r="F17" s="15">
        <v>0.6069444444444444</v>
      </c>
      <c r="G17">
        <v>10.24</v>
      </c>
      <c r="H17" s="8">
        <f t="shared" si="0"/>
        <v>0.15763888888888883</v>
      </c>
      <c r="I17" s="9">
        <f t="shared" si="4"/>
        <v>3.7833333333333319</v>
      </c>
      <c r="J17" s="17">
        <f t="shared" si="1"/>
        <v>-1.7299999999999632E-2</v>
      </c>
      <c r="K17" s="18">
        <f t="shared" si="5"/>
        <v>-4.5726872246695076E-3</v>
      </c>
      <c r="L17">
        <f>Chlorophyll!E16</f>
        <v>217.16940896633744</v>
      </c>
      <c r="M17" s="20">
        <f t="shared" si="6"/>
        <v>-0.21055853337881036</v>
      </c>
      <c r="N17" s="8">
        <v>0.60763888888888895</v>
      </c>
      <c r="O17">
        <v>9.91</v>
      </c>
      <c r="P17" s="8">
        <v>0.72499999999999998</v>
      </c>
      <c r="Q17">
        <v>9.7200000000000006</v>
      </c>
      <c r="R17" s="8">
        <f t="shared" si="2"/>
        <v>0.11736111111111103</v>
      </c>
      <c r="S17" s="9">
        <f t="shared" si="7"/>
        <v>2.8166666666666647</v>
      </c>
      <c r="T17">
        <f t="shared" si="3"/>
        <v>-0.32869999999999916</v>
      </c>
      <c r="U17">
        <f t="shared" si="8"/>
        <v>-0.11669822485207079</v>
      </c>
      <c r="V17">
        <f>Chlorophyll!E16</f>
        <v>217.16940896633744</v>
      </c>
      <c r="W17">
        <f t="shared" si="9"/>
        <v>-5.3736032808451268</v>
      </c>
      <c r="X17">
        <f t="shared" si="10"/>
        <v>5.1630447474663166</v>
      </c>
      <c r="Y17" s="20">
        <f t="shared" si="11"/>
        <v>-5.3736032808451268</v>
      </c>
      <c r="Z17" s="20">
        <f t="shared" si="12"/>
        <v>5.1630447474663166</v>
      </c>
      <c r="AA17">
        <v>27.705374986851801</v>
      </c>
    </row>
    <row r="18" spans="1:27" x14ac:dyDescent="0.25">
      <c r="A18">
        <v>16</v>
      </c>
      <c r="B18" t="s">
        <v>14</v>
      </c>
      <c r="C18" s="16">
        <v>1745</v>
      </c>
      <c r="D18" s="15">
        <v>0.4513888888888889</v>
      </c>
      <c r="E18" s="9">
        <v>10.25</v>
      </c>
      <c r="F18" s="15">
        <v>0.60902777777777783</v>
      </c>
      <c r="G18">
        <v>10.54</v>
      </c>
      <c r="H18" s="8">
        <f t="shared" si="0"/>
        <v>0.15763888888888894</v>
      </c>
      <c r="I18" s="9">
        <f t="shared" si="4"/>
        <v>3.7833333333333345</v>
      </c>
      <c r="J18" s="17">
        <f t="shared" si="1"/>
        <v>0.50604999999999856</v>
      </c>
      <c r="K18" s="18">
        <f t="shared" si="5"/>
        <v>0.13375770925110089</v>
      </c>
      <c r="L18">
        <f>Chlorophyll!E17</f>
        <v>183.5514142406536</v>
      </c>
      <c r="M18" s="20">
        <f t="shared" si="6"/>
        <v>7.2872066829042046</v>
      </c>
      <c r="N18" s="8">
        <v>0.61041666666666672</v>
      </c>
      <c r="O18">
        <v>9.9499999999999993</v>
      </c>
      <c r="P18" s="8">
        <v>0.72638888888888886</v>
      </c>
      <c r="Q18">
        <v>9.75</v>
      </c>
      <c r="R18" s="8">
        <f t="shared" si="2"/>
        <v>0.11597222222222214</v>
      </c>
      <c r="S18" s="9">
        <f t="shared" si="7"/>
        <v>2.7833333333333314</v>
      </c>
      <c r="T18">
        <f t="shared" si="3"/>
        <v>-0.34899999999999876</v>
      </c>
      <c r="U18">
        <f t="shared" si="8"/>
        <v>-0.12538922155688587</v>
      </c>
      <c r="V18">
        <f>Chlorophyll!E17</f>
        <v>183.5514142406536</v>
      </c>
      <c r="W18">
        <f t="shared" si="9"/>
        <v>-6.8312860500485444</v>
      </c>
      <c r="X18">
        <f t="shared" si="10"/>
        <v>14.118492732952749</v>
      </c>
      <c r="Y18" s="20">
        <f t="shared" si="11"/>
        <v>-6.8312860500485444</v>
      </c>
      <c r="Z18" s="20">
        <f t="shared" si="12"/>
        <v>14.118492732952749</v>
      </c>
      <c r="AA18">
        <v>31.219822987573064</v>
      </c>
    </row>
    <row r="19" spans="1:27" x14ac:dyDescent="0.25">
      <c r="A19">
        <v>17</v>
      </c>
      <c r="B19" t="s">
        <v>15</v>
      </c>
      <c r="C19" s="16">
        <v>1815</v>
      </c>
      <c r="D19" s="15">
        <v>0.45277777777777778</v>
      </c>
      <c r="E19" s="9">
        <v>10.24</v>
      </c>
      <c r="F19" s="15">
        <v>0.61319444444444449</v>
      </c>
      <c r="G19">
        <v>10.39</v>
      </c>
      <c r="H19" s="8">
        <f t="shared" si="0"/>
        <v>0.16041666666666671</v>
      </c>
      <c r="I19" s="9">
        <f t="shared" si="4"/>
        <v>3.850000000000001</v>
      </c>
      <c r="J19" s="17">
        <f t="shared" si="1"/>
        <v>0.27225000000000066</v>
      </c>
      <c r="K19" s="18">
        <f t="shared" si="5"/>
        <v>7.0714285714285868E-2</v>
      </c>
      <c r="L19">
        <f>Chlorophyll!E18</f>
        <v>159.48452350173224</v>
      </c>
      <c r="M19" s="20">
        <f t="shared" si="6"/>
        <v>4.4339277668856569</v>
      </c>
      <c r="N19" s="8">
        <v>0.61388888888888882</v>
      </c>
      <c r="O19">
        <v>9.92</v>
      </c>
      <c r="P19" s="8">
        <v>0.72777777777777775</v>
      </c>
      <c r="Q19">
        <v>9.59</v>
      </c>
      <c r="R19" s="8">
        <f t="shared" si="2"/>
        <v>0.11388888888888893</v>
      </c>
      <c r="S19" s="9">
        <f t="shared" si="7"/>
        <v>2.7333333333333343</v>
      </c>
      <c r="T19">
        <f t="shared" si="3"/>
        <v>-0.59895000000000009</v>
      </c>
      <c r="U19">
        <f t="shared" si="8"/>
        <v>-0.21912804878048775</v>
      </c>
      <c r="V19">
        <f>Chlorophyll!E18</f>
        <v>159.48452350173224</v>
      </c>
      <c r="W19">
        <f t="shared" si="9"/>
        <v>-13.739768848361496</v>
      </c>
      <c r="X19">
        <f t="shared" si="10"/>
        <v>18.173696615247152</v>
      </c>
      <c r="Y19" s="20">
        <f t="shared" si="11"/>
        <v>-13.739768848361496</v>
      </c>
      <c r="Z19" s="20">
        <f t="shared" si="12"/>
        <v>18.173696615247152</v>
      </c>
      <c r="AA19">
        <v>154.57656764188795</v>
      </c>
    </row>
    <row r="20" spans="1:27" x14ac:dyDescent="0.25">
      <c r="A20">
        <v>18</v>
      </c>
      <c r="B20" t="s">
        <v>15</v>
      </c>
      <c r="C20" s="16">
        <v>1835</v>
      </c>
      <c r="D20" s="15">
        <v>0.4548611111111111</v>
      </c>
      <c r="E20" s="9">
        <v>10.25</v>
      </c>
      <c r="F20" s="15">
        <v>0.61527777777777781</v>
      </c>
      <c r="G20">
        <v>10.18</v>
      </c>
      <c r="H20" s="8">
        <f t="shared" si="0"/>
        <v>0.16041666666666671</v>
      </c>
      <c r="I20" s="9">
        <f t="shared" si="4"/>
        <v>3.850000000000001</v>
      </c>
      <c r="J20" s="17">
        <f t="shared" si="1"/>
        <v>-0.12845000000000051</v>
      </c>
      <c r="K20" s="18">
        <f t="shared" si="5"/>
        <v>-3.3363636363636484E-2</v>
      </c>
      <c r="L20">
        <f>Chlorophyll!E19</f>
        <v>124.58989606494649</v>
      </c>
      <c r="M20" s="20">
        <f t="shared" si="6"/>
        <v>-2.6778765708452488</v>
      </c>
      <c r="N20" s="8">
        <v>0.6166666666666667</v>
      </c>
      <c r="O20">
        <v>9.92</v>
      </c>
      <c r="P20" s="8">
        <v>0.72916666666666663</v>
      </c>
      <c r="Q20">
        <v>9.6999999999999993</v>
      </c>
      <c r="R20" s="8">
        <f t="shared" si="2"/>
        <v>0.11249999999999993</v>
      </c>
      <c r="S20" s="9">
        <f t="shared" si="7"/>
        <v>2.6999999999999984</v>
      </c>
      <c r="T20">
        <f t="shared" si="3"/>
        <v>-0.40370000000000117</v>
      </c>
      <c r="U20">
        <f t="shared" si="8"/>
        <v>-0.14951851851851905</v>
      </c>
      <c r="V20">
        <f>Chlorophyll!E19</f>
        <v>124.58989606494649</v>
      </c>
      <c r="W20">
        <f t="shared" si="9"/>
        <v>-12.000854261936112</v>
      </c>
      <c r="X20">
        <f t="shared" si="10"/>
        <v>9.3229776910908626</v>
      </c>
      <c r="Y20" s="20">
        <f t="shared" si="11"/>
        <v>-12.000854261936112</v>
      </c>
      <c r="Z20" s="20">
        <f t="shared" si="12"/>
        <v>9.3229776910908626</v>
      </c>
      <c r="AA20">
        <v>104.20281296488302</v>
      </c>
    </row>
    <row r="21" spans="1:27" x14ac:dyDescent="0.25">
      <c r="A21">
        <v>19</v>
      </c>
      <c r="B21" t="s">
        <v>15</v>
      </c>
      <c r="C21" s="16">
        <v>1620</v>
      </c>
      <c r="D21" s="15">
        <v>0.45624999999999999</v>
      </c>
      <c r="E21" s="9">
        <v>10.24</v>
      </c>
      <c r="F21" s="15">
        <v>0.61805555555555558</v>
      </c>
      <c r="G21">
        <v>10.24</v>
      </c>
      <c r="H21" s="8">
        <f t="shared" si="0"/>
        <v>0.16180555555555559</v>
      </c>
      <c r="I21" s="9">
        <f t="shared" si="4"/>
        <v>3.8833333333333342</v>
      </c>
      <c r="J21" s="17">
        <f t="shared" si="1"/>
        <v>0</v>
      </c>
      <c r="K21" s="18">
        <f t="shared" si="5"/>
        <v>0</v>
      </c>
      <c r="L21">
        <f>Chlorophyll!E20</f>
        <v>184.73348156574798</v>
      </c>
      <c r="M21" s="20">
        <f t="shared" si="6"/>
        <v>0</v>
      </c>
      <c r="N21" s="8">
        <v>0.61875000000000002</v>
      </c>
      <c r="O21">
        <v>9.93</v>
      </c>
      <c r="P21" s="8">
        <v>0.73125000000000007</v>
      </c>
      <c r="Q21">
        <v>9.52</v>
      </c>
      <c r="R21" s="8">
        <f t="shared" si="2"/>
        <v>0.11250000000000004</v>
      </c>
      <c r="S21" s="9">
        <f t="shared" si="7"/>
        <v>2.7000000000000011</v>
      </c>
      <c r="T21">
        <f t="shared" si="3"/>
        <v>-0.66420000000000023</v>
      </c>
      <c r="U21">
        <f t="shared" si="8"/>
        <v>-0.246</v>
      </c>
      <c r="V21">
        <f>Chlorophyll!E20</f>
        <v>184.73348156574798</v>
      </c>
      <c r="W21">
        <f t="shared" si="9"/>
        <v>-13.316481555751267</v>
      </c>
      <c r="X21">
        <f t="shared" si="10"/>
        <v>13.316481555751267</v>
      </c>
      <c r="Y21" s="20">
        <f t="shared" si="11"/>
        <v>-13.316481555751267</v>
      </c>
      <c r="Z21" s="20">
        <f t="shared" si="12"/>
        <v>13.316481555751267</v>
      </c>
      <c r="AA21">
        <v>152.23360230807376</v>
      </c>
    </row>
    <row r="22" spans="1:27" x14ac:dyDescent="0.25">
      <c r="A22">
        <v>20</v>
      </c>
      <c r="B22" t="s">
        <v>15</v>
      </c>
      <c r="C22" s="16">
        <v>1750</v>
      </c>
      <c r="D22" s="15">
        <v>0.45763888888888887</v>
      </c>
      <c r="E22" s="9">
        <v>10.24</v>
      </c>
      <c r="F22" s="15">
        <v>0.61944444444444446</v>
      </c>
      <c r="G22">
        <v>10.16</v>
      </c>
      <c r="H22" s="8">
        <f t="shared" si="0"/>
        <v>0.16180555555555559</v>
      </c>
      <c r="I22" s="9">
        <f t="shared" si="4"/>
        <v>3.8833333333333342</v>
      </c>
      <c r="J22" s="17">
        <f t="shared" si="1"/>
        <v>-0.14000000000000012</v>
      </c>
      <c r="K22" s="18">
        <f t="shared" si="5"/>
        <v>-3.6051502145922773E-2</v>
      </c>
      <c r="L22">
        <f>Chlorophyll!E21</f>
        <v>197.31067790475205</v>
      </c>
      <c r="M22" s="20">
        <f t="shared" si="6"/>
        <v>-1.8271440009610602</v>
      </c>
      <c r="N22" s="8">
        <v>0.62083333333333335</v>
      </c>
      <c r="O22">
        <v>9.91</v>
      </c>
      <c r="P22" s="8">
        <v>0.73263888888888884</v>
      </c>
      <c r="Q22">
        <v>9.7100000000000009</v>
      </c>
      <c r="R22" s="8">
        <f t="shared" si="2"/>
        <v>0.11180555555555549</v>
      </c>
      <c r="S22" s="9">
        <f t="shared" si="7"/>
        <v>2.6833333333333318</v>
      </c>
      <c r="T22">
        <f t="shared" si="3"/>
        <v>-0.34999999999999876</v>
      </c>
      <c r="U22">
        <f t="shared" si="8"/>
        <v>-0.13043478260869526</v>
      </c>
      <c r="V22">
        <f>Chlorophyll!E21</f>
        <v>197.31067790475205</v>
      </c>
      <c r="W22">
        <f t="shared" si="9"/>
        <v>-6.6106296929180974</v>
      </c>
      <c r="X22">
        <f t="shared" si="10"/>
        <v>4.7834856919570372</v>
      </c>
      <c r="Y22" s="20">
        <f t="shared" si="11"/>
        <v>-6.6106296929180974</v>
      </c>
      <c r="Z22" s="20">
        <f t="shared" si="12"/>
        <v>4.7834856919570372</v>
      </c>
      <c r="AA22">
        <v>113.57467430013978</v>
      </c>
    </row>
    <row r="23" spans="1:27" x14ac:dyDescent="0.25">
      <c r="A23">
        <v>21</v>
      </c>
      <c r="B23" t="s">
        <v>15</v>
      </c>
      <c r="C23" s="16">
        <v>1850</v>
      </c>
      <c r="D23" s="15">
        <v>0.45902777777777781</v>
      </c>
      <c r="E23" s="9">
        <v>10.26</v>
      </c>
      <c r="F23" s="15">
        <v>0.62152777777777779</v>
      </c>
      <c r="G23">
        <v>10.119999999999999</v>
      </c>
      <c r="H23" s="8">
        <f t="shared" si="0"/>
        <v>0.16249999999999998</v>
      </c>
      <c r="I23" s="9">
        <f t="shared" si="4"/>
        <v>3.8999999999999995</v>
      </c>
      <c r="J23" s="17">
        <f t="shared" si="1"/>
        <v>-0.25900000000000106</v>
      </c>
      <c r="K23" s="18">
        <f t="shared" si="5"/>
        <v>-6.6410256410256691E-2</v>
      </c>
      <c r="L23">
        <f>Chlorophyll!E22</f>
        <v>156.64756192150577</v>
      </c>
      <c r="M23" s="20">
        <f t="shared" si="6"/>
        <v>-4.2394695197065424</v>
      </c>
      <c r="N23" s="8">
        <v>0.62222222222222223</v>
      </c>
      <c r="O23">
        <v>9.91</v>
      </c>
      <c r="P23" s="8">
        <v>0.73402777777777783</v>
      </c>
      <c r="Q23">
        <v>9.7200000000000006</v>
      </c>
      <c r="R23" s="8">
        <f t="shared" si="2"/>
        <v>0.1118055555555556</v>
      </c>
      <c r="S23" s="9">
        <f t="shared" si="7"/>
        <v>2.6833333333333345</v>
      </c>
      <c r="T23">
        <f t="shared" si="3"/>
        <v>-0.35149999999999909</v>
      </c>
      <c r="U23">
        <f t="shared" si="8"/>
        <v>-0.13099378881987539</v>
      </c>
      <c r="V23">
        <f>Chlorophyll!E22</f>
        <v>156.64756192150577</v>
      </c>
      <c r="W23">
        <f t="shared" si="9"/>
        <v>-8.362325414647362</v>
      </c>
      <c r="X23">
        <f t="shared" si="10"/>
        <v>4.1228558949408196</v>
      </c>
      <c r="Y23" s="20">
        <f t="shared" si="11"/>
        <v>-8.362325414647362</v>
      </c>
      <c r="Z23" s="20">
        <f t="shared" si="12"/>
        <v>4.1228558949408196</v>
      </c>
      <c r="AA23">
        <v>198.29220574313666</v>
      </c>
    </row>
    <row r="24" spans="1:27" x14ac:dyDescent="0.25">
      <c r="A24">
        <v>22</v>
      </c>
      <c r="B24" t="s">
        <v>15</v>
      </c>
      <c r="C24" s="16">
        <v>1865</v>
      </c>
      <c r="D24" s="15">
        <v>0.4604166666666667</v>
      </c>
      <c r="E24" s="9">
        <v>10.24</v>
      </c>
      <c r="F24" s="15">
        <v>0.62291666666666667</v>
      </c>
      <c r="G24">
        <v>10.07</v>
      </c>
      <c r="H24" s="8">
        <f t="shared" si="0"/>
        <v>0.16249999999999998</v>
      </c>
      <c r="I24" s="9">
        <f t="shared" si="4"/>
        <v>3.8999999999999995</v>
      </c>
      <c r="J24" s="17">
        <f t="shared" si="1"/>
        <v>-0.31704999999999989</v>
      </c>
      <c r="K24" s="18">
        <f t="shared" si="5"/>
        <v>-8.129487179487177E-2</v>
      </c>
      <c r="L24">
        <f>Chlorophyll!E23</f>
        <v>148.1603185273282</v>
      </c>
      <c r="M24" s="20">
        <f t="shared" si="6"/>
        <v>-5.4869530926310013</v>
      </c>
      <c r="N24" s="8">
        <v>0.62430555555555556</v>
      </c>
      <c r="O24">
        <v>9.92</v>
      </c>
      <c r="P24" s="8">
        <v>0.73541666666666661</v>
      </c>
      <c r="Q24">
        <v>9.68</v>
      </c>
      <c r="R24" s="8">
        <f t="shared" si="2"/>
        <v>0.11111111111111105</v>
      </c>
      <c r="S24" s="9">
        <f t="shared" si="7"/>
        <v>2.6666666666666652</v>
      </c>
      <c r="T24">
        <f t="shared" si="3"/>
        <v>-0.44760000000000039</v>
      </c>
      <c r="U24">
        <f t="shared" si="8"/>
        <v>-0.16785000000000025</v>
      </c>
      <c r="V24">
        <f>Chlorophyll!E23</f>
        <v>148.1603185273282</v>
      </c>
      <c r="W24">
        <f t="shared" si="9"/>
        <v>-11.328944326549911</v>
      </c>
      <c r="X24">
        <f t="shared" si="10"/>
        <v>5.8419912339189093</v>
      </c>
      <c r="Y24" s="20">
        <f t="shared" si="11"/>
        <v>-11.328944326549911</v>
      </c>
      <c r="Z24" s="20">
        <f t="shared" si="12"/>
        <v>5.8419912339189093</v>
      </c>
      <c r="AA24">
        <v>201.41615952155556</v>
      </c>
    </row>
    <row r="25" spans="1:27" x14ac:dyDescent="0.25">
      <c r="A25">
        <v>23</v>
      </c>
      <c r="B25" t="s">
        <v>15</v>
      </c>
      <c r="C25" s="16">
        <v>1665</v>
      </c>
      <c r="D25" s="15">
        <v>0.46319444444444446</v>
      </c>
      <c r="E25" s="9">
        <v>10.23</v>
      </c>
      <c r="F25" s="15">
        <v>0.62569444444444444</v>
      </c>
      <c r="G25">
        <v>9.98</v>
      </c>
      <c r="H25" s="8">
        <f t="shared" si="0"/>
        <v>0.16249999999999998</v>
      </c>
      <c r="I25" s="9">
        <f t="shared" si="4"/>
        <v>3.8999999999999995</v>
      </c>
      <c r="J25" s="17">
        <f t="shared" si="1"/>
        <v>-0.41625000000000001</v>
      </c>
      <c r="K25" s="18">
        <f t="shared" si="5"/>
        <v>-0.10673076923076925</v>
      </c>
      <c r="L25">
        <f>Chlorophyll!E24</f>
        <v>189.91093644966131</v>
      </c>
      <c r="M25" s="20">
        <f t="shared" si="6"/>
        <v>-5.6200433332632116</v>
      </c>
      <c r="N25" s="8">
        <v>0.62638888888888888</v>
      </c>
      <c r="O25">
        <v>9.9</v>
      </c>
      <c r="P25" s="8">
        <v>0.7368055555555556</v>
      </c>
      <c r="Q25">
        <v>9.66</v>
      </c>
      <c r="R25" s="8">
        <f t="shared" si="2"/>
        <v>0.11041666666666672</v>
      </c>
      <c r="S25" s="9">
        <f t="shared" si="7"/>
        <v>2.6500000000000012</v>
      </c>
      <c r="T25">
        <f t="shared" si="3"/>
        <v>-0.39960000000000034</v>
      </c>
      <c r="U25">
        <f t="shared" si="8"/>
        <v>-0.15079245283018874</v>
      </c>
      <c r="V25">
        <f>Chlorophyll!E24</f>
        <v>189.91093644966131</v>
      </c>
      <c r="W25">
        <f t="shared" si="9"/>
        <v>-7.9401668829198</v>
      </c>
      <c r="X25">
        <f t="shared" si="10"/>
        <v>2.3201235496565884</v>
      </c>
      <c r="Y25" s="20">
        <f t="shared" si="11"/>
        <v>-7.9401668829198</v>
      </c>
      <c r="Z25" s="20">
        <f t="shared" si="12"/>
        <v>2.3201235496565884</v>
      </c>
      <c r="AA25">
        <v>196.7302288539272</v>
      </c>
    </row>
    <row r="26" spans="1:27" x14ac:dyDescent="0.25">
      <c r="A26">
        <v>24</v>
      </c>
      <c r="B26" t="s">
        <v>15</v>
      </c>
      <c r="C26" s="16">
        <v>1560</v>
      </c>
      <c r="D26" s="15">
        <v>0.46458333333333335</v>
      </c>
      <c r="E26" s="9">
        <v>10.23</v>
      </c>
      <c r="F26" s="15">
        <v>0.62777777777777777</v>
      </c>
      <c r="G26">
        <v>9.9700000000000006</v>
      </c>
      <c r="H26" s="8">
        <f t="shared" si="0"/>
        <v>0.16319444444444442</v>
      </c>
      <c r="I26" s="9">
        <f t="shared" si="4"/>
        <v>3.9166666666666661</v>
      </c>
      <c r="J26" s="17">
        <f t="shared" si="1"/>
        <v>-0.40559999999999968</v>
      </c>
      <c r="K26" s="18">
        <f t="shared" si="5"/>
        <v>-0.10355744680851058</v>
      </c>
      <c r="L26">
        <f>Chlorophyll!E25</f>
        <v>221.51941672268475</v>
      </c>
      <c r="M26" s="20">
        <f t="shared" si="6"/>
        <v>-4.6748699658302115</v>
      </c>
      <c r="N26" s="8">
        <v>0.62847222222222221</v>
      </c>
      <c r="O26">
        <v>9.93</v>
      </c>
      <c r="P26" s="8">
        <v>0.73888888888888893</v>
      </c>
      <c r="Q26">
        <v>9.76</v>
      </c>
      <c r="R26" s="8">
        <f t="shared" si="2"/>
        <v>0.11041666666666672</v>
      </c>
      <c r="S26" s="9">
        <f t="shared" si="7"/>
        <v>2.6500000000000012</v>
      </c>
      <c r="T26">
        <f t="shared" si="3"/>
        <v>-0.26519999999999988</v>
      </c>
      <c r="U26">
        <f t="shared" si="8"/>
        <v>-0.10007547169811312</v>
      </c>
      <c r="V26">
        <f>Chlorophyll!E25</f>
        <v>221.51941672268475</v>
      </c>
      <c r="W26">
        <f t="shared" si="9"/>
        <v>-4.5176839655277439</v>
      </c>
      <c r="X26">
        <f t="shared" si="10"/>
        <v>-0.15718600030246765</v>
      </c>
      <c r="Y26" s="20">
        <f t="shared" si="11"/>
        <v>-4.5176839655277439</v>
      </c>
      <c r="Z26" s="20">
        <f t="shared" si="12"/>
        <v>0</v>
      </c>
      <c r="AA26">
        <v>140.49906084238683</v>
      </c>
    </row>
    <row r="27" spans="1:27" x14ac:dyDescent="0.25">
      <c r="D27" s="8"/>
      <c r="E27"/>
      <c r="F27" s="8"/>
      <c r="G27"/>
      <c r="H27" s="8"/>
      <c r="I27" s="9"/>
      <c r="N27" s="8"/>
      <c r="P27" s="8"/>
      <c r="R27" s="8"/>
      <c r="S27" s="9"/>
    </row>
    <row r="28" spans="1:27" x14ac:dyDescent="0.25">
      <c r="D28" s="8"/>
      <c r="E28"/>
      <c r="F28" s="8"/>
      <c r="G28"/>
      <c r="H28" s="8"/>
      <c r="I28" s="9"/>
      <c r="N28" s="8"/>
      <c r="P28" s="8"/>
      <c r="R28" s="8"/>
      <c r="S28" s="9"/>
    </row>
    <row r="29" spans="1:27" x14ac:dyDescent="0.25">
      <c r="D29" s="8"/>
      <c r="E29"/>
      <c r="F29" s="8"/>
      <c r="G29"/>
      <c r="H29" s="8"/>
      <c r="I29" s="9"/>
      <c r="N29" s="8"/>
      <c r="P29" s="8"/>
      <c r="R29" s="8"/>
      <c r="S29" s="9"/>
    </row>
    <row r="30" spans="1:27" x14ac:dyDescent="0.25">
      <c r="D30" s="8"/>
      <c r="E30"/>
      <c r="F30" s="8"/>
      <c r="G30"/>
      <c r="H30" s="8"/>
      <c r="I30" s="9"/>
      <c r="N30" s="8"/>
      <c r="P30" s="8"/>
      <c r="R30" s="8"/>
      <c r="S30" s="9"/>
    </row>
    <row r="31" spans="1:27" x14ac:dyDescent="0.25">
      <c r="D31" s="8"/>
      <c r="E31"/>
      <c r="F31" s="8"/>
      <c r="G31"/>
      <c r="H31" s="8"/>
      <c r="I31" s="9"/>
      <c r="N31" s="8"/>
      <c r="P31" s="8"/>
      <c r="R31" s="8"/>
      <c r="S31" s="9"/>
    </row>
    <row r="32" spans="1:27" x14ac:dyDescent="0.25">
      <c r="D32" s="8"/>
      <c r="E32"/>
      <c r="F32" s="8"/>
      <c r="G32"/>
      <c r="H32" s="8"/>
      <c r="I32" s="9"/>
      <c r="N32" s="8"/>
      <c r="P32" s="8"/>
      <c r="R32" s="8"/>
      <c r="S32" s="9"/>
    </row>
    <row r="33" spans="4:19" x14ac:dyDescent="0.25">
      <c r="D33" s="8"/>
      <c r="E33"/>
      <c r="F33" s="8"/>
      <c r="G33"/>
      <c r="H33" s="8"/>
      <c r="I33" s="9"/>
      <c r="N33" s="8"/>
      <c r="P33" s="8"/>
      <c r="R33" s="8"/>
      <c r="S33" s="9"/>
    </row>
    <row r="34" spans="4:19" x14ac:dyDescent="0.25">
      <c r="D34" s="8"/>
      <c r="E34"/>
      <c r="F34" s="8"/>
      <c r="G34"/>
      <c r="H34" s="8"/>
      <c r="I34" s="9"/>
      <c r="N34" s="8"/>
      <c r="P34" s="8"/>
      <c r="R34" s="8"/>
      <c r="S34" s="9"/>
    </row>
    <row r="35" spans="4:19" x14ac:dyDescent="0.25">
      <c r="D35" s="8"/>
      <c r="E35"/>
      <c r="F35" s="8"/>
      <c r="G35"/>
      <c r="H35" s="8"/>
      <c r="I35" s="9"/>
      <c r="N35" s="8"/>
      <c r="P35" s="8"/>
      <c r="R35" s="8"/>
      <c r="S35" s="9"/>
    </row>
    <row r="36" spans="4:19" x14ac:dyDescent="0.25">
      <c r="D36" s="8"/>
      <c r="E36"/>
      <c r="F36" s="8"/>
      <c r="G36"/>
      <c r="H36" s="8"/>
      <c r="I36" s="9"/>
      <c r="N36" s="8"/>
      <c r="P36" s="8"/>
      <c r="R36" s="8"/>
      <c r="S36" s="9"/>
    </row>
    <row r="37" spans="4:19" x14ac:dyDescent="0.25">
      <c r="D37" s="8"/>
      <c r="E37"/>
      <c r="F37" s="8"/>
      <c r="G37"/>
      <c r="H37" s="8"/>
      <c r="I37" s="9"/>
      <c r="N37" s="8"/>
      <c r="P37" s="8"/>
      <c r="R37" s="8"/>
      <c r="S37" s="9"/>
    </row>
    <row r="38" spans="4:19" x14ac:dyDescent="0.25">
      <c r="D38" s="8"/>
      <c r="E38"/>
      <c r="F38" s="8"/>
      <c r="G38"/>
      <c r="H38" s="8"/>
      <c r="I38" s="9"/>
      <c r="N38" s="8"/>
      <c r="P38" s="8"/>
      <c r="R38" s="8"/>
      <c r="S38" s="9"/>
    </row>
    <row r="39" spans="4:19" x14ac:dyDescent="0.25">
      <c r="D39" s="8"/>
      <c r="E39"/>
      <c r="F39" s="8"/>
      <c r="G39"/>
      <c r="H39" s="8"/>
      <c r="I39" s="9"/>
      <c r="N39" s="8"/>
      <c r="P39" s="8"/>
      <c r="R39" s="8"/>
      <c r="S39" s="9"/>
    </row>
    <row r="40" spans="4:19" x14ac:dyDescent="0.25">
      <c r="D40" s="8"/>
      <c r="E40"/>
      <c r="F40" s="8"/>
      <c r="G40"/>
      <c r="H40" s="8"/>
      <c r="I40" s="9"/>
      <c r="N40" s="8"/>
      <c r="P40" s="8"/>
      <c r="R40" s="8"/>
      <c r="S40" s="9"/>
    </row>
    <row r="41" spans="4:19" x14ac:dyDescent="0.25">
      <c r="D41" s="8"/>
      <c r="E41"/>
      <c r="F41" s="8"/>
      <c r="G41"/>
      <c r="H41" s="8"/>
      <c r="I41" s="9"/>
      <c r="N41" s="8"/>
      <c r="P41" s="8"/>
      <c r="R41" s="8"/>
      <c r="S41" s="9"/>
    </row>
    <row r="42" spans="4:19" x14ac:dyDescent="0.25">
      <c r="D42" s="8"/>
      <c r="E42"/>
      <c r="F42" s="8"/>
      <c r="G42"/>
      <c r="H42" s="8"/>
      <c r="I42" s="9"/>
      <c r="N42" s="8"/>
      <c r="P42" s="8"/>
      <c r="R42" s="8"/>
      <c r="S42" s="9"/>
    </row>
    <row r="43" spans="4:19" x14ac:dyDescent="0.25">
      <c r="D43" s="8"/>
      <c r="E43"/>
      <c r="F43" s="8"/>
      <c r="G43"/>
      <c r="H43" s="8"/>
      <c r="I43" s="9"/>
      <c r="N43" s="8"/>
      <c r="P43" s="8"/>
      <c r="R43" s="8"/>
      <c r="S43" s="9"/>
    </row>
    <row r="44" spans="4:19" x14ac:dyDescent="0.25">
      <c r="D44" s="8"/>
      <c r="E44"/>
      <c r="F44" s="8"/>
      <c r="G44"/>
      <c r="H44" s="8"/>
      <c r="I44" s="9"/>
      <c r="N44" s="8"/>
      <c r="P44" s="8"/>
      <c r="R44" s="8"/>
      <c r="S44" s="9"/>
    </row>
    <row r="45" spans="4:19" x14ac:dyDescent="0.25">
      <c r="D45" s="8"/>
      <c r="E45"/>
      <c r="F45" s="8"/>
      <c r="G45"/>
      <c r="H45" s="8"/>
      <c r="I45" s="9"/>
      <c r="N45" s="8"/>
      <c r="P45" s="8"/>
      <c r="R45" s="8"/>
      <c r="S45" s="9"/>
    </row>
    <row r="46" spans="4:19" x14ac:dyDescent="0.25">
      <c r="D46" s="8"/>
      <c r="E46"/>
      <c r="F46" s="8"/>
      <c r="G46"/>
      <c r="H46" s="8"/>
      <c r="I46" s="9"/>
      <c r="N46" s="8"/>
      <c r="P46" s="8"/>
      <c r="R46" s="8"/>
      <c r="S46" s="9"/>
    </row>
    <row r="47" spans="4:19" x14ac:dyDescent="0.25">
      <c r="D47" s="8"/>
      <c r="E47"/>
      <c r="F47" s="8"/>
      <c r="G47"/>
      <c r="H47" s="8"/>
      <c r="I47" s="9"/>
      <c r="N47" s="8"/>
      <c r="P47" s="8"/>
      <c r="R47" s="8"/>
      <c r="S47" s="9"/>
    </row>
    <row r="48" spans="4:19" x14ac:dyDescent="0.25">
      <c r="D48" s="8"/>
      <c r="E48"/>
      <c r="F48" s="8"/>
      <c r="G48"/>
      <c r="H48" s="8"/>
      <c r="I48" s="9"/>
      <c r="N48" s="8"/>
      <c r="P48" s="8"/>
      <c r="R48" s="8"/>
      <c r="S48" s="9"/>
    </row>
    <row r="49" spans="4:19" x14ac:dyDescent="0.25">
      <c r="D49" s="8"/>
      <c r="E49"/>
      <c r="F49" s="8"/>
      <c r="G49"/>
      <c r="H49" s="8"/>
      <c r="I49" s="9"/>
      <c r="N49" s="8"/>
      <c r="P49" s="8"/>
      <c r="R49" s="8"/>
      <c r="S49" s="9"/>
    </row>
    <row r="50" spans="4:19" x14ac:dyDescent="0.25">
      <c r="D50" s="8"/>
      <c r="E50"/>
      <c r="F50" s="8"/>
      <c r="G50"/>
      <c r="H50" s="8"/>
      <c r="I50" s="9"/>
      <c r="N50" s="8"/>
      <c r="P50" s="8"/>
      <c r="R50" s="8"/>
      <c r="S50" s="9"/>
    </row>
    <row r="51" spans="4:19" x14ac:dyDescent="0.25">
      <c r="D51" s="8"/>
      <c r="E51"/>
      <c r="F51" s="8"/>
      <c r="G51"/>
      <c r="H51" s="8"/>
      <c r="I51" s="9"/>
      <c r="N51" s="8"/>
      <c r="P51" s="8"/>
      <c r="R51" s="8"/>
      <c r="S51" s="9"/>
    </row>
    <row r="52" spans="4:19" x14ac:dyDescent="0.25">
      <c r="D52" s="8"/>
      <c r="E52"/>
      <c r="F52" s="8"/>
      <c r="G52"/>
      <c r="H52" s="8"/>
      <c r="I52" s="9"/>
      <c r="N52" s="8"/>
      <c r="P52" s="8"/>
      <c r="R52" s="8"/>
      <c r="S52" s="9"/>
    </row>
    <row r="53" spans="4:19" x14ac:dyDescent="0.25">
      <c r="D53" s="8"/>
      <c r="E53"/>
      <c r="F53" s="8"/>
      <c r="G53"/>
      <c r="H53" s="8"/>
      <c r="I53" s="9"/>
      <c r="N53" s="8"/>
      <c r="P53" s="8"/>
      <c r="R53" s="8"/>
      <c r="S53" s="9"/>
    </row>
    <row r="54" spans="4:19" x14ac:dyDescent="0.25">
      <c r="D54" s="8"/>
      <c r="E54"/>
      <c r="F54" s="8"/>
      <c r="G54"/>
      <c r="H54" s="8"/>
      <c r="I54" s="9"/>
      <c r="N54" s="8"/>
      <c r="P54" s="8"/>
      <c r="R54" s="8"/>
      <c r="S54" s="9"/>
    </row>
    <row r="55" spans="4:19" x14ac:dyDescent="0.25">
      <c r="D55" s="8"/>
      <c r="E55"/>
      <c r="F55" s="8"/>
      <c r="G55"/>
      <c r="H55" s="8"/>
      <c r="I55" s="9"/>
      <c r="N55" s="8"/>
      <c r="P55" s="8"/>
      <c r="R55" s="8"/>
      <c r="S55" s="9"/>
    </row>
    <row r="56" spans="4:19" x14ac:dyDescent="0.25">
      <c r="D56" s="8"/>
      <c r="E56"/>
      <c r="F56" s="8"/>
      <c r="G56"/>
      <c r="H56" s="8"/>
      <c r="I56" s="9"/>
      <c r="N56" s="8"/>
      <c r="P56" s="8"/>
      <c r="R56" s="8"/>
      <c r="S56" s="9"/>
    </row>
    <row r="57" spans="4:19" x14ac:dyDescent="0.25">
      <c r="D57" s="8"/>
      <c r="E57"/>
      <c r="F57" s="8"/>
      <c r="G57"/>
      <c r="H57" s="8"/>
      <c r="I57" s="9"/>
      <c r="N57" s="8"/>
      <c r="P57" s="8"/>
      <c r="R57" s="8"/>
      <c r="S57" s="9"/>
    </row>
    <row r="58" spans="4:19" x14ac:dyDescent="0.25">
      <c r="D58" s="8"/>
      <c r="F58" s="8"/>
      <c r="H58" s="8"/>
      <c r="I58" s="9"/>
      <c r="N58" s="8"/>
      <c r="O58" s="12"/>
      <c r="P58" s="14"/>
      <c r="Q58" s="12"/>
      <c r="R58" s="8"/>
      <c r="S58" s="9"/>
    </row>
    <row r="59" spans="4:19" x14ac:dyDescent="0.25">
      <c r="D59" s="8"/>
      <c r="E59"/>
      <c r="F59" s="8"/>
      <c r="G59"/>
      <c r="H59" s="8"/>
      <c r="I59" s="9"/>
      <c r="N59" s="8"/>
      <c r="P59" s="8"/>
      <c r="R59" s="8"/>
      <c r="S59" s="9"/>
    </row>
    <row r="60" spans="4:19" x14ac:dyDescent="0.25">
      <c r="D60" s="8"/>
      <c r="E60"/>
      <c r="F60" s="8"/>
      <c r="G60"/>
      <c r="H60" s="8"/>
      <c r="I60" s="9"/>
      <c r="N60" s="8"/>
      <c r="P60" s="8"/>
      <c r="R60" s="8"/>
      <c r="S60" s="9"/>
    </row>
    <row r="61" spans="4:19" x14ac:dyDescent="0.25">
      <c r="D61" s="8"/>
      <c r="E61"/>
      <c r="F61" s="8"/>
      <c r="G61"/>
      <c r="H61" s="8"/>
      <c r="I61" s="9"/>
      <c r="N61" s="8"/>
      <c r="P61" s="8"/>
      <c r="R61" s="8"/>
      <c r="S61" s="9"/>
    </row>
    <row r="62" spans="4:19" x14ac:dyDescent="0.25">
      <c r="D62" s="8"/>
      <c r="E62"/>
      <c r="F62" s="8"/>
      <c r="G62"/>
      <c r="H62" s="8"/>
      <c r="I62" s="9"/>
      <c r="N62" s="8"/>
      <c r="P62" s="8"/>
      <c r="R62" s="8"/>
      <c r="S62" s="9"/>
    </row>
    <row r="63" spans="4:19" x14ac:dyDescent="0.25">
      <c r="D63" s="8"/>
      <c r="E63"/>
      <c r="F63" s="8"/>
      <c r="G63"/>
      <c r="H63" s="8"/>
      <c r="I63" s="9"/>
      <c r="N63" s="8"/>
      <c r="P63" s="8"/>
      <c r="R63" s="8"/>
      <c r="S63" s="9"/>
    </row>
    <row r="64" spans="4:19" x14ac:dyDescent="0.25">
      <c r="D64" s="8"/>
      <c r="E64"/>
      <c r="F64" s="8"/>
      <c r="G64"/>
      <c r="H64" s="8"/>
      <c r="I64" s="9"/>
      <c r="N64" s="8"/>
      <c r="P64" s="8"/>
      <c r="R64" s="8"/>
      <c r="S64" s="9"/>
    </row>
    <row r="65" spans="1:26" x14ac:dyDescent="0.25">
      <c r="D65" s="8"/>
      <c r="E65"/>
      <c r="F65" s="8"/>
      <c r="G65"/>
      <c r="H65" s="8"/>
      <c r="I65" s="9"/>
      <c r="N65" s="8"/>
      <c r="P65" s="8"/>
      <c r="R65" s="8"/>
      <c r="S65" s="9"/>
    </row>
    <row r="66" spans="1:26" x14ac:dyDescent="0.25">
      <c r="D66" s="8"/>
      <c r="E66"/>
      <c r="F66" s="8"/>
      <c r="G66"/>
      <c r="H66" s="8"/>
      <c r="I66" s="9"/>
      <c r="N66" s="8"/>
      <c r="P66" s="8"/>
      <c r="R66" s="8"/>
      <c r="S66" s="9"/>
    </row>
    <row r="67" spans="1:26" x14ac:dyDescent="0.25">
      <c r="A67" s="2"/>
      <c r="B67" s="2"/>
      <c r="C67" s="2"/>
      <c r="D67" s="10"/>
      <c r="E67" s="2"/>
      <c r="F67" s="10"/>
      <c r="G67" s="2"/>
      <c r="H67" s="10"/>
      <c r="I67" s="11"/>
      <c r="J67" s="2"/>
      <c r="K67" s="2"/>
      <c r="L67" s="2"/>
      <c r="M67" s="2"/>
      <c r="N67" s="10"/>
      <c r="O67" s="2"/>
      <c r="P67" s="10"/>
      <c r="Q67" s="2"/>
      <c r="R67" s="10"/>
      <c r="S67" s="11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10"/>
      <c r="E68" s="2"/>
      <c r="F68" s="10"/>
      <c r="G68" s="2"/>
      <c r="H68" s="10"/>
      <c r="I68" s="11"/>
      <c r="J68" s="2"/>
      <c r="K68" s="2"/>
      <c r="L68" s="2"/>
      <c r="M68" s="2"/>
      <c r="N68" s="10"/>
      <c r="O68" s="2"/>
      <c r="P68" s="10"/>
      <c r="Q68" s="2"/>
      <c r="R68" s="10"/>
      <c r="S68" s="11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10"/>
      <c r="E69" s="2"/>
      <c r="F69" s="10"/>
      <c r="G69" s="2"/>
      <c r="H69" s="10"/>
      <c r="I69" s="11"/>
      <c r="J69" s="2"/>
      <c r="K69" s="2"/>
      <c r="L69" s="2"/>
      <c r="M69" s="2"/>
      <c r="N69" s="10"/>
      <c r="O69" s="2"/>
      <c r="P69" s="10"/>
      <c r="Q69" s="2"/>
      <c r="R69" s="10"/>
      <c r="S69" s="11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10"/>
      <c r="E70" s="2"/>
      <c r="F70" s="10"/>
      <c r="G70" s="2"/>
      <c r="H70" s="10"/>
      <c r="I70" s="11"/>
      <c r="J70" s="2"/>
      <c r="K70" s="2"/>
      <c r="L70" s="2"/>
      <c r="M70" s="2"/>
      <c r="N70" s="10"/>
      <c r="O70" s="2"/>
      <c r="P70" s="10"/>
      <c r="Q70" s="2"/>
      <c r="R70" s="10"/>
      <c r="S70" s="11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10"/>
      <c r="E71" s="2"/>
      <c r="F71" s="10"/>
      <c r="G71" s="2"/>
      <c r="H71" s="10"/>
      <c r="I71" s="11"/>
      <c r="J71" s="2"/>
      <c r="K71" s="2"/>
      <c r="L71" s="2"/>
      <c r="M71" s="2"/>
      <c r="N71" s="10"/>
      <c r="O71" s="2"/>
      <c r="P71" s="10"/>
      <c r="Q71" s="2"/>
      <c r="R71" s="10"/>
      <c r="S71" s="11"/>
      <c r="T71" s="2"/>
      <c r="U71" s="2"/>
      <c r="V71" s="2"/>
      <c r="W71" s="2"/>
      <c r="X71" s="2"/>
      <c r="Y71" s="2"/>
      <c r="Z71" s="2"/>
    </row>
    <row r="72" spans="1:26" x14ac:dyDescent="0.25">
      <c r="D72" s="8"/>
      <c r="F72" s="8"/>
      <c r="H72" s="8"/>
      <c r="I72" s="9"/>
      <c r="N72" s="8"/>
      <c r="O72" s="12"/>
      <c r="P72" s="14"/>
      <c r="Q72" s="12"/>
      <c r="R72" s="8"/>
      <c r="S72" s="9"/>
    </row>
    <row r="73" spans="1:26" x14ac:dyDescent="0.25">
      <c r="D73" s="8"/>
      <c r="F73" s="8"/>
      <c r="H73" s="8"/>
      <c r="I73" s="9"/>
      <c r="N73" s="8"/>
      <c r="O73" s="12"/>
      <c r="P73" s="14"/>
      <c r="Q73" s="12"/>
      <c r="R73" s="8"/>
      <c r="S73" s="9"/>
    </row>
    <row r="74" spans="1:26" x14ac:dyDescent="0.25">
      <c r="D74" s="8"/>
      <c r="F74" s="8"/>
      <c r="H74" s="8"/>
      <c r="I74" s="9"/>
      <c r="N74" s="8"/>
      <c r="O74" s="12"/>
      <c r="P74" s="14"/>
      <c r="Q74" s="12"/>
      <c r="R74" s="8"/>
      <c r="S74" s="9"/>
    </row>
    <row r="75" spans="1:26" x14ac:dyDescent="0.25">
      <c r="D75" s="8"/>
      <c r="F75" s="8"/>
      <c r="H75" s="8"/>
      <c r="I75" s="9"/>
      <c r="N75" s="8"/>
      <c r="O75" s="12"/>
      <c r="P75" s="14"/>
      <c r="Q75" s="12"/>
      <c r="R75" s="8"/>
      <c r="S75" s="9"/>
    </row>
    <row r="76" spans="1:26" x14ac:dyDescent="0.25">
      <c r="D76" s="8"/>
      <c r="F76" s="8"/>
      <c r="H76" s="8"/>
      <c r="I76" s="9"/>
      <c r="N76" s="8"/>
      <c r="O76" s="12"/>
      <c r="P76" s="14"/>
      <c r="Q76" s="12"/>
      <c r="R76" s="8"/>
      <c r="S76" s="9"/>
    </row>
    <row r="77" spans="1:26" x14ac:dyDescent="0.25">
      <c r="D77" s="8"/>
      <c r="F77" s="8"/>
      <c r="H77" s="8"/>
      <c r="I77" s="9"/>
      <c r="N77" s="8"/>
      <c r="O77" s="12"/>
      <c r="P77" s="14"/>
      <c r="Q77" s="12"/>
      <c r="R77" s="8"/>
      <c r="S77" s="9"/>
    </row>
    <row r="78" spans="1:26" x14ac:dyDescent="0.25">
      <c r="D78" s="8"/>
      <c r="F78" s="8"/>
      <c r="H78" s="8"/>
      <c r="I78" s="9"/>
      <c r="N78" s="8"/>
      <c r="O78" s="12"/>
      <c r="P78" s="14"/>
      <c r="Q78" s="12"/>
      <c r="R78" s="8"/>
      <c r="S78" s="9"/>
    </row>
    <row r="79" spans="1:26" x14ac:dyDescent="0.25">
      <c r="D79" s="8"/>
      <c r="F79" s="8"/>
      <c r="H79" s="8"/>
      <c r="I79" s="9"/>
      <c r="N79" s="13"/>
      <c r="O79" s="12"/>
      <c r="P79" s="14"/>
      <c r="Q79" s="12"/>
      <c r="R79" s="8"/>
      <c r="S79" s="9"/>
    </row>
    <row r="80" spans="1:26" x14ac:dyDescent="0.25">
      <c r="D80" s="8"/>
      <c r="F80" s="8"/>
      <c r="H80" s="8"/>
      <c r="I80" s="9"/>
      <c r="N80" s="8"/>
      <c r="O80" s="12"/>
      <c r="P80" s="14"/>
      <c r="Q80" s="12"/>
      <c r="R80" s="8"/>
      <c r="S80" s="9"/>
    </row>
    <row r="81" spans="4:19" x14ac:dyDescent="0.25">
      <c r="D81" s="8"/>
      <c r="F81" s="8"/>
      <c r="H81" s="8"/>
      <c r="I81" s="9"/>
      <c r="N81" s="8"/>
      <c r="O81" s="12"/>
      <c r="P81" s="14"/>
      <c r="Q81" s="12"/>
      <c r="R81" s="8"/>
      <c r="S81" s="9"/>
    </row>
    <row r="82" spans="4:19" x14ac:dyDescent="0.25">
      <c r="D82" s="8"/>
      <c r="F82" s="8"/>
      <c r="H82" s="8"/>
      <c r="I82" s="9"/>
      <c r="N82" s="8"/>
      <c r="O82" s="12"/>
      <c r="P82" s="14"/>
      <c r="Q82" s="12"/>
      <c r="R82" s="8"/>
      <c r="S82" s="9"/>
    </row>
    <row r="83" spans="4:19" x14ac:dyDescent="0.25">
      <c r="D83" s="8"/>
      <c r="F83" s="8"/>
      <c r="H83" s="8"/>
      <c r="I83" s="9"/>
      <c r="N83" s="8"/>
      <c r="O83" s="12"/>
      <c r="P83" s="14"/>
      <c r="Q83" s="12"/>
      <c r="R83" s="8"/>
      <c r="S83" s="9"/>
    </row>
    <row r="84" spans="4:19" x14ac:dyDescent="0.25">
      <c r="D84" s="8"/>
      <c r="F84" s="8"/>
      <c r="H84" s="8"/>
      <c r="I84" s="9"/>
      <c r="N84" s="8"/>
      <c r="O84" s="12"/>
      <c r="P84" s="14"/>
      <c r="Q84" s="12"/>
      <c r="R84" s="8"/>
      <c r="S84" s="9"/>
    </row>
    <row r="85" spans="4:19" x14ac:dyDescent="0.25">
      <c r="D85" s="8"/>
      <c r="F85" s="8"/>
      <c r="H85" s="8"/>
      <c r="I85" s="9"/>
      <c r="N85" s="8"/>
      <c r="O85" s="12"/>
      <c r="P85" s="14"/>
      <c r="Q85" s="12"/>
      <c r="R85" s="8"/>
      <c r="S85" s="9"/>
    </row>
    <row r="86" spans="4:19" x14ac:dyDescent="0.25">
      <c r="D86" s="8"/>
      <c r="F86" s="8"/>
      <c r="H86" s="8"/>
      <c r="I86" s="9"/>
      <c r="N86" s="8"/>
      <c r="O86" s="12"/>
      <c r="P86" s="14"/>
      <c r="Q86" s="12"/>
      <c r="R86" s="8"/>
      <c r="S86" s="9"/>
    </row>
    <row r="87" spans="4:19" x14ac:dyDescent="0.25">
      <c r="D87" s="8"/>
      <c r="F87" s="8"/>
      <c r="H87" s="8"/>
      <c r="I87" s="9"/>
      <c r="N87" s="8"/>
      <c r="O87" s="12"/>
      <c r="P87" s="14"/>
      <c r="Q87" s="12"/>
      <c r="R87" s="8"/>
      <c r="S87" s="9"/>
    </row>
    <row r="88" spans="4:19" x14ac:dyDescent="0.25">
      <c r="D88" s="8"/>
      <c r="F88" s="8"/>
      <c r="H88" s="8"/>
      <c r="I88" s="9"/>
      <c r="N88" s="8"/>
      <c r="O88" s="12"/>
      <c r="P88" s="14"/>
      <c r="Q88" s="12"/>
      <c r="R88" s="8"/>
      <c r="S88" s="9"/>
    </row>
    <row r="89" spans="4:19" x14ac:dyDescent="0.25">
      <c r="D89" s="8"/>
      <c r="F89" s="8"/>
      <c r="H89" s="8"/>
      <c r="I89" s="9"/>
      <c r="N89" s="8"/>
      <c r="O89" s="12"/>
      <c r="P89" s="14"/>
      <c r="Q89" s="12"/>
      <c r="R89" s="8"/>
      <c r="S89" s="9"/>
    </row>
    <row r="90" spans="4:19" x14ac:dyDescent="0.25">
      <c r="D90" s="8"/>
      <c r="F90" s="8"/>
      <c r="H90" s="8"/>
      <c r="I90" s="9"/>
      <c r="N90" s="8"/>
      <c r="O90" s="12"/>
      <c r="P90" s="14"/>
      <c r="Q90" s="12"/>
      <c r="R90" s="8"/>
      <c r="S90" s="9"/>
    </row>
    <row r="91" spans="4:19" x14ac:dyDescent="0.25">
      <c r="D91" s="8"/>
      <c r="F91" s="8"/>
      <c r="H91" s="8"/>
      <c r="I91" s="9"/>
      <c r="N91" s="8"/>
      <c r="O91" s="12"/>
      <c r="P91" s="14"/>
      <c r="Q91" s="12"/>
      <c r="R91" s="8"/>
      <c r="S91" s="9"/>
    </row>
    <row r="92" spans="4:19" x14ac:dyDescent="0.25">
      <c r="D92" s="8"/>
      <c r="F92" s="8"/>
      <c r="H92" s="8"/>
      <c r="I92" s="9"/>
      <c r="N92" s="8"/>
      <c r="O92" s="12"/>
      <c r="P92" s="14"/>
      <c r="Q92" s="12"/>
      <c r="R92" s="8"/>
      <c r="S92" s="9"/>
    </row>
    <row r="93" spans="4:19" x14ac:dyDescent="0.25">
      <c r="D93" s="8"/>
      <c r="F93" s="8"/>
      <c r="H93" s="8"/>
      <c r="I93" s="9"/>
      <c r="N93" s="8"/>
      <c r="O93" s="12"/>
      <c r="P93" s="14"/>
      <c r="Q93" s="12"/>
      <c r="R93" s="8"/>
      <c r="S93" s="9"/>
    </row>
    <row r="94" spans="4:19" x14ac:dyDescent="0.25">
      <c r="D94" s="8"/>
      <c r="F94" s="8"/>
      <c r="H94" s="8"/>
      <c r="I94" s="9"/>
      <c r="N94" s="8"/>
      <c r="O94" s="12"/>
      <c r="P94" s="14"/>
      <c r="Q94" s="12"/>
      <c r="R94" s="8"/>
      <c r="S94" s="9"/>
    </row>
    <row r="95" spans="4:19" x14ac:dyDescent="0.25">
      <c r="D95" s="8"/>
      <c r="F95" s="8"/>
      <c r="H95" s="8"/>
      <c r="I95" s="9"/>
      <c r="N95" s="8"/>
      <c r="O95" s="12"/>
      <c r="P95" s="14"/>
      <c r="Q95" s="12"/>
      <c r="R95" s="8"/>
      <c r="S95" s="9"/>
    </row>
    <row r="96" spans="4:19" x14ac:dyDescent="0.25">
      <c r="D96" s="8"/>
      <c r="F96" s="8"/>
      <c r="H96" s="8"/>
      <c r="I96" s="9"/>
      <c r="N96" s="8"/>
      <c r="O96" s="12"/>
      <c r="P96" s="14"/>
      <c r="Q96" s="12"/>
      <c r="R96" s="8"/>
      <c r="S96" s="9"/>
    </row>
    <row r="97" spans="4:19" x14ac:dyDescent="0.25">
      <c r="D97" s="8"/>
      <c r="F97" s="8"/>
      <c r="H97" s="8"/>
      <c r="I97" s="9"/>
      <c r="N97" s="8"/>
      <c r="O97" s="12"/>
      <c r="P97" s="14"/>
      <c r="Q97" s="12"/>
      <c r="R97" s="8"/>
      <c r="S97" s="9"/>
    </row>
    <row r="98" spans="4:19" x14ac:dyDescent="0.25">
      <c r="D98" s="8"/>
      <c r="F98" s="8"/>
      <c r="H98" s="8"/>
      <c r="I98" s="9"/>
      <c r="N98" s="8"/>
      <c r="O98" s="12"/>
      <c r="P98" s="14"/>
      <c r="Q98" s="12"/>
      <c r="R98" s="8"/>
      <c r="S98" s="9"/>
    </row>
    <row r="99" spans="4:19" x14ac:dyDescent="0.25">
      <c r="D99" s="8"/>
      <c r="F99" s="8"/>
      <c r="H99" s="8"/>
      <c r="I99" s="9"/>
      <c r="N99" s="8"/>
      <c r="O99" s="12"/>
      <c r="P99" s="14"/>
      <c r="Q99" s="12"/>
      <c r="R99" s="8"/>
      <c r="S99" s="9"/>
    </row>
    <row r="100" spans="4:19" x14ac:dyDescent="0.25">
      <c r="D100" s="8"/>
      <c r="F100" s="8"/>
      <c r="H100" s="8"/>
      <c r="I100" s="9"/>
      <c r="N100" s="8"/>
      <c r="O100" s="12"/>
      <c r="P100" s="14"/>
      <c r="Q100" s="12"/>
      <c r="R100" s="8"/>
      <c r="S100" s="9"/>
    </row>
    <row r="101" spans="4:19" x14ac:dyDescent="0.25">
      <c r="D101" s="8"/>
      <c r="F101" s="8"/>
      <c r="H101" s="8"/>
      <c r="I101" s="9"/>
      <c r="N101" s="8"/>
      <c r="O101" s="12"/>
      <c r="P101" s="14"/>
      <c r="Q101" s="12"/>
      <c r="R101" s="8"/>
      <c r="S101" s="9"/>
    </row>
    <row r="102" spans="4:19" x14ac:dyDescent="0.25">
      <c r="D102" s="8"/>
      <c r="F102" s="8"/>
      <c r="H102" s="8"/>
      <c r="I102" s="9"/>
      <c r="N102" s="8"/>
      <c r="O102" s="12"/>
      <c r="P102" s="14"/>
      <c r="Q102" s="12"/>
      <c r="R102" s="8"/>
      <c r="S102" s="9"/>
    </row>
    <row r="103" spans="4:19" x14ac:dyDescent="0.25">
      <c r="D103" s="8"/>
      <c r="F103" s="8"/>
      <c r="H103" s="8"/>
      <c r="I103" s="9"/>
      <c r="N103" s="8"/>
      <c r="O103" s="12"/>
      <c r="P103" s="14"/>
      <c r="Q103" s="12"/>
      <c r="R103" s="8"/>
      <c r="S103" s="9"/>
    </row>
    <row r="104" spans="4:19" x14ac:dyDescent="0.25">
      <c r="D104" s="8"/>
      <c r="F104" s="8"/>
      <c r="H104" s="8"/>
      <c r="I104" s="9"/>
      <c r="N104" s="8"/>
      <c r="O104" s="12"/>
      <c r="P104" s="14"/>
      <c r="Q104" s="12"/>
      <c r="R104" s="8"/>
      <c r="S104" s="9"/>
    </row>
    <row r="105" spans="4:19" x14ac:dyDescent="0.25">
      <c r="D105" s="8"/>
      <c r="F105" s="8"/>
      <c r="H105" s="8"/>
      <c r="I105" s="9"/>
      <c r="N105" s="8"/>
      <c r="O105" s="12"/>
      <c r="P105" s="14"/>
      <c r="Q105" s="12"/>
      <c r="R105" s="8"/>
      <c r="S105" s="9"/>
    </row>
    <row r="106" spans="4:19" x14ac:dyDescent="0.25">
      <c r="D106" s="8"/>
      <c r="F106" s="8"/>
      <c r="H106" s="8"/>
      <c r="I106" s="9"/>
      <c r="N106" s="8"/>
      <c r="O106" s="12"/>
      <c r="P106" s="14"/>
      <c r="Q106" s="12"/>
      <c r="R106" s="8"/>
      <c r="S106" s="9"/>
    </row>
    <row r="107" spans="4:19" x14ac:dyDescent="0.25">
      <c r="D107" s="8"/>
      <c r="F107" s="8"/>
      <c r="H107" s="8"/>
      <c r="I107" s="9"/>
      <c r="N107" s="8"/>
      <c r="O107" s="12"/>
      <c r="P107" s="14"/>
      <c r="Q107" s="12"/>
      <c r="R107" s="8"/>
      <c r="S107" s="9"/>
    </row>
    <row r="108" spans="4:19" x14ac:dyDescent="0.25">
      <c r="D108" s="8"/>
      <c r="F108" s="8"/>
      <c r="H108" s="8"/>
      <c r="I108" s="9"/>
      <c r="N108" s="8"/>
      <c r="O108" s="12"/>
      <c r="P108" s="14"/>
      <c r="Q108" s="12"/>
      <c r="R108" s="8"/>
      <c r="S108" s="9"/>
    </row>
    <row r="109" spans="4:19" x14ac:dyDescent="0.25">
      <c r="D109" s="8"/>
      <c r="F109" s="8"/>
      <c r="H109" s="8"/>
      <c r="I109" s="9"/>
      <c r="N109" s="8"/>
      <c r="O109" s="12"/>
      <c r="P109" s="14"/>
      <c r="Q109" s="12"/>
      <c r="R109" s="8"/>
      <c r="S109" s="9"/>
    </row>
    <row r="110" spans="4:19" x14ac:dyDescent="0.25">
      <c r="D110" s="8"/>
      <c r="F110" s="8"/>
      <c r="H110" s="8"/>
      <c r="I110" s="9"/>
      <c r="N110" s="8"/>
      <c r="O110" s="12"/>
      <c r="P110" s="14"/>
      <c r="Q110" s="12"/>
      <c r="R110" s="8"/>
      <c r="S110" s="9"/>
    </row>
    <row r="111" spans="4:19" x14ac:dyDescent="0.25">
      <c r="D111" s="8"/>
      <c r="F111" s="8"/>
      <c r="H111" s="8"/>
      <c r="I111" s="9"/>
      <c r="N111" s="8"/>
      <c r="O111" s="12"/>
      <c r="P111" s="14"/>
      <c r="Q111" s="12"/>
      <c r="R111" s="8"/>
      <c r="S111" s="9"/>
    </row>
    <row r="112" spans="4:19" x14ac:dyDescent="0.25">
      <c r="D112" s="8"/>
      <c r="F112" s="8"/>
      <c r="H112" s="8"/>
      <c r="I112" s="9"/>
      <c r="N112" s="8"/>
      <c r="O112" s="12"/>
      <c r="P112" s="14"/>
      <c r="Q112" s="12"/>
      <c r="R112" s="8"/>
      <c r="S112" s="9"/>
    </row>
    <row r="113" spans="4:19" x14ac:dyDescent="0.25">
      <c r="D113" s="8"/>
      <c r="F113" s="8"/>
      <c r="H113" s="8"/>
      <c r="I113" s="9"/>
      <c r="N113" s="8"/>
      <c r="O113" s="12"/>
      <c r="P113" s="14"/>
      <c r="Q113" s="12"/>
      <c r="R113" s="8"/>
      <c r="S113" s="9"/>
    </row>
    <row r="114" spans="4:19" x14ac:dyDescent="0.25">
      <c r="D114" s="8"/>
      <c r="F114" s="8"/>
      <c r="H114" s="8"/>
      <c r="I114" s="9"/>
      <c r="N114" s="8"/>
      <c r="O114" s="12"/>
      <c r="P114" s="14"/>
      <c r="Q114" s="12"/>
      <c r="R114" s="8"/>
      <c r="S114" s="9"/>
    </row>
    <row r="115" spans="4:19" x14ac:dyDescent="0.25">
      <c r="D115" s="8"/>
      <c r="F115" s="8"/>
      <c r="H115" s="8"/>
      <c r="I115" s="9"/>
      <c r="N115" s="8"/>
      <c r="O115" s="12"/>
      <c r="P115" s="14"/>
      <c r="Q115" s="12"/>
      <c r="R115" s="8"/>
      <c r="S115" s="9"/>
    </row>
    <row r="116" spans="4:19" x14ac:dyDescent="0.25">
      <c r="D116" s="8"/>
      <c r="F116" s="13"/>
      <c r="H116" s="8"/>
      <c r="I116" s="9"/>
      <c r="N116" s="8"/>
      <c r="O116" s="12"/>
      <c r="P116" s="14"/>
      <c r="Q116" s="12"/>
      <c r="R116" s="8"/>
      <c r="S116" s="9"/>
    </row>
    <row r="117" spans="4:19" x14ac:dyDescent="0.25">
      <c r="D117" s="8"/>
      <c r="F117" s="8"/>
      <c r="H117" s="8"/>
      <c r="I117" s="9"/>
      <c r="N117" s="8"/>
      <c r="O117" s="12"/>
      <c r="P117" s="14"/>
      <c r="Q117" s="12"/>
      <c r="R117" s="8"/>
      <c r="S117" s="9"/>
    </row>
    <row r="118" spans="4:19" x14ac:dyDescent="0.25">
      <c r="D118" s="8"/>
      <c r="F118" s="8"/>
      <c r="H118" s="8"/>
      <c r="I118" s="9"/>
      <c r="N118" s="8"/>
      <c r="O118" s="12"/>
      <c r="P118" s="14"/>
      <c r="Q118" s="12"/>
      <c r="R118" s="8"/>
      <c r="S118" s="9"/>
    </row>
    <row r="119" spans="4:19" x14ac:dyDescent="0.25">
      <c r="D119" s="8"/>
      <c r="F119" s="8"/>
      <c r="H119" s="8"/>
      <c r="I119" s="9"/>
      <c r="N119" s="8"/>
      <c r="O119" s="12"/>
      <c r="P119" s="14"/>
      <c r="Q119" s="12"/>
      <c r="R119" s="8"/>
      <c r="S119" s="9"/>
    </row>
    <row r="120" spans="4:19" x14ac:dyDescent="0.25">
      <c r="D120" s="8"/>
      <c r="F120" s="8"/>
      <c r="H120" s="8"/>
      <c r="I120" s="9"/>
      <c r="N120" s="8"/>
      <c r="O120" s="12"/>
      <c r="P120" s="14"/>
      <c r="Q120" s="12"/>
      <c r="R120" s="8"/>
      <c r="S120" s="9"/>
    </row>
    <row r="121" spans="4:19" x14ac:dyDescent="0.25">
      <c r="D121" s="8"/>
      <c r="F121" s="8"/>
      <c r="H121" s="8"/>
      <c r="I121" s="9"/>
      <c r="N121" s="8"/>
      <c r="O121" s="12"/>
      <c r="P121" s="14"/>
      <c r="Q121" s="12"/>
      <c r="R121" s="8"/>
      <c r="S121" s="9"/>
    </row>
    <row r="122" spans="4:19" x14ac:dyDescent="0.25">
      <c r="D122" s="8"/>
      <c r="F122" s="8"/>
      <c r="H122" s="8"/>
      <c r="I122" s="9"/>
      <c r="N122" s="8"/>
      <c r="O122" s="12"/>
      <c r="P122" s="14"/>
      <c r="Q122" s="12"/>
      <c r="R122" s="8"/>
      <c r="S122" s="9"/>
    </row>
    <row r="123" spans="4:19" x14ac:dyDescent="0.25">
      <c r="D123" s="8"/>
      <c r="F123" s="8"/>
      <c r="H123" s="8"/>
      <c r="I123" s="9"/>
      <c r="N123" s="8"/>
      <c r="O123" s="12"/>
      <c r="P123" s="14"/>
      <c r="Q123" s="12"/>
      <c r="R123" s="8"/>
      <c r="S123" s="9"/>
    </row>
    <row r="124" spans="4:19" x14ac:dyDescent="0.25">
      <c r="D124" s="8"/>
      <c r="F124" s="8"/>
      <c r="H124" s="8"/>
      <c r="I124" s="9"/>
      <c r="N124" s="8"/>
      <c r="O124" s="12"/>
      <c r="P124" s="14"/>
      <c r="Q124" s="12"/>
      <c r="R124" s="8"/>
      <c r="S124" s="9"/>
    </row>
    <row r="125" spans="4:19" x14ac:dyDescent="0.25">
      <c r="D125" s="8"/>
      <c r="F125" s="8"/>
      <c r="H125" s="8"/>
      <c r="I125" s="9"/>
      <c r="N125" s="8"/>
      <c r="O125" s="12"/>
      <c r="P125" s="14"/>
      <c r="Q125" s="12"/>
      <c r="R125" s="8"/>
      <c r="S125" s="9"/>
    </row>
    <row r="126" spans="4:19" x14ac:dyDescent="0.25">
      <c r="D126" s="8"/>
      <c r="F126" s="8"/>
      <c r="H126" s="8"/>
      <c r="I126" s="9"/>
      <c r="N126" s="8"/>
      <c r="O126" s="12"/>
      <c r="P126" s="14"/>
      <c r="Q126" s="12"/>
      <c r="R126" s="8"/>
      <c r="S126" s="9"/>
    </row>
    <row r="127" spans="4:19" x14ac:dyDescent="0.25">
      <c r="D127" s="8"/>
      <c r="F127" s="8"/>
      <c r="H127" s="8"/>
      <c r="I127" s="9"/>
      <c r="N127" s="8"/>
      <c r="O127" s="12"/>
      <c r="P127" s="14"/>
      <c r="Q127" s="12"/>
      <c r="R127" s="8"/>
      <c r="S127" s="9"/>
    </row>
    <row r="128" spans="4:19" x14ac:dyDescent="0.25">
      <c r="D128" s="8"/>
      <c r="F128" s="8"/>
      <c r="H128" s="8"/>
      <c r="I128" s="9"/>
      <c r="N128" s="8"/>
      <c r="O128" s="12"/>
      <c r="P128" s="14"/>
      <c r="Q128" s="12"/>
      <c r="R128" s="8"/>
      <c r="S128" s="9"/>
    </row>
    <row r="129" spans="4:19" x14ac:dyDescent="0.25">
      <c r="D129" s="8"/>
      <c r="F129" s="8"/>
      <c r="H129" s="8"/>
      <c r="I129" s="9"/>
      <c r="N129" s="8"/>
      <c r="O129" s="12"/>
      <c r="P129" s="14"/>
      <c r="Q129" s="12"/>
      <c r="R129" s="8"/>
      <c r="S129" s="9"/>
    </row>
    <row r="130" spans="4:19" x14ac:dyDescent="0.25">
      <c r="D130" s="8"/>
      <c r="F130" s="8"/>
      <c r="H130" s="8"/>
      <c r="I130" s="9"/>
      <c r="N130" s="8"/>
      <c r="O130" s="12"/>
      <c r="P130" s="14"/>
      <c r="Q130" s="12"/>
      <c r="R130" s="8"/>
      <c r="S130" s="9"/>
    </row>
    <row r="131" spans="4:19" x14ac:dyDescent="0.25">
      <c r="D131" s="8"/>
      <c r="F131" s="8"/>
      <c r="H131" s="8"/>
      <c r="I131" s="9"/>
      <c r="N131" s="8"/>
      <c r="O131" s="12"/>
      <c r="P131" s="14"/>
      <c r="Q131" s="12"/>
      <c r="R131" s="8"/>
      <c r="S131" s="9"/>
    </row>
    <row r="132" spans="4:19" x14ac:dyDescent="0.25">
      <c r="D132" s="8"/>
      <c r="F132" s="8"/>
      <c r="H132" s="8"/>
      <c r="I132" s="9"/>
      <c r="N132" s="8"/>
      <c r="O132" s="12"/>
      <c r="P132" s="14"/>
      <c r="Q132" s="12"/>
      <c r="R132" s="8"/>
      <c r="S132" s="9"/>
    </row>
    <row r="133" spans="4:19" x14ac:dyDescent="0.25">
      <c r="D133" s="8"/>
      <c r="F133" s="8"/>
      <c r="H133" s="8"/>
      <c r="I133" s="9"/>
      <c r="N133" s="8"/>
      <c r="O133" s="12"/>
      <c r="P133" s="14"/>
      <c r="Q133" s="12"/>
      <c r="R133" s="8"/>
      <c r="S133" s="9"/>
    </row>
    <row r="134" spans="4:19" x14ac:dyDescent="0.25">
      <c r="D134" s="8"/>
      <c r="F134" s="8"/>
      <c r="H134" s="8"/>
      <c r="I134" s="9"/>
      <c r="N134" s="8"/>
      <c r="O134" s="12"/>
      <c r="P134" s="14"/>
      <c r="Q134" s="12"/>
      <c r="R134" s="8"/>
      <c r="S134" s="9"/>
    </row>
    <row r="135" spans="4:19" x14ac:dyDescent="0.25">
      <c r="D135" s="8"/>
      <c r="E135"/>
      <c r="F135" s="8"/>
      <c r="G135"/>
      <c r="H135" s="8"/>
      <c r="I135" s="9"/>
      <c r="N135" s="8"/>
      <c r="P135" s="8"/>
      <c r="R135" s="8"/>
      <c r="S135" s="9"/>
    </row>
    <row r="136" spans="4:19" x14ac:dyDescent="0.25">
      <c r="O136" s="12"/>
      <c r="P136" s="12"/>
      <c r="Q136" s="12"/>
    </row>
    <row r="137" spans="4:19" x14ac:dyDescent="0.25">
      <c r="O137" s="12"/>
      <c r="P137" s="12"/>
      <c r="Q137" s="12"/>
    </row>
    <row r="138" spans="4:19" x14ac:dyDescent="0.25">
      <c r="O138" s="12"/>
      <c r="P138" s="12"/>
      <c r="Q138" s="12"/>
    </row>
    <row r="141" spans="4:19" x14ac:dyDescent="0.25">
      <c r="O141" s="12"/>
      <c r="P141" s="12"/>
      <c r="Q141" s="12"/>
    </row>
    <row r="142" spans="4:19" x14ac:dyDescent="0.25">
      <c r="O142" s="12"/>
      <c r="P142" s="12"/>
      <c r="Q142" s="12"/>
    </row>
    <row r="143" spans="4:19" x14ac:dyDescent="0.25">
      <c r="O143" s="12"/>
      <c r="P143" s="12"/>
      <c r="Q143" s="12"/>
    </row>
    <row r="144" spans="4:19" x14ac:dyDescent="0.25">
      <c r="O144" s="12"/>
      <c r="P144" s="12"/>
      <c r="Q144" s="12"/>
    </row>
    <row r="145" spans="15:17" x14ac:dyDescent="0.25">
      <c r="O145" s="12"/>
      <c r="P145" s="12"/>
      <c r="Q145" s="12"/>
    </row>
    <row r="146" spans="15:17" x14ac:dyDescent="0.25">
      <c r="O146" s="12"/>
      <c r="P146" s="12"/>
      <c r="Q146" s="12"/>
    </row>
    <row r="147" spans="15:17" x14ac:dyDescent="0.25">
      <c r="O147" s="12"/>
      <c r="P147" s="12"/>
      <c r="Q147" s="12"/>
    </row>
    <row r="148" spans="15:17" x14ac:dyDescent="0.25">
      <c r="O148" s="12"/>
      <c r="P148" s="12"/>
      <c r="Q148" s="12"/>
    </row>
    <row r="149" spans="15:17" x14ac:dyDescent="0.25">
      <c r="O149" s="12"/>
      <c r="P149" s="12"/>
      <c r="Q149" s="12"/>
    </row>
    <row r="150" spans="15:17" x14ac:dyDescent="0.25">
      <c r="O150" s="12"/>
      <c r="P150" s="12"/>
      <c r="Q150" s="12"/>
    </row>
    <row r="151" spans="15:17" x14ac:dyDescent="0.25">
      <c r="O151" s="12"/>
      <c r="P151" s="12"/>
      <c r="Q151" s="12"/>
    </row>
    <row r="152" spans="15:17" x14ac:dyDescent="0.25">
      <c r="O152" s="12"/>
      <c r="P152" s="12"/>
      <c r="Q152" s="12"/>
    </row>
    <row r="153" spans="15:17" x14ac:dyDescent="0.25">
      <c r="O153" s="12"/>
      <c r="P153" s="12"/>
      <c r="Q153" s="12"/>
    </row>
    <row r="154" spans="15:17" x14ac:dyDescent="0.25">
      <c r="O154" s="12"/>
      <c r="P154" s="12"/>
      <c r="Q154" s="12"/>
    </row>
    <row r="155" spans="15:17" x14ac:dyDescent="0.25">
      <c r="O155" s="12"/>
      <c r="P155" s="12"/>
      <c r="Q155" s="12"/>
    </row>
    <row r="156" spans="15:17" x14ac:dyDescent="0.25">
      <c r="O156" s="12"/>
      <c r="P156" s="12"/>
      <c r="Q156" s="12"/>
    </row>
    <row r="157" spans="15:17" x14ac:dyDescent="0.25">
      <c r="O157" s="12"/>
      <c r="P157" s="12"/>
      <c r="Q157" s="12"/>
    </row>
    <row r="158" spans="15:17" x14ac:dyDescent="0.25">
      <c r="O158" s="12"/>
      <c r="P158" s="12"/>
      <c r="Q158" s="12"/>
    </row>
    <row r="159" spans="15:17" x14ac:dyDescent="0.25">
      <c r="O159" s="12"/>
      <c r="P159" s="12"/>
      <c r="Q159" s="12"/>
    </row>
    <row r="160" spans="15:17" x14ac:dyDescent="0.25">
      <c r="O160" s="12"/>
      <c r="P160" s="12"/>
      <c r="Q160" s="12"/>
    </row>
    <row r="161" spans="15:17" x14ac:dyDescent="0.25">
      <c r="O161" s="12"/>
      <c r="P161" s="12"/>
      <c r="Q161" s="12"/>
    </row>
    <row r="162" spans="15:17" x14ac:dyDescent="0.25">
      <c r="O162" s="12"/>
      <c r="P162" s="12"/>
      <c r="Q162" s="12"/>
    </row>
    <row r="163" spans="15:17" x14ac:dyDescent="0.25">
      <c r="O163" s="12"/>
      <c r="P163" s="12"/>
      <c r="Q163" s="12"/>
    </row>
    <row r="164" spans="15:17" x14ac:dyDescent="0.25">
      <c r="O164" s="12"/>
      <c r="P164" s="12"/>
      <c r="Q164" s="12"/>
    </row>
    <row r="165" spans="15:17" x14ac:dyDescent="0.25">
      <c r="O165" s="12"/>
      <c r="P165" s="12"/>
      <c r="Q165" s="12"/>
    </row>
    <row r="166" spans="15:17" x14ac:dyDescent="0.25">
      <c r="O166" s="12"/>
      <c r="P166" s="12"/>
      <c r="Q166" s="12"/>
    </row>
    <row r="167" spans="15:17" x14ac:dyDescent="0.25">
      <c r="O167" s="12"/>
      <c r="P167" s="12"/>
      <c r="Q167" s="12"/>
    </row>
    <row r="168" spans="15:17" x14ac:dyDescent="0.25">
      <c r="O168" s="12"/>
      <c r="P168" s="12"/>
      <c r="Q168" s="12"/>
    </row>
    <row r="169" spans="15:17" x14ac:dyDescent="0.25">
      <c r="O169" s="12"/>
      <c r="P169" s="12"/>
      <c r="Q169" s="12"/>
    </row>
    <row r="170" spans="15:17" x14ac:dyDescent="0.25">
      <c r="O170" s="12"/>
      <c r="P170" s="12"/>
      <c r="Q170" s="12"/>
    </row>
    <row r="171" spans="15:17" x14ac:dyDescent="0.25">
      <c r="O171" s="12"/>
      <c r="P171" s="12"/>
      <c r="Q171" s="12"/>
    </row>
    <row r="172" spans="15:17" x14ac:dyDescent="0.25">
      <c r="O172" s="12"/>
      <c r="P172" s="12"/>
      <c r="Q172" s="12"/>
    </row>
    <row r="173" spans="15:17" x14ac:dyDescent="0.25">
      <c r="O173" s="12"/>
      <c r="P173" s="12"/>
      <c r="Q173" s="12"/>
    </row>
    <row r="174" spans="15:17" x14ac:dyDescent="0.25">
      <c r="O174" s="12"/>
      <c r="P174" s="12"/>
      <c r="Q174" s="12"/>
    </row>
    <row r="175" spans="15:17" x14ac:dyDescent="0.25">
      <c r="O175" s="12"/>
      <c r="P175" s="12"/>
      <c r="Q175" s="12"/>
    </row>
    <row r="176" spans="15:17" x14ac:dyDescent="0.25">
      <c r="O176" s="12"/>
      <c r="P176" s="12"/>
      <c r="Q176" s="12"/>
    </row>
    <row r="177" spans="15:17" x14ac:dyDescent="0.25">
      <c r="O177" s="12"/>
      <c r="P177" s="12"/>
      <c r="Q177" s="12"/>
    </row>
    <row r="178" spans="15:17" x14ac:dyDescent="0.25">
      <c r="O178" s="12"/>
      <c r="P178" s="12"/>
      <c r="Q178" s="12"/>
    </row>
    <row r="179" spans="15:17" x14ac:dyDescent="0.25">
      <c r="O179" s="12"/>
      <c r="P179" s="12"/>
      <c r="Q179" s="12"/>
    </row>
    <row r="180" spans="15:17" x14ac:dyDescent="0.25">
      <c r="O180" s="12"/>
      <c r="P180" s="12"/>
      <c r="Q180" s="12"/>
    </row>
    <row r="181" spans="15:17" x14ac:dyDescent="0.25">
      <c r="O181" s="12"/>
      <c r="P181" s="12"/>
      <c r="Q181" s="12"/>
    </row>
    <row r="182" spans="15:17" x14ac:dyDescent="0.25">
      <c r="O182" s="12"/>
      <c r="P182" s="12"/>
      <c r="Q182" s="12"/>
    </row>
    <row r="183" spans="15:17" x14ac:dyDescent="0.25">
      <c r="O183" s="12"/>
      <c r="P183" s="12"/>
      <c r="Q183" s="12"/>
    </row>
    <row r="184" spans="15:17" x14ac:dyDescent="0.25">
      <c r="O184" s="12"/>
      <c r="P184" s="12"/>
      <c r="Q184" s="12"/>
    </row>
    <row r="185" spans="15:17" x14ac:dyDescent="0.25">
      <c r="O185" s="12"/>
      <c r="P185" s="12"/>
      <c r="Q185" s="12"/>
    </row>
    <row r="186" spans="15:17" x14ac:dyDescent="0.25">
      <c r="O186" s="12"/>
      <c r="P186" s="12"/>
      <c r="Q186" s="12"/>
    </row>
    <row r="187" spans="15:17" x14ac:dyDescent="0.25">
      <c r="O187" s="12"/>
      <c r="P187" s="12"/>
    </row>
    <row r="188" spans="15:17" x14ac:dyDescent="0.25">
      <c r="O188" s="12"/>
      <c r="P188" s="12"/>
    </row>
    <row r="189" spans="15:17" x14ac:dyDescent="0.25">
      <c r="O189" s="12"/>
      <c r="P189" s="12"/>
    </row>
    <row r="190" spans="15:17" x14ac:dyDescent="0.25">
      <c r="O190" s="12"/>
      <c r="P190" s="12"/>
    </row>
    <row r="191" spans="15:17" x14ac:dyDescent="0.25">
      <c r="O191" s="12"/>
      <c r="P191" s="12"/>
    </row>
    <row r="192" spans="15:17" x14ac:dyDescent="0.25">
      <c r="O192" s="12"/>
      <c r="P192" s="12"/>
    </row>
    <row r="193" spans="15:16" x14ac:dyDescent="0.25">
      <c r="O193" s="12"/>
      <c r="P193" s="12"/>
    </row>
    <row r="194" spans="15:16" x14ac:dyDescent="0.25">
      <c r="O194" s="12"/>
      <c r="P194" s="12"/>
    </row>
  </sheetData>
  <sortState ref="J2:O71">
    <sortCondition ref="M2:M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zoomScale="90" zoomScaleNormal="90"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T27" sqref="T27"/>
    </sheetView>
  </sheetViews>
  <sheetFormatPr defaultRowHeight="15" x14ac:dyDescent="0.25"/>
  <cols>
    <col min="1" max="1" width="4.28515625" customWidth="1"/>
    <col min="2" max="2" width="9.5703125" customWidth="1"/>
    <col min="3" max="3" width="1.85546875" customWidth="1"/>
    <col min="4" max="4" width="5.28515625" customWidth="1"/>
    <col min="5" max="5" width="17.7109375" bestFit="1" customWidth="1"/>
    <col min="6" max="6" width="40.85546875" bestFit="1" customWidth="1"/>
    <col min="7" max="7" width="19.140625" bestFit="1" customWidth="1"/>
    <col min="8" max="8" width="17.85546875" bestFit="1" customWidth="1"/>
    <col min="9" max="10" width="17.85546875" customWidth="1"/>
    <col min="11" max="11" width="32.85546875" bestFit="1" customWidth="1"/>
    <col min="12" max="12" width="17.7109375" bestFit="1" customWidth="1"/>
    <col min="13" max="13" width="42.7109375" bestFit="1" customWidth="1"/>
    <col min="14" max="15" width="19.5703125" bestFit="1" customWidth="1"/>
    <col min="16" max="16" width="14.5703125" bestFit="1" customWidth="1"/>
    <col min="17" max="17" width="18.140625" bestFit="1" customWidth="1"/>
    <col min="18" max="18" width="32.85546875" bestFit="1" customWidth="1"/>
    <col min="19" max="19" width="17.7109375" bestFit="1" customWidth="1"/>
    <col min="20" max="20" width="42.7109375" bestFit="1" customWidth="1"/>
    <col min="21" max="21" width="20.28515625" bestFit="1" customWidth="1"/>
    <col min="22" max="22" width="19.5703125" bestFit="1" customWidth="1"/>
    <col min="23" max="23" width="19.28515625" bestFit="1" customWidth="1"/>
    <col min="24" max="24" width="18.140625" bestFit="1" customWidth="1"/>
  </cols>
  <sheetData>
    <row r="1" spans="1:24" x14ac:dyDescent="0.25">
      <c r="A1" s="1" t="s">
        <v>37</v>
      </c>
      <c r="B1" s="1" t="s">
        <v>49</v>
      </c>
      <c r="C1" s="1" t="s">
        <v>38</v>
      </c>
      <c r="D1" s="1" t="s">
        <v>43</v>
      </c>
      <c r="E1" s="1" t="s">
        <v>44</v>
      </c>
      <c r="F1" s="1" t="s">
        <v>39</v>
      </c>
      <c r="G1" s="1" t="s">
        <v>45</v>
      </c>
      <c r="H1" s="1" t="s">
        <v>36</v>
      </c>
      <c r="I1" s="1" t="s">
        <v>46</v>
      </c>
      <c r="J1" s="22" t="s">
        <v>47</v>
      </c>
      <c r="K1" s="1" t="s">
        <v>50</v>
      </c>
      <c r="L1" s="1" t="s">
        <v>48</v>
      </c>
      <c r="M1" s="1" t="s">
        <v>40</v>
      </c>
      <c r="N1" s="1" t="s">
        <v>51</v>
      </c>
      <c r="O1" s="1" t="s">
        <v>41</v>
      </c>
      <c r="P1" s="1" t="s">
        <v>52</v>
      </c>
      <c r="Q1" s="22" t="s">
        <v>53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22" t="s">
        <v>74</v>
      </c>
    </row>
    <row r="2" spans="1:24" x14ac:dyDescent="0.25">
      <c r="A2" t="s">
        <v>13</v>
      </c>
      <c r="B2">
        <v>1.9327563148957907</v>
      </c>
      <c r="C2" t="s">
        <v>42</v>
      </c>
      <c r="D2">
        <f>'Chamber Data'!C3</f>
        <v>1600</v>
      </c>
      <c r="E2" t="s">
        <v>42</v>
      </c>
      <c r="F2">
        <f t="shared" ref="F2:F9" si="0">B2</f>
        <v>1.9327563148957907</v>
      </c>
      <c r="G2">
        <f t="shared" ref="G2:G25" si="1">F2*(D2/1000)</f>
        <v>3.0924101038332652</v>
      </c>
      <c r="H2">
        <v>3.1042389818028813</v>
      </c>
      <c r="I2">
        <f t="shared" ref="I2:I25" si="2">H2*(D2/1000)</f>
        <v>4.9667823708846104</v>
      </c>
      <c r="J2" s="20">
        <f>G2-I2</f>
        <v>-1.8743722670513452</v>
      </c>
      <c r="K2">
        <v>6.3087644918020604</v>
      </c>
      <c r="L2" t="s">
        <v>42</v>
      </c>
      <c r="M2">
        <f>K2</f>
        <v>6.3087644918020604</v>
      </c>
      <c r="N2">
        <f>M2*(D2/1000)</f>
        <v>10.094023186883298</v>
      </c>
      <c r="O2">
        <v>3.2109893820583166</v>
      </c>
      <c r="P2">
        <f>O2*(D2/1000)</f>
        <v>5.137583011293307</v>
      </c>
      <c r="Q2" s="20">
        <f>N2-P2</f>
        <v>4.9564401755899912</v>
      </c>
      <c r="R2" s="9">
        <v>3</v>
      </c>
      <c r="S2" t="s">
        <v>42</v>
      </c>
      <c r="T2">
        <f>R2</f>
        <v>3</v>
      </c>
      <c r="U2">
        <f>T2*(D2/1000)</f>
        <v>4.8000000000000007</v>
      </c>
      <c r="V2">
        <v>12.560000000000002</v>
      </c>
      <c r="W2">
        <f>V2*(D2/1000)</f>
        <v>20.096000000000004</v>
      </c>
      <c r="X2" s="20">
        <f>U2-W2</f>
        <v>-15.296000000000003</v>
      </c>
    </row>
    <row r="3" spans="1:24" x14ac:dyDescent="0.25">
      <c r="A3" t="s">
        <v>13</v>
      </c>
      <c r="B3">
        <v>1.9327563148957907</v>
      </c>
      <c r="C3" t="s">
        <v>42</v>
      </c>
      <c r="D3">
        <f>'Chamber Data'!C4</f>
        <v>1530</v>
      </c>
      <c r="E3" t="s">
        <v>42</v>
      </c>
      <c r="F3">
        <f t="shared" si="0"/>
        <v>1.9327563148957907</v>
      </c>
      <c r="G3">
        <f t="shared" si="1"/>
        <v>2.9571171617905598</v>
      </c>
      <c r="H3">
        <v>3.4947332041052452</v>
      </c>
      <c r="I3">
        <f t="shared" si="2"/>
        <v>5.3469418022810249</v>
      </c>
      <c r="J3" s="20">
        <f t="shared" ref="J3:J25" si="3">G3-I3</f>
        <v>-2.3898246404904651</v>
      </c>
      <c r="K3">
        <v>6.3087644918020604</v>
      </c>
      <c r="L3" t="s">
        <v>42</v>
      </c>
      <c r="M3">
        <f t="shared" ref="M3:M9" si="4">K3</f>
        <v>6.3087644918020604</v>
      </c>
      <c r="N3">
        <f t="shared" ref="N3:N25" si="5">M3*(D3/1000)</f>
        <v>9.6524096724571535</v>
      </c>
      <c r="O3">
        <v>4.538607286234206</v>
      </c>
      <c r="P3">
        <f t="shared" ref="P3:P25" si="6">O3*(D3/1000)</f>
        <v>6.9440691479383352</v>
      </c>
      <c r="Q3" s="20">
        <f t="shared" ref="Q3:Q25" si="7">N3-P3</f>
        <v>2.7083405245188183</v>
      </c>
      <c r="R3" s="9">
        <v>3</v>
      </c>
      <c r="S3" t="s">
        <v>42</v>
      </c>
      <c r="T3">
        <f t="shared" ref="T3:T9" si="8">R3</f>
        <v>3</v>
      </c>
      <c r="U3">
        <f t="shared" ref="U3:U25" si="9">T3*(D3/1000)</f>
        <v>4.59</v>
      </c>
      <c r="V3" s="23">
        <v>0.2</v>
      </c>
      <c r="W3">
        <f t="shared" ref="W3:W25" si="10">V3*(D3/1000)</f>
        <v>0.30600000000000005</v>
      </c>
      <c r="X3" s="20">
        <f t="shared" ref="X3:X25" si="11">U3-W3</f>
        <v>4.2839999999999998</v>
      </c>
    </row>
    <row r="4" spans="1:24" x14ac:dyDescent="0.25">
      <c r="A4" t="s">
        <v>13</v>
      </c>
      <c r="B4">
        <v>1.9327563148957907</v>
      </c>
      <c r="C4" t="s">
        <v>42</v>
      </c>
      <c r="D4">
        <f>'Chamber Data'!C5</f>
        <v>1565</v>
      </c>
      <c r="E4" t="s">
        <v>42</v>
      </c>
      <c r="F4">
        <f t="shared" si="0"/>
        <v>1.9327563148957907</v>
      </c>
      <c r="G4">
        <f t="shared" si="1"/>
        <v>3.0247636328119123</v>
      </c>
      <c r="H4">
        <v>0.76127364798869956</v>
      </c>
      <c r="I4">
        <f t="shared" si="2"/>
        <v>1.1913932591023149</v>
      </c>
      <c r="J4" s="20">
        <f t="shared" si="3"/>
        <v>1.8333703737095974</v>
      </c>
      <c r="K4">
        <v>6.3087644918020604</v>
      </c>
      <c r="L4" t="s">
        <v>42</v>
      </c>
      <c r="M4">
        <f t="shared" si="4"/>
        <v>6.3087644918020604</v>
      </c>
      <c r="N4">
        <f t="shared" si="5"/>
        <v>9.8732164296702241</v>
      </c>
      <c r="O4">
        <v>1.6621018271864447</v>
      </c>
      <c r="P4">
        <f t="shared" si="6"/>
        <v>2.6011893595467859</v>
      </c>
      <c r="Q4" s="20">
        <f t="shared" si="7"/>
        <v>7.2720270701234382</v>
      </c>
      <c r="R4" s="9">
        <v>3</v>
      </c>
      <c r="S4" t="s">
        <v>42</v>
      </c>
      <c r="T4">
        <f t="shared" si="8"/>
        <v>3</v>
      </c>
      <c r="U4">
        <f t="shared" si="9"/>
        <v>4.6950000000000003</v>
      </c>
      <c r="V4" s="23">
        <v>0.2</v>
      </c>
      <c r="W4">
        <f t="shared" si="10"/>
        <v>0.313</v>
      </c>
      <c r="X4" s="20">
        <f t="shared" si="11"/>
        <v>4.3820000000000006</v>
      </c>
    </row>
    <row r="5" spans="1:24" x14ac:dyDescent="0.25">
      <c r="A5" t="s">
        <v>13</v>
      </c>
      <c r="B5">
        <v>1.9327563148957907</v>
      </c>
      <c r="C5" t="s">
        <v>42</v>
      </c>
      <c r="D5">
        <f>'Chamber Data'!C6</f>
        <v>1555</v>
      </c>
      <c r="E5" t="s">
        <v>42</v>
      </c>
      <c r="F5">
        <f t="shared" si="0"/>
        <v>1.9327563148957907</v>
      </c>
      <c r="G5">
        <f t="shared" si="1"/>
        <v>3.0054360696629545</v>
      </c>
      <c r="H5">
        <v>1.5422620925934269</v>
      </c>
      <c r="I5">
        <f t="shared" si="2"/>
        <v>2.398217553982779</v>
      </c>
      <c r="J5" s="20">
        <f t="shared" si="3"/>
        <v>0.60721851568017549</v>
      </c>
      <c r="K5">
        <v>6.3087644918020604</v>
      </c>
      <c r="L5" t="s">
        <v>42</v>
      </c>
      <c r="M5">
        <f t="shared" si="4"/>
        <v>6.3087644918020604</v>
      </c>
      <c r="N5">
        <f t="shared" si="5"/>
        <v>9.8101287847522034</v>
      </c>
      <c r="O5">
        <v>2.1046411285784083</v>
      </c>
      <c r="P5">
        <f t="shared" si="6"/>
        <v>3.2727169549394248</v>
      </c>
      <c r="Q5" s="20">
        <f t="shared" si="7"/>
        <v>6.537411829812779</v>
      </c>
      <c r="R5" s="9">
        <v>3</v>
      </c>
      <c r="S5" t="s">
        <v>42</v>
      </c>
      <c r="T5">
        <f t="shared" si="8"/>
        <v>3</v>
      </c>
      <c r="U5">
        <f t="shared" si="9"/>
        <v>4.665</v>
      </c>
      <c r="V5">
        <v>232.56</v>
      </c>
      <c r="W5">
        <f>V5*(D5/1000)</f>
        <v>361.63079999999997</v>
      </c>
      <c r="X5" s="20">
        <f t="shared" si="11"/>
        <v>-356.96579999999994</v>
      </c>
    </row>
    <row r="6" spans="1:24" x14ac:dyDescent="0.25">
      <c r="A6" t="s">
        <v>13</v>
      </c>
      <c r="B6">
        <v>1.9327563148957907</v>
      </c>
      <c r="C6" t="s">
        <v>42</v>
      </c>
      <c r="D6">
        <f>'Chamber Data'!C7</f>
        <v>1790</v>
      </c>
      <c r="E6" t="s">
        <v>42</v>
      </c>
      <c r="F6">
        <f t="shared" si="0"/>
        <v>1.9327563148957907</v>
      </c>
      <c r="G6">
        <f t="shared" si="1"/>
        <v>3.4596338036634653</v>
      </c>
      <c r="H6">
        <v>13.647582983966702</v>
      </c>
      <c r="I6">
        <f t="shared" si="2"/>
        <v>24.429173541300397</v>
      </c>
      <c r="J6" s="20">
        <f t="shared" si="3"/>
        <v>-20.969539737636932</v>
      </c>
      <c r="K6">
        <v>6.3087644918020604</v>
      </c>
      <c r="L6" t="s">
        <v>42</v>
      </c>
      <c r="M6">
        <f t="shared" si="4"/>
        <v>6.3087644918020604</v>
      </c>
      <c r="N6">
        <f t="shared" si="5"/>
        <v>11.292688440325689</v>
      </c>
      <c r="O6">
        <v>3.8747983341462615</v>
      </c>
      <c r="P6">
        <f t="shared" si="6"/>
        <v>6.9358890181218085</v>
      </c>
      <c r="Q6" s="20">
        <f t="shared" si="7"/>
        <v>4.3567994222038804</v>
      </c>
      <c r="R6" s="9">
        <v>3</v>
      </c>
      <c r="S6" t="s">
        <v>42</v>
      </c>
      <c r="T6">
        <f t="shared" si="8"/>
        <v>3</v>
      </c>
      <c r="U6">
        <f t="shared" si="9"/>
        <v>5.37</v>
      </c>
      <c r="V6" s="23">
        <v>0.2</v>
      </c>
      <c r="W6">
        <f t="shared" si="10"/>
        <v>0.35800000000000004</v>
      </c>
      <c r="X6" s="20">
        <f t="shared" si="11"/>
        <v>5.0120000000000005</v>
      </c>
    </row>
    <row r="7" spans="1:24" x14ac:dyDescent="0.25">
      <c r="A7" t="s">
        <v>13</v>
      </c>
      <c r="B7">
        <v>1.9327563148957907</v>
      </c>
      <c r="C7" t="s">
        <v>42</v>
      </c>
      <c r="D7">
        <f>'Chamber Data'!C8</f>
        <v>1555</v>
      </c>
      <c r="E7" t="s">
        <v>42</v>
      </c>
      <c r="F7">
        <f t="shared" si="0"/>
        <v>1.9327563148957907</v>
      </c>
      <c r="G7">
        <f t="shared" si="1"/>
        <v>3.0054360696629545</v>
      </c>
      <c r="H7">
        <v>25.752903875339978</v>
      </c>
      <c r="I7">
        <f t="shared" si="2"/>
        <v>40.045765526153666</v>
      </c>
      <c r="J7" s="20">
        <f t="shared" si="3"/>
        <v>-37.04032945649071</v>
      </c>
      <c r="K7">
        <v>6.3087644918020604</v>
      </c>
      <c r="L7" t="s">
        <v>42</v>
      </c>
      <c r="M7">
        <f t="shared" si="4"/>
        <v>6.3087644918020604</v>
      </c>
      <c r="N7">
        <f t="shared" si="5"/>
        <v>9.8101287847522034</v>
      </c>
      <c r="O7">
        <v>4.096067984842243</v>
      </c>
      <c r="P7">
        <f t="shared" si="6"/>
        <v>6.3693857164296874</v>
      </c>
      <c r="Q7" s="20">
        <f t="shared" si="7"/>
        <v>3.440743068322516</v>
      </c>
      <c r="R7" s="9">
        <v>3</v>
      </c>
      <c r="S7" t="s">
        <v>42</v>
      </c>
      <c r="T7">
        <f t="shared" si="8"/>
        <v>3</v>
      </c>
      <c r="U7">
        <f t="shared" si="9"/>
        <v>4.665</v>
      </c>
      <c r="V7" s="23">
        <v>0.2</v>
      </c>
      <c r="W7">
        <f t="shared" si="10"/>
        <v>0.311</v>
      </c>
      <c r="X7" s="20">
        <f t="shared" si="11"/>
        <v>4.3540000000000001</v>
      </c>
    </row>
    <row r="8" spans="1:24" x14ac:dyDescent="0.25">
      <c r="A8" t="s">
        <v>13</v>
      </c>
      <c r="B8">
        <v>1.9327563148957907</v>
      </c>
      <c r="C8" t="s">
        <v>42</v>
      </c>
      <c r="D8">
        <f>'Chamber Data'!C9</f>
        <v>1835</v>
      </c>
      <c r="E8" t="s">
        <v>42</v>
      </c>
      <c r="F8">
        <f t="shared" si="0"/>
        <v>1.9327563148957907</v>
      </c>
      <c r="G8">
        <f t="shared" si="1"/>
        <v>3.546607837833776</v>
      </c>
      <c r="H8">
        <v>2.7137447595005182</v>
      </c>
      <c r="I8">
        <f t="shared" si="2"/>
        <v>4.9797216336834511</v>
      </c>
      <c r="J8" s="20">
        <f t="shared" si="3"/>
        <v>-1.4331137958496751</v>
      </c>
      <c r="K8">
        <v>6.3087644918020604</v>
      </c>
      <c r="L8" t="s">
        <v>42</v>
      </c>
      <c r="M8">
        <f t="shared" si="4"/>
        <v>6.3087644918020604</v>
      </c>
      <c r="N8">
        <f t="shared" si="5"/>
        <v>11.57658284245678</v>
      </c>
      <c r="O8">
        <v>2.3259107792743898</v>
      </c>
      <c r="P8">
        <f t="shared" si="6"/>
        <v>4.2680462799685053</v>
      </c>
      <c r="Q8" s="20">
        <f t="shared" si="7"/>
        <v>7.3085365624882748</v>
      </c>
      <c r="R8" s="9">
        <v>3</v>
      </c>
      <c r="S8" t="s">
        <v>42</v>
      </c>
      <c r="T8">
        <f t="shared" si="8"/>
        <v>3</v>
      </c>
      <c r="U8">
        <f t="shared" si="9"/>
        <v>5.5049999999999999</v>
      </c>
      <c r="V8" s="23">
        <v>0.2</v>
      </c>
      <c r="W8">
        <f t="shared" si="10"/>
        <v>0.36699999999999999</v>
      </c>
      <c r="X8" s="20">
        <f t="shared" si="11"/>
        <v>5.1379999999999999</v>
      </c>
    </row>
    <row r="9" spans="1:24" x14ac:dyDescent="0.25">
      <c r="A9" t="s">
        <v>13</v>
      </c>
      <c r="B9">
        <v>1.9327563148957907</v>
      </c>
      <c r="C9" t="s">
        <v>42</v>
      </c>
      <c r="D9">
        <f>'Chamber Data'!C10</f>
        <v>1735</v>
      </c>
      <c r="E9" t="s">
        <v>42</v>
      </c>
      <c r="F9">
        <f t="shared" si="0"/>
        <v>1.9327563148957907</v>
      </c>
      <c r="G9">
        <f t="shared" si="1"/>
        <v>3.3533322063441973</v>
      </c>
      <c r="H9">
        <v>9.7426407609430647</v>
      </c>
      <c r="I9">
        <f t="shared" si="2"/>
        <v>16.903481720236218</v>
      </c>
      <c r="J9" s="20">
        <f t="shared" si="3"/>
        <v>-13.550149513892022</v>
      </c>
      <c r="K9">
        <v>6.3087644918020604</v>
      </c>
      <c r="L9" t="s">
        <v>42</v>
      </c>
      <c r="M9">
        <f t="shared" si="4"/>
        <v>6.3087644918020604</v>
      </c>
      <c r="N9">
        <f t="shared" si="5"/>
        <v>10.945706393276575</v>
      </c>
      <c r="O9">
        <v>3.4322590327542977</v>
      </c>
      <c r="P9">
        <f t="shared" si="6"/>
        <v>5.9549694218287064</v>
      </c>
      <c r="Q9" s="20">
        <f t="shared" si="7"/>
        <v>4.9907369714478689</v>
      </c>
      <c r="R9" s="9">
        <v>3</v>
      </c>
      <c r="S9" t="s">
        <v>42</v>
      </c>
      <c r="T9">
        <f t="shared" si="8"/>
        <v>3</v>
      </c>
      <c r="U9">
        <f t="shared" si="9"/>
        <v>5.2050000000000001</v>
      </c>
      <c r="V9" s="23">
        <v>0.2</v>
      </c>
      <c r="W9">
        <f t="shared" si="10"/>
        <v>0.34700000000000003</v>
      </c>
      <c r="X9" s="20">
        <f t="shared" si="11"/>
        <v>4.8579999999999997</v>
      </c>
    </row>
    <row r="10" spans="1:24" x14ac:dyDescent="0.25">
      <c r="A10" t="s">
        <v>14</v>
      </c>
      <c r="B10">
        <v>4371.5638101248696</v>
      </c>
      <c r="C10">
        <v>10</v>
      </c>
      <c r="D10">
        <f>'Chamber Data'!C11</f>
        <v>1800</v>
      </c>
      <c r="E10">
        <f>B10*(C10/1000)</f>
        <v>43.7156381012487</v>
      </c>
      <c r="F10">
        <f>(($B$2*(D10/1000))+E10)/(D10/1000)</f>
        <v>26.219221926700623</v>
      </c>
      <c r="G10">
        <f t="shared" si="1"/>
        <v>47.194599468061121</v>
      </c>
      <c r="H10">
        <v>8.9616523163383359</v>
      </c>
      <c r="I10">
        <f t="shared" si="2"/>
        <v>16.130974169409004</v>
      </c>
      <c r="J10" s="20">
        <f t="shared" si="3"/>
        <v>31.063625298652116</v>
      </c>
      <c r="K10">
        <v>2157.6370389824792</v>
      </c>
      <c r="L10">
        <f t="shared" ref="L10:L25" si="12">K10*(C10/1000)</f>
        <v>21.576370389824792</v>
      </c>
      <c r="M10">
        <f>(($K$2*(D2/1000))+L10)/(D10/1000)</f>
        <v>17.594663098171161</v>
      </c>
      <c r="N10">
        <f t="shared" si="5"/>
        <v>31.67039357670809</v>
      </c>
      <c r="O10">
        <v>5.8662251904100966</v>
      </c>
      <c r="P10">
        <f t="shared" si="6"/>
        <v>10.559205342738174</v>
      </c>
      <c r="Q10" s="20">
        <f t="shared" si="7"/>
        <v>21.111188233969916</v>
      </c>
      <c r="R10">
        <v>88.08</v>
      </c>
      <c r="S10">
        <f>R10*(C10/1000)</f>
        <v>0.88080000000000003</v>
      </c>
      <c r="T10">
        <f>(($R$2*(D2/1000))+S10)/(D10/1000)</f>
        <v>3.1560000000000001</v>
      </c>
      <c r="U10">
        <f t="shared" si="9"/>
        <v>5.6808000000000005</v>
      </c>
      <c r="V10" s="23">
        <v>0.2</v>
      </c>
      <c r="W10">
        <f t="shared" si="10"/>
        <v>0.36000000000000004</v>
      </c>
      <c r="X10" s="20">
        <f t="shared" si="11"/>
        <v>5.3208000000000002</v>
      </c>
    </row>
    <row r="11" spans="1:24" x14ac:dyDescent="0.25">
      <c r="A11" t="s">
        <v>14</v>
      </c>
      <c r="B11">
        <v>4371.5638101248696</v>
      </c>
      <c r="C11">
        <v>10</v>
      </c>
      <c r="D11">
        <f>'Chamber Data'!C12</f>
        <v>1425</v>
      </c>
      <c r="E11">
        <f t="shared" ref="E11:E25" si="13">B11*(C11/1000)</f>
        <v>43.7156381012487</v>
      </c>
      <c r="F11">
        <f t="shared" ref="F11:F25" si="14">(($B$2*(D11/1000))+E11)/(D11/1000)</f>
        <v>32.610397087701898</v>
      </c>
      <c r="G11">
        <f>F11*(D11/1000)</f>
        <v>46.469815849975205</v>
      </c>
      <c r="H11">
        <v>30.829328765270699</v>
      </c>
      <c r="I11">
        <f>H11*(D11/1000)</f>
        <v>43.931793490510749</v>
      </c>
      <c r="J11" s="20">
        <f t="shared" si="3"/>
        <v>2.5380223594644562</v>
      </c>
      <c r="K11">
        <v>2157.6370389824801</v>
      </c>
      <c r="L11">
        <f t="shared" si="12"/>
        <v>21.576370389824802</v>
      </c>
      <c r="M11">
        <f t="shared" ref="M11:M25" si="15">(($K$2*(D3/1000))+L11)/(D11/1000)</f>
        <v>21.914933377039969</v>
      </c>
      <c r="N11">
        <f t="shared" si="5"/>
        <v>31.228780062281956</v>
      </c>
      <c r="O11">
        <v>10.734157505721694</v>
      </c>
      <c r="P11">
        <f t="shared" si="6"/>
        <v>15.296174445653413</v>
      </c>
      <c r="Q11" s="20">
        <f t="shared" si="7"/>
        <v>15.932605616628543</v>
      </c>
      <c r="R11">
        <v>88.08</v>
      </c>
      <c r="S11">
        <f t="shared" ref="S11:S25" si="16">R11*(C11/1000)</f>
        <v>0.88080000000000003</v>
      </c>
      <c r="T11">
        <f t="shared" ref="T11:T25" si="17">(($R$2*(D3/1000))+S11)/(D11/1000)</f>
        <v>3.8391578947368417</v>
      </c>
      <c r="U11">
        <f t="shared" si="9"/>
        <v>5.4707999999999997</v>
      </c>
      <c r="V11" s="23">
        <v>0.2</v>
      </c>
      <c r="W11">
        <f t="shared" si="10"/>
        <v>0.28500000000000003</v>
      </c>
      <c r="X11" s="20">
        <f t="shared" si="11"/>
        <v>5.1857999999999995</v>
      </c>
    </row>
    <row r="12" spans="1:24" x14ac:dyDescent="0.25">
      <c r="A12" t="s">
        <v>14</v>
      </c>
      <c r="B12">
        <v>4371.5638101248696</v>
      </c>
      <c r="C12">
        <v>10</v>
      </c>
      <c r="D12">
        <f>'Chamber Data'!C13</f>
        <v>1620</v>
      </c>
      <c r="E12">
        <f t="shared" si="13"/>
        <v>43.7156381012487</v>
      </c>
      <c r="F12">
        <f t="shared" si="14"/>
        <v>28.917718105790051</v>
      </c>
      <c r="G12">
        <f t="shared" si="1"/>
        <v>46.846703331379885</v>
      </c>
      <c r="H12">
        <v>8.9616523163383359</v>
      </c>
      <c r="I12">
        <f t="shared" si="2"/>
        <v>14.517876752468105</v>
      </c>
      <c r="J12" s="20">
        <f t="shared" si="3"/>
        <v>32.32882657891178</v>
      </c>
      <c r="K12">
        <v>2157.6370389824792</v>
      </c>
      <c r="L12">
        <f t="shared" si="12"/>
        <v>21.576370389824792</v>
      </c>
      <c r="M12">
        <f t="shared" si="15"/>
        <v>19.413325197219145</v>
      </c>
      <c r="N12">
        <f t="shared" si="5"/>
        <v>31.449586819495018</v>
      </c>
      <c r="O12">
        <v>3.4322590327542977</v>
      </c>
      <c r="P12">
        <f t="shared" si="6"/>
        <v>5.5602596330619622</v>
      </c>
      <c r="Q12" s="20">
        <f t="shared" si="7"/>
        <v>25.889327186433057</v>
      </c>
      <c r="R12">
        <v>88.08</v>
      </c>
      <c r="S12">
        <f t="shared" si="16"/>
        <v>0.88080000000000003</v>
      </c>
      <c r="T12">
        <f t="shared" si="17"/>
        <v>3.4418518518518515</v>
      </c>
      <c r="U12">
        <f t="shared" si="9"/>
        <v>5.5758000000000001</v>
      </c>
      <c r="V12">
        <v>8.9600000000000009</v>
      </c>
      <c r="W12">
        <f t="shared" si="10"/>
        <v>14.515200000000002</v>
      </c>
      <c r="X12" s="20">
        <f t="shared" si="11"/>
        <v>-8.9394000000000027</v>
      </c>
    </row>
    <row r="13" spans="1:24" x14ac:dyDescent="0.25">
      <c r="A13" t="s">
        <v>14</v>
      </c>
      <c r="B13">
        <v>4371.5638101248696</v>
      </c>
      <c r="C13">
        <v>10</v>
      </c>
      <c r="D13">
        <f>'Chamber Data'!C14</f>
        <v>1730</v>
      </c>
      <c r="E13">
        <f t="shared" si="13"/>
        <v>43.7156381012487</v>
      </c>
      <c r="F13">
        <f t="shared" si="14"/>
        <v>27.201911286715848</v>
      </c>
      <c r="G13">
        <f t="shared" si="1"/>
        <v>47.059306526018418</v>
      </c>
      <c r="H13">
        <v>26.924386542247071</v>
      </c>
      <c r="I13">
        <f t="shared" si="2"/>
        <v>46.57918871808743</v>
      </c>
      <c r="J13" s="20">
        <f t="shared" si="3"/>
        <v>0.48011780793098779</v>
      </c>
      <c r="K13">
        <v>2157.6370389824792</v>
      </c>
      <c r="L13">
        <f t="shared" si="12"/>
        <v>21.576370389824792</v>
      </c>
      <c r="M13">
        <f t="shared" si="15"/>
        <v>18.142485072009826</v>
      </c>
      <c r="N13">
        <f t="shared" si="5"/>
        <v>31.386499174577001</v>
      </c>
      <c r="O13">
        <v>10.070348553633748</v>
      </c>
      <c r="P13">
        <f t="shared" si="6"/>
        <v>17.421702997786383</v>
      </c>
      <c r="Q13" s="20">
        <f t="shared" si="7"/>
        <v>13.964796176790617</v>
      </c>
      <c r="R13">
        <v>88.08</v>
      </c>
      <c r="S13">
        <f t="shared" si="16"/>
        <v>0.88080000000000003</v>
      </c>
      <c r="T13">
        <f t="shared" si="17"/>
        <v>3.2056647398843929</v>
      </c>
      <c r="U13">
        <f t="shared" si="9"/>
        <v>5.5457999999999998</v>
      </c>
      <c r="V13" s="23">
        <v>0.2</v>
      </c>
      <c r="W13">
        <f t="shared" si="10"/>
        <v>0.34600000000000003</v>
      </c>
      <c r="X13" s="20">
        <f t="shared" si="11"/>
        <v>5.1997999999999998</v>
      </c>
    </row>
    <row r="14" spans="1:24" x14ac:dyDescent="0.25">
      <c r="A14" t="s">
        <v>14</v>
      </c>
      <c r="B14">
        <v>4371.5638101248696</v>
      </c>
      <c r="C14">
        <v>10</v>
      </c>
      <c r="D14">
        <f>'Chamber Data'!C15</f>
        <v>1700</v>
      </c>
      <c r="E14">
        <f t="shared" si="13"/>
        <v>43.7156381012487</v>
      </c>
      <c r="F14">
        <f t="shared" si="14"/>
        <v>27.647837550924439</v>
      </c>
      <c r="G14">
        <f t="shared" si="1"/>
        <v>47.001323836571544</v>
      </c>
      <c r="H14">
        <v>23.019444319223432</v>
      </c>
      <c r="I14">
        <f t="shared" si="2"/>
        <v>39.133055342679832</v>
      </c>
      <c r="J14" s="20">
        <f t="shared" si="3"/>
        <v>7.868268493891712</v>
      </c>
      <c r="K14">
        <v>2157.6370389824792</v>
      </c>
      <c r="L14">
        <f t="shared" si="12"/>
        <v>21.576370389824792</v>
      </c>
      <c r="M14">
        <f t="shared" si="15"/>
        <v>19.33474048832381</v>
      </c>
      <c r="N14">
        <f t="shared" si="5"/>
        <v>32.869058830150479</v>
      </c>
      <c r="O14">
        <v>17.598675571230288</v>
      </c>
      <c r="P14">
        <f t="shared" si="6"/>
        <v>29.917748471091489</v>
      </c>
      <c r="Q14" s="20">
        <f t="shared" si="7"/>
        <v>2.95131035905899</v>
      </c>
      <c r="R14">
        <v>88.08</v>
      </c>
      <c r="S14">
        <f t="shared" si="16"/>
        <v>0.88080000000000003</v>
      </c>
      <c r="T14">
        <f t="shared" si="17"/>
        <v>3.6769411764705882</v>
      </c>
      <c r="U14">
        <f t="shared" si="9"/>
        <v>6.2507999999999999</v>
      </c>
      <c r="V14" s="23">
        <v>0.2</v>
      </c>
      <c r="W14">
        <f t="shared" si="10"/>
        <v>0.34</v>
      </c>
      <c r="X14" s="20">
        <f t="shared" si="11"/>
        <v>5.9108000000000001</v>
      </c>
    </row>
    <row r="15" spans="1:24" x14ac:dyDescent="0.25">
      <c r="A15" t="s">
        <v>14</v>
      </c>
      <c r="B15">
        <v>4371.5638101248696</v>
      </c>
      <c r="C15">
        <v>10</v>
      </c>
      <c r="D15">
        <f>'Chamber Data'!C16</f>
        <v>1750</v>
      </c>
      <c r="E15">
        <f t="shared" si="13"/>
        <v>43.7156381012487</v>
      </c>
      <c r="F15">
        <f t="shared" si="14"/>
        <v>26.913120944180765</v>
      </c>
      <c r="G15">
        <f t="shared" si="1"/>
        <v>47.097961652316336</v>
      </c>
      <c r="H15">
        <v>24.581421208432886</v>
      </c>
      <c r="I15">
        <f t="shared" si="2"/>
        <v>43.01748711475755</v>
      </c>
      <c r="J15" s="20">
        <f t="shared" si="3"/>
        <v>4.0804745375587856</v>
      </c>
      <c r="K15">
        <v>2157.6370389824792</v>
      </c>
      <c r="L15">
        <f t="shared" si="12"/>
        <v>21.576370389824792</v>
      </c>
      <c r="M15">
        <f t="shared" si="15"/>
        <v>17.93514238547257</v>
      </c>
      <c r="N15">
        <f t="shared" si="5"/>
        <v>31.386499174576997</v>
      </c>
      <c r="O15">
        <v>7.8576520466739321</v>
      </c>
      <c r="P15">
        <f t="shared" si="6"/>
        <v>13.750891081679381</v>
      </c>
      <c r="Q15" s="20">
        <f t="shared" si="7"/>
        <v>17.635608092897616</v>
      </c>
      <c r="R15">
        <v>88.08</v>
      </c>
      <c r="S15">
        <f t="shared" si="16"/>
        <v>0.88080000000000003</v>
      </c>
      <c r="T15">
        <f t="shared" si="17"/>
        <v>3.1690285714285715</v>
      </c>
      <c r="U15">
        <f t="shared" si="9"/>
        <v>5.5457999999999998</v>
      </c>
      <c r="V15" s="23">
        <v>0.2</v>
      </c>
      <c r="W15">
        <f t="shared" si="10"/>
        <v>0.35000000000000003</v>
      </c>
      <c r="X15" s="20">
        <f t="shared" si="11"/>
        <v>5.1958000000000002</v>
      </c>
    </row>
    <row r="16" spans="1:24" x14ac:dyDescent="0.25">
      <c r="A16" t="s">
        <v>14</v>
      </c>
      <c r="B16">
        <v>4371.5638101248696</v>
      </c>
      <c r="C16">
        <v>10</v>
      </c>
      <c r="D16">
        <f>'Chamber Data'!C17</f>
        <v>1730</v>
      </c>
      <c r="E16">
        <f t="shared" si="13"/>
        <v>43.7156381012487</v>
      </c>
      <c r="F16">
        <f t="shared" si="14"/>
        <v>27.201911286715848</v>
      </c>
      <c r="G16">
        <f t="shared" si="1"/>
        <v>47.059306526018418</v>
      </c>
      <c r="H16">
        <v>27.705374986851801</v>
      </c>
      <c r="I16">
        <f t="shared" si="2"/>
        <v>47.930298727253614</v>
      </c>
      <c r="J16" s="20">
        <f t="shared" si="3"/>
        <v>-0.87099220123519672</v>
      </c>
      <c r="K16">
        <v>2157.6370389824792</v>
      </c>
      <c r="L16">
        <f t="shared" si="12"/>
        <v>21.576370389824792</v>
      </c>
      <c r="M16">
        <f t="shared" si="15"/>
        <v>19.163556781665651</v>
      </c>
      <c r="N16">
        <f t="shared" si="5"/>
        <v>33.152953232281575</v>
      </c>
      <c r="O16">
        <v>5.2024162383221508</v>
      </c>
      <c r="P16">
        <f t="shared" si="6"/>
        <v>9.0001800922973203</v>
      </c>
      <c r="Q16" s="20">
        <f t="shared" si="7"/>
        <v>24.152773139984255</v>
      </c>
      <c r="R16">
        <v>88.08</v>
      </c>
      <c r="S16">
        <f t="shared" si="16"/>
        <v>0.88080000000000003</v>
      </c>
      <c r="T16">
        <f t="shared" si="17"/>
        <v>3.6912138728323698</v>
      </c>
      <c r="U16">
        <f t="shared" si="9"/>
        <v>6.3857999999999997</v>
      </c>
      <c r="V16" s="23">
        <v>0.2</v>
      </c>
      <c r="W16">
        <f t="shared" si="10"/>
        <v>0.34600000000000003</v>
      </c>
      <c r="X16" s="20">
        <f t="shared" si="11"/>
        <v>6.0397999999999996</v>
      </c>
    </row>
    <row r="17" spans="1:24" x14ac:dyDescent="0.25">
      <c r="A17" t="s">
        <v>14</v>
      </c>
      <c r="B17">
        <v>4371.5638101248696</v>
      </c>
      <c r="C17">
        <v>10</v>
      </c>
      <c r="D17">
        <f>'Chamber Data'!C18</f>
        <v>1745</v>
      </c>
      <c r="E17">
        <f t="shared" si="13"/>
        <v>43.7156381012487</v>
      </c>
      <c r="F17">
        <f t="shared" si="14"/>
        <v>26.984697920195902</v>
      </c>
      <c r="G17">
        <f t="shared" si="1"/>
        <v>47.088297870741854</v>
      </c>
      <c r="H17">
        <v>31.219822987573064</v>
      </c>
      <c r="I17">
        <f t="shared" si="2"/>
        <v>54.478591113314998</v>
      </c>
      <c r="J17" s="20">
        <f t="shared" si="3"/>
        <v>-7.3902932425731436</v>
      </c>
      <c r="K17">
        <v>2157.6370389824792</v>
      </c>
      <c r="L17">
        <f t="shared" si="12"/>
        <v>21.576370389824792</v>
      </c>
      <c r="M17">
        <f t="shared" si="15"/>
        <v>18.637293285444908</v>
      </c>
      <c r="N17">
        <f t="shared" si="5"/>
        <v>32.522076783101369</v>
      </c>
      <c r="O17">
        <v>3.6535286834502796</v>
      </c>
      <c r="P17">
        <f t="shared" si="6"/>
        <v>6.3754075526207385</v>
      </c>
      <c r="Q17" s="20">
        <f t="shared" si="7"/>
        <v>26.146669230480629</v>
      </c>
      <c r="R17">
        <v>88.08</v>
      </c>
      <c r="S17">
        <f t="shared" si="16"/>
        <v>0.88080000000000003</v>
      </c>
      <c r="T17">
        <f t="shared" si="17"/>
        <v>3.48756446991404</v>
      </c>
      <c r="U17">
        <f t="shared" si="9"/>
        <v>6.0857999999999999</v>
      </c>
      <c r="V17" s="23">
        <v>0.2</v>
      </c>
      <c r="W17">
        <f t="shared" si="10"/>
        <v>0.34900000000000003</v>
      </c>
      <c r="X17" s="20">
        <f t="shared" si="11"/>
        <v>5.7367999999999997</v>
      </c>
    </row>
    <row r="18" spans="1:24" x14ac:dyDescent="0.25">
      <c r="A18" t="s">
        <v>15</v>
      </c>
      <c r="B18">
        <v>1638.1042540083247</v>
      </c>
      <c r="C18">
        <v>10</v>
      </c>
      <c r="D18">
        <f>'Chamber Data'!C19</f>
        <v>1815</v>
      </c>
      <c r="E18">
        <f t="shared" si="13"/>
        <v>16.381042540083246</v>
      </c>
      <c r="F18">
        <f t="shared" si="14"/>
        <v>10.958124105575266</v>
      </c>
      <c r="G18">
        <f t="shared" si="1"/>
        <v>19.888995251619107</v>
      </c>
      <c r="H18">
        <v>154.57656764188795</v>
      </c>
      <c r="I18">
        <f t="shared" si="2"/>
        <v>280.55647027002664</v>
      </c>
      <c r="J18" s="20">
        <f t="shared" si="3"/>
        <v>-260.66747501840752</v>
      </c>
      <c r="K18">
        <v>2771.3278055003234</v>
      </c>
      <c r="L18">
        <f t="shared" si="12"/>
        <v>27.713278055003233</v>
      </c>
      <c r="M18">
        <f t="shared" si="15"/>
        <v>21.525649664047901</v>
      </c>
      <c r="N18">
        <f t="shared" si="5"/>
        <v>39.069054140246941</v>
      </c>
      <c r="O18">
        <v>146.59372303305446</v>
      </c>
      <c r="P18">
        <f t="shared" si="6"/>
        <v>266.06760730499383</v>
      </c>
      <c r="Q18" s="20">
        <f t="shared" si="7"/>
        <v>-226.99855316474688</v>
      </c>
      <c r="R18">
        <v>2201.52</v>
      </c>
      <c r="S18">
        <f t="shared" si="16"/>
        <v>22.0152</v>
      </c>
      <c r="T18">
        <f t="shared" si="17"/>
        <v>15.104793388429751</v>
      </c>
      <c r="U18">
        <f t="shared" si="9"/>
        <v>27.415199999999999</v>
      </c>
      <c r="V18">
        <v>15.359999999999998</v>
      </c>
      <c r="W18">
        <f t="shared" si="10"/>
        <v>27.878399999999996</v>
      </c>
      <c r="X18" s="20">
        <f t="shared" si="11"/>
        <v>-0.46319999999999695</v>
      </c>
    </row>
    <row r="19" spans="1:24" x14ac:dyDescent="0.25">
      <c r="A19" t="s">
        <v>15</v>
      </c>
      <c r="B19">
        <v>1638.1042540083247</v>
      </c>
      <c r="C19">
        <v>10</v>
      </c>
      <c r="D19">
        <f>'Chamber Data'!C20</f>
        <v>1835</v>
      </c>
      <c r="E19">
        <f t="shared" si="13"/>
        <v>16.381042540083246</v>
      </c>
      <c r="F19">
        <f t="shared" si="14"/>
        <v>10.859754974341701</v>
      </c>
      <c r="G19">
        <f t="shared" si="1"/>
        <v>19.927650377917022</v>
      </c>
      <c r="H19">
        <v>104.20281296488302</v>
      </c>
      <c r="I19">
        <f t="shared" si="2"/>
        <v>191.21216179056034</v>
      </c>
      <c r="J19" s="20">
        <f t="shared" si="3"/>
        <v>-171.28451141264333</v>
      </c>
      <c r="K19">
        <v>2771.3278055003234</v>
      </c>
      <c r="L19">
        <f t="shared" si="12"/>
        <v>27.713278055003233</v>
      </c>
      <c r="M19">
        <f t="shared" si="15"/>
        <v>20.001780629875299</v>
      </c>
      <c r="N19">
        <f t="shared" si="5"/>
        <v>36.70326745582117</v>
      </c>
      <c r="O19">
        <v>133.31754399129554</v>
      </c>
      <c r="P19">
        <f t="shared" si="6"/>
        <v>244.63769322402732</v>
      </c>
      <c r="Q19" s="20">
        <f t="shared" si="7"/>
        <v>-207.93442576820615</v>
      </c>
      <c r="R19">
        <v>2201.52</v>
      </c>
      <c r="S19">
        <f t="shared" si="16"/>
        <v>22.0152</v>
      </c>
      <c r="T19">
        <f t="shared" si="17"/>
        <v>14.32708446866485</v>
      </c>
      <c r="U19">
        <f t="shared" si="9"/>
        <v>26.290199999999999</v>
      </c>
      <c r="V19">
        <v>24.32</v>
      </c>
      <c r="W19">
        <f t="shared" si="10"/>
        <v>44.627200000000002</v>
      </c>
      <c r="X19" s="20">
        <f t="shared" si="11"/>
        <v>-18.337000000000003</v>
      </c>
    </row>
    <row r="20" spans="1:24" x14ac:dyDescent="0.25">
      <c r="A20" t="s">
        <v>15</v>
      </c>
      <c r="B20">
        <v>1638.1042540083247</v>
      </c>
      <c r="C20">
        <v>10</v>
      </c>
      <c r="D20">
        <f>'Chamber Data'!C21</f>
        <v>1620</v>
      </c>
      <c r="E20">
        <f t="shared" si="13"/>
        <v>16.381042540083246</v>
      </c>
      <c r="F20">
        <f t="shared" si="14"/>
        <v>12.044510969268165</v>
      </c>
      <c r="G20">
        <f t="shared" si="1"/>
        <v>19.512107770214428</v>
      </c>
      <c r="H20">
        <v>152.23360230807376</v>
      </c>
      <c r="I20">
        <f t="shared" si="2"/>
        <v>246.6184357390795</v>
      </c>
      <c r="J20" s="20">
        <f t="shared" si="3"/>
        <v>-227.10632796886506</v>
      </c>
      <c r="K20">
        <v>2771.3278055003234</v>
      </c>
      <c r="L20">
        <f t="shared" si="12"/>
        <v>27.713278055003233</v>
      </c>
      <c r="M20">
        <f t="shared" si="15"/>
        <v>23.415726254149735</v>
      </c>
      <c r="N20">
        <f t="shared" si="5"/>
        <v>37.933476531722576</v>
      </c>
      <c r="O20">
        <v>145.70864443027054</v>
      </c>
      <c r="P20">
        <f t="shared" si="6"/>
        <v>236.04800397703829</v>
      </c>
      <c r="Q20" s="20">
        <f t="shared" si="7"/>
        <v>-198.11452744531573</v>
      </c>
      <c r="R20">
        <v>2201.52</v>
      </c>
      <c r="S20">
        <f t="shared" si="16"/>
        <v>22.0152</v>
      </c>
      <c r="T20">
        <f t="shared" si="17"/>
        <v>16.589629629629627</v>
      </c>
      <c r="U20">
        <f t="shared" si="9"/>
        <v>26.875199999999996</v>
      </c>
      <c r="V20">
        <v>29.68</v>
      </c>
      <c r="W20">
        <f t="shared" si="10"/>
        <v>48.081600000000002</v>
      </c>
      <c r="X20" s="20">
        <f>U20-W20</f>
        <v>-21.206400000000006</v>
      </c>
    </row>
    <row r="21" spans="1:24" x14ac:dyDescent="0.25">
      <c r="A21" t="s">
        <v>15</v>
      </c>
      <c r="B21">
        <v>1638.1042540083247</v>
      </c>
      <c r="C21">
        <v>10</v>
      </c>
      <c r="D21">
        <f>'Chamber Data'!C22</f>
        <v>1750</v>
      </c>
      <c r="E21">
        <f t="shared" si="13"/>
        <v>16.381042540083246</v>
      </c>
      <c r="F21">
        <f t="shared" si="14"/>
        <v>11.293352052086217</v>
      </c>
      <c r="G21">
        <f t="shared" si="1"/>
        <v>19.763366091150878</v>
      </c>
      <c r="H21">
        <v>113.57467430013978</v>
      </c>
      <c r="I21">
        <f t="shared" si="2"/>
        <v>198.7556800252446</v>
      </c>
      <c r="J21" s="20">
        <f t="shared" si="3"/>
        <v>-178.99231393409372</v>
      </c>
      <c r="K21">
        <v>2771.3278055003234</v>
      </c>
      <c r="L21">
        <f t="shared" si="12"/>
        <v>27.713278055003233</v>
      </c>
      <c r="M21">
        <f t="shared" si="15"/>
        <v>22.072823214754742</v>
      </c>
      <c r="N21">
        <f t="shared" si="5"/>
        <v>38.627440625820796</v>
      </c>
      <c r="O21">
        <v>124.24548831276026</v>
      </c>
      <c r="P21">
        <f t="shared" si="6"/>
        <v>217.42960454733046</v>
      </c>
      <c r="Q21" s="20">
        <f t="shared" si="7"/>
        <v>-178.80216392150965</v>
      </c>
      <c r="R21">
        <v>2201.52</v>
      </c>
      <c r="S21">
        <f t="shared" si="16"/>
        <v>22.0152</v>
      </c>
      <c r="T21">
        <f t="shared" si="17"/>
        <v>15.54582857142857</v>
      </c>
      <c r="U21">
        <f t="shared" si="9"/>
        <v>27.205199999999998</v>
      </c>
      <c r="V21">
        <v>13.919999999999998</v>
      </c>
      <c r="W21">
        <f t="shared" si="10"/>
        <v>24.359999999999996</v>
      </c>
      <c r="X21" s="20">
        <f t="shared" si="11"/>
        <v>2.8452000000000019</v>
      </c>
    </row>
    <row r="22" spans="1:24" x14ac:dyDescent="0.25">
      <c r="A22" t="s">
        <v>15</v>
      </c>
      <c r="B22">
        <v>1638.1042540083247</v>
      </c>
      <c r="C22">
        <v>10</v>
      </c>
      <c r="D22">
        <f>'Chamber Data'!C23</f>
        <v>1850</v>
      </c>
      <c r="E22">
        <f t="shared" si="13"/>
        <v>16.381042540083246</v>
      </c>
      <c r="F22">
        <f t="shared" si="14"/>
        <v>10.787373904129977</v>
      </c>
      <c r="G22">
        <f t="shared" si="1"/>
        <v>19.956641722640459</v>
      </c>
      <c r="H22">
        <v>198.29220574313666</v>
      </c>
      <c r="I22">
        <f t="shared" si="2"/>
        <v>366.84058062480284</v>
      </c>
      <c r="J22" s="20">
        <f t="shared" si="3"/>
        <v>-346.88393890216236</v>
      </c>
      <c r="K22">
        <v>2771.3278055003234</v>
      </c>
      <c r="L22">
        <f t="shared" si="12"/>
        <v>27.713278055003233</v>
      </c>
      <c r="M22">
        <f t="shared" si="15"/>
        <v>20.777393346522558</v>
      </c>
      <c r="N22">
        <f t="shared" si="5"/>
        <v>38.438177691066734</v>
      </c>
      <c r="O22">
        <v>133.76008329268751</v>
      </c>
      <c r="P22">
        <f t="shared" si="6"/>
        <v>247.45615409147192</v>
      </c>
      <c r="Q22" s="20">
        <f t="shared" si="7"/>
        <v>-209.01797640040519</v>
      </c>
      <c r="R22">
        <v>2201.52</v>
      </c>
      <c r="S22">
        <f t="shared" si="16"/>
        <v>22.0152</v>
      </c>
      <c r="T22">
        <f t="shared" si="17"/>
        <v>14.656864864864865</v>
      </c>
      <c r="U22">
        <f t="shared" si="9"/>
        <v>27.115200000000002</v>
      </c>
      <c r="V22">
        <v>11.2</v>
      </c>
      <c r="W22">
        <f t="shared" si="10"/>
        <v>20.72</v>
      </c>
      <c r="X22" s="20">
        <f t="shared" si="11"/>
        <v>6.3952000000000027</v>
      </c>
    </row>
    <row r="23" spans="1:24" x14ac:dyDescent="0.25">
      <c r="A23" t="s">
        <v>15</v>
      </c>
      <c r="B23">
        <v>1638.1042540083247</v>
      </c>
      <c r="C23">
        <v>10</v>
      </c>
      <c r="D23">
        <f>'Chamber Data'!C24</f>
        <v>1865</v>
      </c>
      <c r="E23">
        <f t="shared" si="13"/>
        <v>16.381042540083246</v>
      </c>
      <c r="F23">
        <f t="shared" si="14"/>
        <v>10.716157140677693</v>
      </c>
      <c r="G23">
        <f t="shared" si="1"/>
        <v>19.985633067363896</v>
      </c>
      <c r="H23">
        <v>201.41615952155556</v>
      </c>
      <c r="I23">
        <f t="shared" si="2"/>
        <v>375.6411375077011</v>
      </c>
      <c r="J23" s="20">
        <f t="shared" si="3"/>
        <v>-355.65550444033721</v>
      </c>
      <c r="K23">
        <v>2771.3278055003234</v>
      </c>
      <c r="L23">
        <f t="shared" si="12"/>
        <v>27.713278055003233</v>
      </c>
      <c r="M23">
        <f t="shared" si="15"/>
        <v>20.779418721531815</v>
      </c>
      <c r="N23">
        <f t="shared" si="5"/>
        <v>38.753615915656837</v>
      </c>
      <c r="O23">
        <v>136.63658875173525</v>
      </c>
      <c r="P23">
        <f t="shared" si="6"/>
        <v>254.82723802198623</v>
      </c>
      <c r="Q23" s="20">
        <f t="shared" si="7"/>
        <v>-216.0736221063294</v>
      </c>
      <c r="R23">
        <v>2201.52</v>
      </c>
      <c r="S23">
        <f t="shared" si="16"/>
        <v>22.0152</v>
      </c>
      <c r="T23">
        <f t="shared" si="17"/>
        <v>14.61941018766756</v>
      </c>
      <c r="U23">
        <f t="shared" si="9"/>
        <v>27.2652</v>
      </c>
      <c r="V23" s="23">
        <v>0.2</v>
      </c>
      <c r="W23">
        <f t="shared" si="10"/>
        <v>0.373</v>
      </c>
      <c r="X23" s="20">
        <f t="shared" si="11"/>
        <v>26.892199999999999</v>
      </c>
    </row>
    <row r="24" spans="1:24" x14ac:dyDescent="0.25">
      <c r="A24" t="s">
        <v>15</v>
      </c>
      <c r="B24">
        <v>1638.1042540083247</v>
      </c>
      <c r="C24">
        <v>10</v>
      </c>
      <c r="D24">
        <f>'Chamber Data'!C25</f>
        <v>1665</v>
      </c>
      <c r="E24">
        <f t="shared" si="13"/>
        <v>16.381042540083246</v>
      </c>
      <c r="F24">
        <f t="shared" si="14"/>
        <v>11.771220302933777</v>
      </c>
      <c r="G24">
        <f t="shared" si="1"/>
        <v>19.599081804384738</v>
      </c>
      <c r="H24">
        <v>196.7302288539272</v>
      </c>
      <c r="I24">
        <f t="shared" si="2"/>
        <v>327.55583104178879</v>
      </c>
      <c r="J24" s="20">
        <f t="shared" si="3"/>
        <v>-307.95674923740404</v>
      </c>
      <c r="K24">
        <v>2771.3278055003234</v>
      </c>
      <c r="L24">
        <f t="shared" si="12"/>
        <v>27.713278055003233</v>
      </c>
      <c r="M24">
        <f t="shared" si="15"/>
        <v>23.19966403953201</v>
      </c>
      <c r="N24">
        <f t="shared" si="5"/>
        <v>38.627440625820796</v>
      </c>
      <c r="O24">
        <v>145.92991408096648</v>
      </c>
      <c r="P24">
        <f t="shared" si="6"/>
        <v>242.9733069448092</v>
      </c>
      <c r="Q24" s="20">
        <f t="shared" si="7"/>
        <v>-204.34586631898839</v>
      </c>
      <c r="R24">
        <v>2201.52</v>
      </c>
      <c r="S24">
        <f t="shared" si="16"/>
        <v>22.0152</v>
      </c>
      <c r="T24">
        <f t="shared" si="17"/>
        <v>16.339459459459459</v>
      </c>
      <c r="U24">
        <f t="shared" si="9"/>
        <v>27.205199999999998</v>
      </c>
      <c r="V24">
        <v>21.76</v>
      </c>
      <c r="W24">
        <f t="shared" si="10"/>
        <v>36.230400000000003</v>
      </c>
      <c r="X24" s="20">
        <f t="shared" si="11"/>
        <v>-9.0252000000000052</v>
      </c>
    </row>
    <row r="25" spans="1:24" x14ac:dyDescent="0.25">
      <c r="A25" t="s">
        <v>15</v>
      </c>
      <c r="B25">
        <v>1638.1042540083247</v>
      </c>
      <c r="C25">
        <v>10</v>
      </c>
      <c r="D25">
        <f>'Chamber Data'!C26</f>
        <v>1560</v>
      </c>
      <c r="E25">
        <f t="shared" si="13"/>
        <v>16.381042540083246</v>
      </c>
      <c r="F25">
        <f t="shared" si="14"/>
        <v>12.433424609820948</v>
      </c>
      <c r="G25">
        <f t="shared" si="1"/>
        <v>19.39614239132068</v>
      </c>
      <c r="H25">
        <v>140.49906084238683</v>
      </c>
      <c r="I25">
        <f t="shared" si="2"/>
        <v>219.17853491412345</v>
      </c>
      <c r="J25" s="20">
        <f t="shared" si="3"/>
        <v>-199.78239252280275</v>
      </c>
      <c r="K25">
        <v>2771.3278055003234</v>
      </c>
      <c r="L25">
        <f t="shared" si="12"/>
        <v>27.713278055003233</v>
      </c>
      <c r="M25">
        <f t="shared" si="15"/>
        <v>24.821841085383223</v>
      </c>
      <c r="N25">
        <f t="shared" si="5"/>
        <v>38.722072093197831</v>
      </c>
      <c r="O25">
        <v>110.30550031891345</v>
      </c>
      <c r="P25">
        <f t="shared" si="6"/>
        <v>172.07658049750498</v>
      </c>
      <c r="Q25" s="20">
        <f t="shared" si="7"/>
        <v>-133.35450840430715</v>
      </c>
      <c r="R25">
        <v>2201.52</v>
      </c>
      <c r="S25">
        <f t="shared" si="16"/>
        <v>22.0152</v>
      </c>
      <c r="T25">
        <f t="shared" si="17"/>
        <v>17.468076923076922</v>
      </c>
      <c r="U25">
        <f t="shared" si="9"/>
        <v>27.2502</v>
      </c>
      <c r="V25">
        <v>31.92</v>
      </c>
      <c r="W25">
        <f t="shared" si="10"/>
        <v>49.795200000000001</v>
      </c>
      <c r="X25" s="20">
        <f t="shared" si="11"/>
        <v>-22.545000000000002</v>
      </c>
    </row>
    <row r="26" spans="1:24" x14ac:dyDescent="0.25">
      <c r="E26" t="s">
        <v>78</v>
      </c>
      <c r="F26">
        <f>AVERAGE(F10:F17)</f>
        <v>27.962102013615674</v>
      </c>
      <c r="J26" t="s">
        <v>78</v>
      </c>
      <c r="K26">
        <f>AVERAGE(K10:K17)*0.001</f>
        <v>2.1576370389824793</v>
      </c>
      <c r="T26">
        <f>AVERAGE(T18:T25)</f>
        <v>15.5813934366527</v>
      </c>
    </row>
    <row r="27" spans="1:24" x14ac:dyDescent="0.25">
      <c r="E27" t="s">
        <v>79</v>
      </c>
      <c r="F27">
        <f>AVERAGE(F18:F25)</f>
        <v>11.357989757354218</v>
      </c>
      <c r="J2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zoomScaleNormal="100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E2" sqref="E2:E25"/>
    </sheetView>
  </sheetViews>
  <sheetFormatPr defaultRowHeight="15" x14ac:dyDescent="0.25"/>
  <cols>
    <col min="1" max="1" width="11" bestFit="1" customWidth="1"/>
  </cols>
  <sheetData>
    <row r="1" spans="1:5" s="1" customFormat="1" x14ac:dyDescent="0.25">
      <c r="A1" s="1" t="s">
        <v>30</v>
      </c>
      <c r="B1" s="1" t="s">
        <v>16</v>
      </c>
      <c r="C1" s="1" t="s">
        <v>17</v>
      </c>
      <c r="D1" s="1" t="s">
        <v>18</v>
      </c>
      <c r="E1" s="1" t="s">
        <v>67</v>
      </c>
    </row>
    <row r="2" spans="1:5" s="12" customFormat="1" x14ac:dyDescent="0.25">
      <c r="A2" s="12">
        <f>'Chamber Data'!A3</f>
        <v>1</v>
      </c>
      <c r="B2" s="12" t="str">
        <f>'Chamber Data'!B3</f>
        <v>C</v>
      </c>
      <c r="C2" s="12">
        <f>'Chamber Data'!Y3</f>
        <v>-1.5904130715851805</v>
      </c>
      <c r="D2" s="12">
        <f>'Chamber Data'!Z3</f>
        <v>14.731118585253457</v>
      </c>
      <c r="E2" s="12">
        <f>Chlorophyll!J2</f>
        <v>0.18878666096257615</v>
      </c>
    </row>
    <row r="3" spans="1:5" s="12" customFormat="1" x14ac:dyDescent="0.25">
      <c r="A3" s="12">
        <f>'Chamber Data'!A4</f>
        <v>2</v>
      </c>
      <c r="B3" s="12" t="str">
        <f>'Chamber Data'!B4</f>
        <v>C</v>
      </c>
      <c r="C3" s="12">
        <f>'Chamber Data'!Y4</f>
        <v>-2.1648626601781409</v>
      </c>
      <c r="D3" s="12">
        <f>'Chamber Data'!Z4</f>
        <v>7.6684246229421138</v>
      </c>
      <c r="E3" s="12">
        <f>Chlorophyll!J3</f>
        <v>0.13268162766090069</v>
      </c>
    </row>
    <row r="4" spans="1:5" s="12" customFormat="1" x14ac:dyDescent="0.25">
      <c r="A4" s="12">
        <f>'Chamber Data'!A5</f>
        <v>3</v>
      </c>
      <c r="B4" s="12" t="str">
        <f>'Chamber Data'!B5</f>
        <v>C</v>
      </c>
      <c r="C4" s="12">
        <f>'Chamber Data'!Y5</f>
        <v>-4.6017146842886714</v>
      </c>
      <c r="D4" s="12">
        <f>'Chamber Data'!Z5</f>
        <v>5.1130163158762887</v>
      </c>
      <c r="E4" s="12">
        <f>Chlorophyll!J4</f>
        <v>0.34911715085976436</v>
      </c>
    </row>
    <row r="5" spans="1:5" s="12" customFormat="1" x14ac:dyDescent="0.25">
      <c r="A5" s="12">
        <f>'Chamber Data'!A6</f>
        <v>4</v>
      </c>
      <c r="B5" s="12" t="str">
        <f>'Chamber Data'!B6</f>
        <v>C</v>
      </c>
      <c r="C5" s="12">
        <f>'Chamber Data'!Y6</f>
        <v>-3.7616123873643375</v>
      </c>
      <c r="D5" s="12">
        <f>'Chamber Data'!Z6</f>
        <v>2.8082936740079347</v>
      </c>
      <c r="E5" s="12">
        <f>Chlorophyll!J5</f>
        <v>0.12439966516468812</v>
      </c>
    </row>
    <row r="6" spans="1:5" s="12" customFormat="1" x14ac:dyDescent="0.25">
      <c r="A6" s="12">
        <f>'Chamber Data'!A7</f>
        <v>5</v>
      </c>
      <c r="B6" s="12" t="str">
        <f>'Chamber Data'!B7</f>
        <v>C</v>
      </c>
      <c r="C6" s="12">
        <f>'Chamber Data'!Y7</f>
        <v>-3.5292656969508167</v>
      </c>
      <c r="D6" s="12">
        <f>'Chamber Data'!Z7</f>
        <v>5.1932835145920624</v>
      </c>
      <c r="E6" s="12">
        <f>Chlorophyll!J6</f>
        <v>9.3034146475456589E-2</v>
      </c>
    </row>
    <row r="7" spans="1:5" s="12" customFormat="1" x14ac:dyDescent="0.25">
      <c r="A7" s="12">
        <f>'Chamber Data'!A8</f>
        <v>6</v>
      </c>
      <c r="B7" s="12" t="str">
        <f>'Chamber Data'!B8</f>
        <v>C</v>
      </c>
      <c r="C7" s="12">
        <f>'Chamber Data'!Y8</f>
        <v>-1.7047506004349018</v>
      </c>
      <c r="D7" s="12">
        <f>'Chamber Data'!Z8</f>
        <v>0</v>
      </c>
      <c r="E7" s="12">
        <f>Chlorophyll!J7</f>
        <v>0.18668153823067324</v>
      </c>
    </row>
    <row r="8" spans="1:5" s="12" customFormat="1" x14ac:dyDescent="0.25">
      <c r="A8" s="12">
        <f>'Chamber Data'!A9</f>
        <v>7</v>
      </c>
      <c r="B8" s="12" t="str">
        <f>'Chamber Data'!B9</f>
        <v>C</v>
      </c>
      <c r="C8" s="12">
        <f>'Chamber Data'!Y9</f>
        <v>-2.5786794819252226</v>
      </c>
      <c r="D8" s="12">
        <f>'Chamber Data'!Z9</f>
        <v>4.9667664030229108</v>
      </c>
      <c r="E8" s="12">
        <f>Chlorophyll!J8</f>
        <v>4.806414293425184E-2</v>
      </c>
    </row>
    <row r="9" spans="1:5" s="12" customFormat="1" x14ac:dyDescent="0.25">
      <c r="A9" s="12">
        <f>'Chamber Data'!A10</f>
        <v>8</v>
      </c>
      <c r="B9" s="12" t="str">
        <f>'Chamber Data'!B10</f>
        <v>C</v>
      </c>
      <c r="C9" s="12">
        <f>'Chamber Data'!Y10</f>
        <v>-4.6125052306786491</v>
      </c>
      <c r="D9" s="12">
        <f>'Chamber Data'!Z10</f>
        <v>13.056347405293543</v>
      </c>
      <c r="E9" s="12">
        <f>Chlorophyll!J9</f>
        <v>0.17639291245737468</v>
      </c>
    </row>
    <row r="10" spans="1:5" s="12" customFormat="1" x14ac:dyDescent="0.25">
      <c r="A10" s="12">
        <f>'Chamber Data'!A11</f>
        <v>9</v>
      </c>
      <c r="B10" s="12" t="str">
        <f>'Chamber Data'!B11</f>
        <v>L</v>
      </c>
      <c r="C10" s="12">
        <f>'Chamber Data'!Y11</f>
        <v>-3.7942422894812431</v>
      </c>
      <c r="D10" s="12">
        <f>'Chamber Data'!Z11</f>
        <v>4.3818461838699729</v>
      </c>
      <c r="E10" s="12">
        <f>Chlorophyll!J10</f>
        <v>4.8824193126921829E-2</v>
      </c>
    </row>
    <row r="11" spans="1:5" s="12" customFormat="1" x14ac:dyDescent="0.25">
      <c r="A11" s="12">
        <f>'Chamber Data'!A12</f>
        <v>10</v>
      </c>
      <c r="B11" s="12" t="str">
        <f>'Chamber Data'!B12</f>
        <v>L</v>
      </c>
      <c r="C11" s="12">
        <f>'Chamber Data'!Y12</f>
        <v>-6.6449158267741426</v>
      </c>
      <c r="D11" s="12">
        <f>'Chamber Data'!Z12</f>
        <v>12.451800974502024</v>
      </c>
      <c r="E11" s="12">
        <f>Chlorophyll!J11</f>
        <v>9.2675231209559533E-2</v>
      </c>
    </row>
    <row r="12" spans="1:5" s="12" customFormat="1" x14ac:dyDescent="0.25">
      <c r="A12" s="12">
        <f>'Chamber Data'!A13</f>
        <v>11</v>
      </c>
      <c r="B12" s="12" t="str">
        <f>'Chamber Data'!B13</f>
        <v>L</v>
      </c>
      <c r="C12" s="12">
        <f>'Chamber Data'!Y13</f>
        <v>-6.4085372878111055</v>
      </c>
      <c r="D12" s="12">
        <f>'Chamber Data'!Z13</f>
        <v>11.641848360699086</v>
      </c>
      <c r="E12" s="12">
        <f>Chlorophyll!J12</f>
        <v>0.15449695324364943</v>
      </c>
    </row>
    <row r="13" spans="1:5" s="12" customFormat="1" x14ac:dyDescent="0.25">
      <c r="A13" s="12">
        <f>'Chamber Data'!A14</f>
        <v>12</v>
      </c>
      <c r="B13" s="12" t="str">
        <f>'Chamber Data'!B14</f>
        <v>L</v>
      </c>
      <c r="C13" s="12">
        <f>'Chamber Data'!Y14</f>
        <v>-4.6586260706450444</v>
      </c>
      <c r="D13" s="12">
        <f>'Chamber Data'!Z14</f>
        <v>4.2820829859876515</v>
      </c>
      <c r="E13" s="12">
        <f>Chlorophyll!J13</f>
        <v>8.9452287136575492E-2</v>
      </c>
    </row>
    <row r="14" spans="1:5" s="12" customFormat="1" x14ac:dyDescent="0.25">
      <c r="A14" s="12">
        <f>'Chamber Data'!A15</f>
        <v>13</v>
      </c>
      <c r="B14" s="12" t="str">
        <f>'Chamber Data'!B15</f>
        <v>L</v>
      </c>
      <c r="C14" s="12">
        <f>'Chamber Data'!Y15</f>
        <v>-3.6717478445821459</v>
      </c>
      <c r="D14" s="12">
        <f>'Chamber Data'!Z15</f>
        <v>0.86490060339045938</v>
      </c>
      <c r="E14" s="12">
        <f>Chlorophyll!J14</f>
        <v>4.467362953276207E-2</v>
      </c>
    </row>
    <row r="15" spans="1:5" s="12" customFormat="1" x14ac:dyDescent="0.25">
      <c r="A15" s="12">
        <f>'Chamber Data'!A16</f>
        <v>14</v>
      </c>
      <c r="B15" s="12" t="str">
        <f>'Chamber Data'!B16</f>
        <v>L</v>
      </c>
      <c r="C15" s="12">
        <f>'Chamber Data'!Y16</f>
        <v>-12.645553758544857</v>
      </c>
      <c r="D15" s="12">
        <f>'Chamber Data'!Z16</f>
        <v>1.1802516841308908</v>
      </c>
      <c r="E15" s="12">
        <f>Chlorophyll!J15</f>
        <v>0.27755016336713023</v>
      </c>
    </row>
    <row r="16" spans="1:5" s="12" customFormat="1" x14ac:dyDescent="0.25">
      <c r="A16" s="12">
        <f>'Chamber Data'!A17</f>
        <v>15</v>
      </c>
      <c r="B16" s="12" t="str">
        <f>'Chamber Data'!B17</f>
        <v>L</v>
      </c>
      <c r="C16" s="12">
        <f>'Chamber Data'!Y17</f>
        <v>-5.3736032808451268</v>
      </c>
      <c r="D16" s="12">
        <f>'Chamber Data'!Z17</f>
        <v>5.1630447474663166</v>
      </c>
      <c r="E16" s="12">
        <f>Chlorophyll!J16</f>
        <v>0.1221250286882609</v>
      </c>
    </row>
    <row r="17" spans="1:5" s="12" customFormat="1" x14ac:dyDescent="0.25">
      <c r="A17" s="12">
        <f>'Chamber Data'!A18</f>
        <v>16</v>
      </c>
      <c r="B17" s="12" t="str">
        <f>'Chamber Data'!B18</f>
        <v>L</v>
      </c>
      <c r="C17" s="12">
        <f>'Chamber Data'!Y18</f>
        <v>-6.8312860500485444</v>
      </c>
      <c r="D17" s="12">
        <f>'Chamber Data'!Z18</f>
        <v>14.118492732952749</v>
      </c>
      <c r="E17" s="12">
        <f>Chlorophyll!J17</f>
        <v>0.21363565600864812</v>
      </c>
    </row>
    <row r="18" spans="1:5" s="12" customFormat="1" x14ac:dyDescent="0.25">
      <c r="A18" s="12">
        <f>'Chamber Data'!A19</f>
        <v>17</v>
      </c>
      <c r="B18" s="12" t="str">
        <f>'Chamber Data'!B19</f>
        <v>F</v>
      </c>
      <c r="C18" s="12">
        <f>'Chamber Data'!Y19</f>
        <v>-13.739768848361496</v>
      </c>
      <c r="D18" s="12">
        <f>'Chamber Data'!Z19</f>
        <v>18.173696615247152</v>
      </c>
      <c r="E18" s="12">
        <f>Chlorophyll!J18</f>
        <v>0.24397825484478597</v>
      </c>
    </row>
    <row r="19" spans="1:5" s="12" customFormat="1" x14ac:dyDescent="0.25">
      <c r="A19" s="12">
        <f>'Chamber Data'!A20</f>
        <v>18</v>
      </c>
      <c r="B19" s="12" t="str">
        <f>'Chamber Data'!B20</f>
        <v>F</v>
      </c>
      <c r="C19" s="12">
        <f>'Chamber Data'!Y20</f>
        <v>-12.000854261936112</v>
      </c>
      <c r="D19" s="12">
        <f>'Chamber Data'!Z20</f>
        <v>9.3229776910908626</v>
      </c>
      <c r="E19" s="12">
        <f>Chlorophyll!J19</f>
        <v>0.16712979041713638</v>
      </c>
    </row>
    <row r="20" spans="1:5" s="12" customFormat="1" x14ac:dyDescent="0.25">
      <c r="A20" s="12">
        <f>'Chamber Data'!A21</f>
        <v>19</v>
      </c>
      <c r="B20" s="12" t="str">
        <f>'Chamber Data'!B21</f>
        <v>F</v>
      </c>
      <c r="C20" s="12">
        <f>'Chamber Data'!Y21</f>
        <v>-13.316481555751267</v>
      </c>
      <c r="D20" s="12">
        <f>'Chamber Data'!Z21</f>
        <v>13.316481555751267</v>
      </c>
      <c r="E20" s="12">
        <f>Chlorophyll!J20</f>
        <v>0.25995990000409275</v>
      </c>
    </row>
    <row r="21" spans="1:5" s="12" customFormat="1" x14ac:dyDescent="0.25">
      <c r="A21" s="12">
        <f>'Chamber Data'!A22</f>
        <v>20</v>
      </c>
      <c r="B21" s="12" t="str">
        <f>'Chamber Data'!B22</f>
        <v>F</v>
      </c>
      <c r="C21" s="12">
        <f>'Chamber Data'!Y22</f>
        <v>-6.6106296929180974</v>
      </c>
      <c r="D21" s="12">
        <f>'Chamber Data'!Z22</f>
        <v>4.7834856919570372</v>
      </c>
      <c r="E21" s="12">
        <f>Chlorophyll!J21</f>
        <v>0.12746922089168641</v>
      </c>
    </row>
    <row r="22" spans="1:5" s="12" customFormat="1" x14ac:dyDescent="0.25">
      <c r="A22" s="12">
        <f>'Chamber Data'!A23</f>
        <v>21</v>
      </c>
      <c r="B22" s="12" t="str">
        <f>'Chamber Data'!B23</f>
        <v>F</v>
      </c>
      <c r="C22" s="12">
        <f>'Chamber Data'!Y23</f>
        <v>-8.362325414647362</v>
      </c>
      <c r="D22" s="12">
        <f>'Chamber Data'!Z23</f>
        <v>4.1228558949408196</v>
      </c>
      <c r="E22" s="12">
        <f>Chlorophyll!J22</f>
        <v>8.7461474372608747E-2</v>
      </c>
    </row>
    <row r="23" spans="1:5" s="12" customFormat="1" x14ac:dyDescent="0.25">
      <c r="A23" s="12">
        <f>'Chamber Data'!A24</f>
        <v>22</v>
      </c>
      <c r="B23" s="12" t="str">
        <f>'Chamber Data'!B24</f>
        <v>F</v>
      </c>
      <c r="C23" s="12">
        <f>'Chamber Data'!Y24</f>
        <v>-11.328944326549911</v>
      </c>
      <c r="D23" s="12">
        <f>'Chamber Data'!Z24</f>
        <v>5.8419912339189093</v>
      </c>
      <c r="E23" s="12">
        <f>Chlorophyll!J23</f>
        <v>6.3765241583569846E-2</v>
      </c>
    </row>
    <row r="24" spans="1:5" s="12" customFormat="1" x14ac:dyDescent="0.25">
      <c r="A24" s="12">
        <f>'Chamber Data'!A25</f>
        <v>23</v>
      </c>
      <c r="B24" s="12" t="str">
        <f>'Chamber Data'!B25</f>
        <v>F</v>
      </c>
      <c r="C24" s="12">
        <f>'Chamber Data'!Y25</f>
        <v>-7.9401668829198</v>
      </c>
      <c r="D24" s="12">
        <f>'Chamber Data'!Z25</f>
        <v>2.3201235496565884</v>
      </c>
      <c r="E24" s="12">
        <f>Chlorophyll!J24</f>
        <v>0.10173642395240994</v>
      </c>
    </row>
    <row r="25" spans="1:5" s="12" customFormat="1" x14ac:dyDescent="0.25">
      <c r="A25" s="12">
        <f>'Chamber Data'!A26</f>
        <v>24</v>
      </c>
      <c r="B25" s="12" t="str">
        <f>'Chamber Data'!B26</f>
        <v>F</v>
      </c>
      <c r="C25" s="12">
        <f>'Chamber Data'!Y26</f>
        <v>-4.5176839655277439</v>
      </c>
      <c r="D25" s="12">
        <f>'Chamber Data'!Z26</f>
        <v>0</v>
      </c>
      <c r="E25" s="12">
        <f>Chlorophyll!J25</f>
        <v>8.3898595388355104E-2</v>
      </c>
    </row>
    <row r="26" spans="1:5" s="12" customFormat="1" x14ac:dyDescent="0.25"/>
    <row r="27" spans="1:5" s="12" customFormat="1" x14ac:dyDescent="0.25"/>
    <row r="28" spans="1:5" s="12" customFormat="1" x14ac:dyDescent="0.25"/>
    <row r="29" spans="1:5" s="12" customFormat="1" x14ac:dyDescent="0.25"/>
    <row r="30" spans="1:5" s="12" customFormat="1" x14ac:dyDescent="0.25"/>
    <row r="31" spans="1:5" s="12" customFormat="1" x14ac:dyDescent="0.25"/>
    <row r="32" spans="1:5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</sheetData>
  <sortState ref="A2:K129">
    <sortCondition ref="B2:B12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1" sqref="F21"/>
    </sheetView>
  </sheetViews>
  <sheetFormatPr defaultRowHeight="15" x14ac:dyDescent="0.25"/>
  <sheetData>
    <row r="1" spans="1:5" x14ac:dyDescent="0.25">
      <c r="A1" t="s">
        <v>16</v>
      </c>
      <c r="B1" t="s">
        <v>1</v>
      </c>
      <c r="C1" t="s">
        <v>31</v>
      </c>
      <c r="D1" t="s">
        <v>32</v>
      </c>
      <c r="E1" t="s">
        <v>31</v>
      </c>
    </row>
    <row r="2" spans="1:5" x14ac:dyDescent="0.25">
      <c r="A2" t="s">
        <v>33</v>
      </c>
      <c r="B2">
        <f>AVERAGE('Chamber Data'!Y3:Y10)</f>
        <v>-3.0679754766757403</v>
      </c>
      <c r="C2">
        <f>STDEV('Chamber Data'!Y3:Y10)/SQRT(8)</f>
        <v>0.43359883127602666</v>
      </c>
      <c r="D2">
        <f>AVERAGE('Chamber Data'!Z3:Z10)</f>
        <v>6.6921563151235386</v>
      </c>
      <c r="E2">
        <f>STDEV('Chamber Data'!Z3:Z10)/SQRT(8)</f>
        <v>1.7610242592882568</v>
      </c>
    </row>
    <row r="3" spans="1:5" x14ac:dyDescent="0.25">
      <c r="A3" t="s">
        <v>35</v>
      </c>
      <c r="B3">
        <f>AVERAGE('Chamber Data'!Y11:Y18)</f>
        <v>-6.2535640510915265</v>
      </c>
      <c r="C3">
        <f>STDEV('Chamber Data'!Y11:Y18)/SQRT(8)</f>
        <v>1.0124286977950694</v>
      </c>
      <c r="D3">
        <f>AVERAGE('Chamber Data'!Z11:Z18)</f>
        <v>6.7605335341248924</v>
      </c>
      <c r="E3">
        <f>STDEV('Chamber Data'!Z11:Z18)/SQRT(8)</f>
        <v>1.8449167485974556</v>
      </c>
    </row>
    <row r="4" spans="1:5" x14ac:dyDescent="0.25">
      <c r="A4" t="s">
        <v>34</v>
      </c>
      <c r="B4">
        <f>AVERAGE('Chamber Data'!Y19:Y26)</f>
        <v>-9.7271068685764721</v>
      </c>
      <c r="C4">
        <f>STDEV('Chamber Data'!Y19:Y26)/SQRT(8)</f>
        <v>1.1849289999680506</v>
      </c>
      <c r="D4">
        <f>AVERAGE('Chamber Data'!Z19:Z26)</f>
        <v>7.2352015290703298</v>
      </c>
      <c r="E4">
        <f>STDEV('Chamber Data'!Z19:Z26)/SQRT(8)</f>
        <v>2.1344797975512875</v>
      </c>
    </row>
    <row r="5" spans="1:5" ht="18" x14ac:dyDescent="0.35">
      <c r="B5" t="s">
        <v>75</v>
      </c>
      <c r="C5" t="s">
        <v>31</v>
      </c>
    </row>
    <row r="6" spans="1:5" x14ac:dyDescent="0.25">
      <c r="A6" t="s">
        <v>33</v>
      </c>
      <c r="B6">
        <f>AVERAGE('Treatment Water Chem'!Q2:Q9)</f>
        <v>5.1963794530634457</v>
      </c>
      <c r="C6">
        <f>STDEV('Chamber Data'!Q2:Q9)/SQRT(8)</f>
        <v>1.4433756729740668E-2</v>
      </c>
    </row>
    <row r="7" spans="1:5" x14ac:dyDescent="0.25">
      <c r="A7" t="s">
        <v>35</v>
      </c>
      <c r="B7">
        <f>AVERAGE('Treatment Water Chem'!Q10:Q17)</f>
        <v>18.473034754530453</v>
      </c>
      <c r="C7">
        <f>STDEV('Chamber Data'!Q10:Q17)/SQRT(8)</f>
        <v>1.839545751382261E-2</v>
      </c>
    </row>
    <row r="8" spans="1:5" x14ac:dyDescent="0.25">
      <c r="A8" t="s">
        <v>34</v>
      </c>
      <c r="B8">
        <f>AVERAGE('Treatment Water Chem'!Q18:Q25)</f>
        <v>-196.83020544122604</v>
      </c>
      <c r="C8">
        <f>STDEV('Chamber Data'!Q18:Q25)/SQRT(8)</f>
        <v>2.6855266841773532E-2</v>
      </c>
    </row>
    <row r="9" spans="1:5" x14ac:dyDescent="0.25">
      <c r="B9" t="s">
        <v>76</v>
      </c>
      <c r="C9" t="s">
        <v>31</v>
      </c>
    </row>
    <row r="10" spans="1:5" x14ac:dyDescent="0.25">
      <c r="A10" t="s">
        <v>33</v>
      </c>
      <c r="B10">
        <f>AVERAGE('Treatment Water Chem'!J2:J9)</f>
        <v>-9.3520925652526721</v>
      </c>
      <c r="C10">
        <f>STDEV('Treatment Water Chem'!J2:J9)/SQRT(8)</f>
        <v>4.8377780129095935</v>
      </c>
    </row>
    <row r="11" spans="1:5" x14ac:dyDescent="0.25">
      <c r="A11" t="s">
        <v>35</v>
      </c>
      <c r="B11">
        <f>AVERAGE('Treatment Water Chem'!J10:J17)</f>
        <v>8.7622562040751895</v>
      </c>
      <c r="C11">
        <f>STDEV('Treatment Water Chem'!J10:J17)/SQRT(8)</f>
        <v>5.2380677806012486</v>
      </c>
    </row>
    <row r="12" spans="1:5" x14ac:dyDescent="0.25">
      <c r="A12" t="s">
        <v>34</v>
      </c>
      <c r="B12">
        <f>AVERAGE('Treatment Water Chem'!J18:J25)</f>
        <v>-256.04115167958946</v>
      </c>
      <c r="C12">
        <f>STDEV('Treatment Water Chem'!J18:J25)/SQRT(8)</f>
        <v>26.054389154514372</v>
      </c>
    </row>
    <row r="13" spans="1:5" x14ac:dyDescent="0.25">
      <c r="B13" t="s">
        <v>77</v>
      </c>
      <c r="C13" t="s">
        <v>31</v>
      </c>
    </row>
    <row r="14" spans="1:5" x14ac:dyDescent="0.25">
      <c r="A14" t="s">
        <v>33</v>
      </c>
      <c r="B14">
        <f>AVERAGE('Treatment Water Chem'!X2:X9)</f>
        <v>-43.029224999999997</v>
      </c>
      <c r="C14">
        <f>STDEV('Treatment Water Chem'!X2:X9)/SQRT(8)</f>
        <v>44.916205236774545</v>
      </c>
    </row>
    <row r="15" spans="1:5" x14ac:dyDescent="0.25">
      <c r="A15" t="s">
        <v>35</v>
      </c>
      <c r="B15">
        <f>AVERAGE('Treatment Water Chem'!X10:X17)</f>
        <v>3.7062749999999993</v>
      </c>
      <c r="C15">
        <f>STDEV('Treatment Water Chem'!X10:X17)/SQRT(8)</f>
        <v>1.8106154450657699</v>
      </c>
    </row>
    <row r="16" spans="1:5" x14ac:dyDescent="0.25">
      <c r="A16" t="s">
        <v>34</v>
      </c>
      <c r="B16">
        <f>AVERAGE('Treatment Water Chem'!X18:X25)</f>
        <v>-4.4305250000000012</v>
      </c>
      <c r="C16">
        <f>STDEV('Treatment Water Chem'!X18:X25)/SQRT(8)</f>
        <v>5.9627572375702531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Chlorophyll</vt:lpstr>
      <vt:lpstr>Chamber Data</vt:lpstr>
      <vt:lpstr>Treatment Water Chem</vt:lpstr>
      <vt:lpstr>r.summary</vt:lpstr>
      <vt:lpstr>Sigmaplot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2016-05-16T23:43:04Z</dcterms:modified>
</cp:coreProperties>
</file>