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Arango Lab\For SFS 2016\"/>
    </mc:Choice>
  </mc:AlternateContent>
  <bookViews>
    <workbookView xWindow="0" yWindow="0" windowWidth="19200" windowHeight="11595" tabRatio="989" firstSheet="2" activeTab="2"/>
  </bookViews>
  <sheets>
    <sheet name="DOC_&amp;_TDN_Calculations" sheetId="1" r:id="rId1"/>
    <sheet name="Leachate_NDS_2015" sheetId="2" r:id="rId2"/>
    <sheet name="Calculations_for_NDS" sheetId="3" r:id="rId3"/>
    <sheet name="Sheet1" sheetId="4" r:id="rId4"/>
    <sheet name="NDS Data Analysis" sheetId="5" r:id="rId5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3" l="1"/>
  <c r="AB4" i="5" l="1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82" i="5"/>
  <c r="Z80" i="5"/>
  <c r="Z81" i="5"/>
  <c r="Z79" i="5"/>
  <c r="Z78" i="5"/>
  <c r="Z77" i="5"/>
  <c r="Z62" i="5"/>
  <c r="Z61" i="5"/>
  <c r="Z60" i="5"/>
  <c r="Z58" i="5"/>
  <c r="Z59" i="5"/>
  <c r="Z57" i="5"/>
  <c r="Z56" i="5"/>
  <c r="Z55" i="5"/>
  <c r="Z54" i="5"/>
  <c r="Z53" i="5"/>
  <c r="Z51" i="5"/>
  <c r="Z52" i="5"/>
  <c r="Z50" i="5"/>
  <c r="Z49" i="5"/>
  <c r="Z46" i="5"/>
  <c r="Z47" i="5"/>
  <c r="Z48" i="5"/>
  <c r="Z45" i="5"/>
  <c r="Z42" i="5"/>
  <c r="Z43" i="5"/>
  <c r="Z44" i="5"/>
  <c r="Z41" i="5"/>
  <c r="Z40" i="5"/>
  <c r="Z38" i="5"/>
  <c r="Z39" i="5"/>
  <c r="Z37" i="5"/>
  <c r="Z35" i="5"/>
  <c r="Z36" i="5"/>
  <c r="Z34" i="5"/>
  <c r="Z32" i="5"/>
  <c r="Z33" i="5"/>
  <c r="Z31" i="5"/>
  <c r="Z23" i="5"/>
  <c r="Z124" i="5"/>
  <c r="Z123" i="5"/>
  <c r="Z122" i="5"/>
  <c r="Z121" i="5"/>
  <c r="Z120" i="5"/>
  <c r="Z118" i="5"/>
  <c r="Z119" i="5"/>
  <c r="Z117" i="5"/>
  <c r="Z114" i="5"/>
  <c r="Z115" i="5"/>
  <c r="Z116" i="5"/>
  <c r="Z113" i="5"/>
  <c r="Z111" i="5"/>
  <c r="Z112" i="5"/>
  <c r="Z110" i="5"/>
  <c r="Z108" i="5"/>
  <c r="Z109" i="5"/>
  <c r="Z107" i="5"/>
  <c r="Z106" i="5"/>
  <c r="Z105" i="5"/>
  <c r="Z103" i="5"/>
  <c r="Z104" i="5"/>
  <c r="Z102" i="5"/>
  <c r="Z101" i="5"/>
  <c r="Z99" i="5"/>
  <c r="Z100" i="5"/>
  <c r="Z98" i="5"/>
  <c r="Z97" i="5"/>
  <c r="Z96" i="5"/>
  <c r="Z95" i="5"/>
  <c r="Z94" i="5"/>
  <c r="Z93" i="5"/>
  <c r="Z92" i="5"/>
  <c r="Z90" i="5"/>
  <c r="Z91" i="5"/>
  <c r="Z89" i="5"/>
  <c r="Z88" i="5"/>
  <c r="Z87" i="5"/>
  <c r="Z83" i="5"/>
  <c r="Z84" i="5"/>
  <c r="Z85" i="5"/>
  <c r="Z86" i="5"/>
  <c r="Z125" i="5"/>
  <c r="Z126" i="5"/>
  <c r="Z127" i="5"/>
  <c r="Z128" i="5"/>
  <c r="Z29" i="5"/>
  <c r="Z30" i="5"/>
  <c r="Z28" i="5"/>
  <c r="Z25" i="5"/>
  <c r="Z22" i="5"/>
  <c r="Z21" i="5"/>
  <c r="Z26" i="5"/>
  <c r="Z27" i="5"/>
  <c r="Z24" i="5"/>
  <c r="Z20" i="5"/>
  <c r="Z18" i="5"/>
  <c r="Z19" i="5"/>
  <c r="Z17" i="5"/>
  <c r="Z16" i="5"/>
  <c r="Z15" i="5"/>
  <c r="Z11" i="5"/>
  <c r="Z12" i="5"/>
  <c r="Z13" i="5"/>
  <c r="Z14" i="5"/>
  <c r="Z10" i="5"/>
  <c r="Z8" i="5"/>
  <c r="Z9" i="5"/>
  <c r="Z7" i="5"/>
  <c r="Z6" i="5"/>
  <c r="Z5" i="5"/>
  <c r="Z4" i="5"/>
  <c r="Z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N27" i="5" l="1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27" i="5"/>
  <c r="M28" i="5"/>
  <c r="M29" i="5"/>
  <c r="M30" i="5"/>
  <c r="M31" i="5"/>
  <c r="M26" i="5"/>
  <c r="K59" i="5"/>
  <c r="K47" i="5"/>
  <c r="K38" i="5"/>
  <c r="K26" i="5"/>
  <c r="K25" i="5"/>
  <c r="K27" i="5"/>
  <c r="K28" i="5"/>
  <c r="K29" i="5"/>
  <c r="K30" i="5"/>
  <c r="K31" i="5"/>
  <c r="K32" i="5"/>
  <c r="K33" i="5"/>
  <c r="K34" i="5"/>
  <c r="K35" i="5"/>
  <c r="K36" i="5"/>
  <c r="K37" i="5"/>
  <c r="K39" i="5"/>
  <c r="K40" i="5"/>
  <c r="K41" i="5"/>
  <c r="K42" i="5"/>
  <c r="K43" i="5"/>
  <c r="K44" i="5"/>
  <c r="K45" i="5"/>
  <c r="K46" i="5"/>
  <c r="K48" i="5"/>
  <c r="K49" i="5"/>
  <c r="K50" i="5"/>
  <c r="K51" i="5"/>
  <c r="K52" i="5"/>
  <c r="K53" i="5"/>
  <c r="K54" i="5"/>
  <c r="K55" i="5"/>
  <c r="K56" i="5"/>
  <c r="K57" i="5"/>
  <c r="K58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" i="5"/>
  <c r="K4" i="5"/>
  <c r="K3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K5" i="5"/>
  <c r="K6" i="5"/>
  <c r="K7" i="5"/>
  <c r="K8" i="5"/>
  <c r="K9" i="5"/>
  <c r="K10" i="5"/>
  <c r="K11" i="5"/>
  <c r="K13" i="5"/>
  <c r="K14" i="5"/>
  <c r="K15" i="5"/>
  <c r="K16" i="5"/>
  <c r="K17" i="5"/>
  <c r="K18" i="5"/>
  <c r="K19" i="5"/>
  <c r="K20" i="5"/>
  <c r="K21" i="5"/>
  <c r="K22" i="5"/>
  <c r="K23" i="5"/>
  <c r="K24" i="5"/>
  <c r="L26" i="5" l="1"/>
  <c r="M25" i="5"/>
  <c r="N25" i="5" s="1"/>
  <c r="L25" i="5"/>
  <c r="M24" i="5"/>
  <c r="L24" i="5"/>
  <c r="M23" i="5"/>
  <c r="N23" i="5" s="1"/>
  <c r="L23" i="5"/>
  <c r="M22" i="5"/>
  <c r="L22" i="5"/>
  <c r="M21" i="5"/>
  <c r="N21" i="5" s="1"/>
  <c r="L21" i="5"/>
  <c r="M20" i="5"/>
  <c r="L20" i="5"/>
  <c r="M19" i="5"/>
  <c r="N19" i="5" s="1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N9" i="5" s="1"/>
  <c r="L9" i="5"/>
  <c r="M8" i="5"/>
  <c r="L8" i="5"/>
  <c r="M7" i="5"/>
  <c r="N7" i="5" s="1"/>
  <c r="L7" i="5"/>
  <c r="M6" i="5"/>
  <c r="L6" i="5"/>
  <c r="M5" i="5"/>
  <c r="L5" i="5"/>
  <c r="M4" i="5"/>
  <c r="L4" i="5"/>
  <c r="AA3" i="5"/>
  <c r="AB3" i="5" s="1"/>
  <c r="Y3" i="5"/>
  <c r="M3" i="5"/>
  <c r="L3" i="5"/>
  <c r="N14" i="5" l="1"/>
  <c r="N13" i="5"/>
  <c r="N8" i="5"/>
  <c r="N5" i="5"/>
  <c r="N26" i="5"/>
  <c r="N24" i="5"/>
  <c r="N22" i="5"/>
  <c r="N20" i="5"/>
  <c r="N18" i="5"/>
  <c r="N17" i="5"/>
  <c r="N16" i="5"/>
  <c r="N15" i="5"/>
  <c r="N12" i="5"/>
  <c r="N11" i="5"/>
  <c r="N10" i="5"/>
  <c r="N6" i="5"/>
  <c r="N4" i="5"/>
  <c r="N3" i="5"/>
  <c r="E20" i="3"/>
  <c r="E18" i="3"/>
  <c r="C11" i="3"/>
  <c r="C13" i="3"/>
  <c r="C12" i="3"/>
  <c r="C9" i="3"/>
  <c r="C8" i="3"/>
  <c r="C7" i="3"/>
  <c r="C6" i="3"/>
  <c r="C3" i="3"/>
  <c r="C4" i="3"/>
  <c r="C5" i="3"/>
  <c r="C2" i="3"/>
  <c r="E4" i="3"/>
  <c r="E3" i="3"/>
  <c r="I51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1" i="1"/>
  <c r="K42" i="1"/>
  <c r="K43" i="1"/>
  <c r="K44" i="1"/>
  <c r="K45" i="1"/>
  <c r="K46" i="1"/>
  <c r="K47" i="1"/>
  <c r="K48" i="1"/>
  <c r="K49" i="1"/>
  <c r="K50" i="1"/>
  <c r="K15" i="1"/>
  <c r="K51" i="1"/>
  <c r="K52" i="1"/>
  <c r="K53" i="1"/>
  <c r="K5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1" i="1"/>
  <c r="J42" i="1"/>
  <c r="J43" i="1"/>
  <c r="J44" i="1"/>
  <c r="J45" i="1"/>
  <c r="J46" i="1"/>
  <c r="J47" i="1"/>
  <c r="J48" i="1"/>
  <c r="J49" i="1"/>
  <c r="J50" i="1"/>
  <c r="J15" i="1"/>
  <c r="J51" i="1"/>
  <c r="J52" i="1"/>
  <c r="J53" i="1"/>
  <c r="J54" i="1"/>
  <c r="N4" i="1"/>
  <c r="N5" i="1"/>
  <c r="N6" i="1"/>
  <c r="N7" i="1"/>
  <c r="N8" i="1"/>
  <c r="N9" i="1"/>
  <c r="N10" i="1"/>
  <c r="N11" i="1"/>
  <c r="N13" i="1"/>
  <c r="N15" i="1"/>
  <c r="N16" i="1"/>
  <c r="N17" i="1"/>
  <c r="N18" i="1"/>
  <c r="N19" i="1"/>
  <c r="N20" i="1"/>
  <c r="N21" i="1"/>
  <c r="N22" i="1"/>
  <c r="N23" i="1"/>
  <c r="N24" i="1"/>
  <c r="P24" i="1"/>
  <c r="N25" i="1"/>
  <c r="N26" i="1"/>
  <c r="N27" i="1"/>
  <c r="N28" i="1"/>
  <c r="P28" i="1"/>
  <c r="N29" i="1"/>
  <c r="N30" i="1"/>
  <c r="N31" i="1"/>
  <c r="N32" i="1"/>
  <c r="P32" i="1"/>
  <c r="N33" i="1"/>
  <c r="N34" i="1"/>
  <c r="N35" i="1"/>
  <c r="N36" i="1"/>
  <c r="P36" i="1"/>
  <c r="N37" i="1"/>
  <c r="N38" i="1"/>
  <c r="N39" i="1"/>
  <c r="N42" i="1"/>
  <c r="P42" i="1"/>
  <c r="N43" i="1"/>
  <c r="N44" i="1"/>
  <c r="N45" i="1"/>
  <c r="N46" i="1"/>
  <c r="P46" i="1"/>
  <c r="N47" i="1"/>
  <c r="N48" i="1"/>
  <c r="P48" i="1"/>
  <c r="N49" i="1"/>
  <c r="N50" i="1"/>
  <c r="P50" i="1"/>
  <c r="N3" i="1"/>
  <c r="P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48" i="1"/>
  <c r="E49" i="1"/>
  <c r="E50" i="1"/>
  <c r="E51" i="1"/>
  <c r="O50" i="1"/>
  <c r="Q50" i="1"/>
  <c r="L50" i="1"/>
  <c r="O49" i="1"/>
  <c r="Q49" i="1"/>
  <c r="P49" i="1"/>
  <c r="L49" i="1"/>
  <c r="O48" i="1"/>
  <c r="Q48" i="1"/>
  <c r="L48" i="1"/>
  <c r="O47" i="1"/>
  <c r="Q47" i="1"/>
  <c r="P47" i="1"/>
  <c r="L47" i="1"/>
  <c r="O46" i="1"/>
  <c r="Q46" i="1"/>
  <c r="L46" i="1"/>
  <c r="O45" i="1"/>
  <c r="Q45" i="1"/>
  <c r="P45" i="1"/>
  <c r="L45" i="1"/>
  <c r="O44" i="1"/>
  <c r="Q44" i="1"/>
  <c r="P44" i="1"/>
  <c r="L44" i="1"/>
  <c r="O43" i="1"/>
  <c r="Q43" i="1"/>
  <c r="P43" i="1"/>
  <c r="L43" i="1"/>
  <c r="O42" i="1"/>
  <c r="Q42" i="1"/>
  <c r="L42" i="1"/>
  <c r="F41" i="1"/>
  <c r="O41" i="1"/>
  <c r="Q41" i="1"/>
  <c r="N41" i="1"/>
  <c r="P41" i="1"/>
  <c r="L41" i="1"/>
  <c r="O40" i="1"/>
  <c r="Q40" i="1"/>
  <c r="N40" i="1"/>
  <c r="P40" i="1"/>
  <c r="L40" i="1"/>
  <c r="E40" i="1"/>
  <c r="O39" i="1"/>
  <c r="Q39" i="1"/>
  <c r="P39" i="1"/>
  <c r="L39" i="1"/>
  <c r="O38" i="1"/>
  <c r="Q38" i="1"/>
  <c r="P38" i="1"/>
  <c r="L38" i="1"/>
  <c r="O37" i="1"/>
  <c r="Q37" i="1"/>
  <c r="P37" i="1"/>
  <c r="L37" i="1"/>
  <c r="O36" i="1"/>
  <c r="Q36" i="1"/>
  <c r="L36" i="1"/>
  <c r="O35" i="1"/>
  <c r="Q35" i="1"/>
  <c r="P35" i="1"/>
  <c r="L35" i="1"/>
  <c r="O34" i="1"/>
  <c r="Q34" i="1"/>
  <c r="P34" i="1"/>
  <c r="L34" i="1"/>
  <c r="O33" i="1"/>
  <c r="Q33" i="1"/>
  <c r="P33" i="1"/>
  <c r="L33" i="1"/>
  <c r="O32" i="1"/>
  <c r="Q32" i="1"/>
  <c r="L32" i="1"/>
  <c r="O31" i="1"/>
  <c r="Q31" i="1"/>
  <c r="P31" i="1"/>
  <c r="L31" i="1"/>
  <c r="O30" i="1"/>
  <c r="Q30" i="1"/>
  <c r="P30" i="1"/>
  <c r="L30" i="1"/>
  <c r="O29" i="1"/>
  <c r="Q29" i="1"/>
  <c r="P29" i="1"/>
  <c r="L29" i="1"/>
  <c r="O28" i="1"/>
  <c r="Q28" i="1"/>
  <c r="L28" i="1"/>
  <c r="O27" i="1"/>
  <c r="Q27" i="1"/>
  <c r="P27" i="1"/>
  <c r="L27" i="1"/>
  <c r="O26" i="1"/>
  <c r="Q26" i="1"/>
  <c r="P26" i="1"/>
  <c r="L26" i="1"/>
  <c r="O25" i="1"/>
  <c r="Q25" i="1"/>
  <c r="P25" i="1"/>
  <c r="L25" i="1"/>
  <c r="O24" i="1"/>
  <c r="Q24" i="1"/>
  <c r="L24" i="1"/>
  <c r="O3" i="1"/>
  <c r="O4" i="1"/>
  <c r="Q4" i="1"/>
  <c r="O5" i="1"/>
  <c r="O6" i="1"/>
  <c r="O7" i="1"/>
  <c r="O8" i="1"/>
  <c r="Q8" i="1"/>
  <c r="O9" i="1"/>
  <c r="O10" i="1"/>
  <c r="O11" i="1"/>
  <c r="F12" i="1"/>
  <c r="O12" i="1"/>
  <c r="Q12" i="1"/>
  <c r="O13" i="1"/>
  <c r="F14" i="1"/>
  <c r="N14" i="1"/>
  <c r="P14" i="1"/>
  <c r="O14" i="1"/>
  <c r="Q14" i="1"/>
  <c r="O15" i="1"/>
  <c r="O16" i="1"/>
  <c r="O17" i="1"/>
  <c r="O18" i="1"/>
  <c r="Q18" i="1"/>
  <c r="O19" i="1"/>
  <c r="Q19" i="1"/>
  <c r="O20" i="1"/>
  <c r="O21" i="1"/>
  <c r="O22" i="1"/>
  <c r="Q22" i="1"/>
  <c r="O23" i="1"/>
  <c r="Q23" i="1"/>
  <c r="P23" i="1"/>
  <c r="L23" i="1"/>
  <c r="P22" i="1"/>
  <c r="L22" i="1"/>
  <c r="Q21" i="1"/>
  <c r="P21" i="1"/>
  <c r="L21" i="1"/>
  <c r="Q20" i="1"/>
  <c r="P20" i="1"/>
  <c r="L20" i="1"/>
  <c r="P19" i="1"/>
  <c r="L19" i="1"/>
  <c r="P18" i="1"/>
  <c r="L18" i="1"/>
  <c r="Q17" i="1"/>
  <c r="P17" i="1"/>
  <c r="L17" i="1"/>
  <c r="Q16" i="1"/>
  <c r="P16" i="1"/>
  <c r="L16" i="1"/>
  <c r="Q15" i="1"/>
  <c r="P15" i="1"/>
  <c r="L15" i="1"/>
  <c r="L14" i="1"/>
  <c r="Q13" i="1"/>
  <c r="P13" i="1"/>
  <c r="L13" i="1"/>
  <c r="L12" i="1"/>
  <c r="Q11" i="1"/>
  <c r="P11" i="1"/>
  <c r="L11" i="1"/>
  <c r="Q10" i="1"/>
  <c r="P10" i="1"/>
  <c r="L10" i="1"/>
  <c r="Q9" i="1"/>
  <c r="P9" i="1"/>
  <c r="L9" i="1"/>
  <c r="P8" i="1"/>
  <c r="L8" i="1"/>
  <c r="Q7" i="1"/>
  <c r="P7" i="1"/>
  <c r="L7" i="1"/>
  <c r="Q6" i="1"/>
  <c r="P6" i="1"/>
  <c r="L6" i="1"/>
  <c r="Q5" i="1"/>
  <c r="P5" i="1"/>
  <c r="L5" i="1"/>
  <c r="P4" i="1"/>
  <c r="L4" i="1"/>
  <c r="Q3" i="1"/>
  <c r="L3" i="1"/>
  <c r="U2" i="1"/>
  <c r="N12" i="1"/>
  <c r="P12" i="1"/>
</calcChain>
</file>

<file path=xl/comments1.xml><?xml version="1.0" encoding="utf-8"?>
<comments xmlns="http://schemas.openxmlformats.org/spreadsheetml/2006/main">
  <authors>
    <author/>
  </authors>
  <commentList>
    <comment ref="C40" authorId="0" shapeId="0">
      <text>
        <r>
          <rPr>
            <sz val="11"/>
            <color rgb="FF000000"/>
            <rFont val="Calibri"/>
            <family val="2"/>
            <charset val="1"/>
          </rPr>
          <t>Um, what happened here?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2" authorId="0" shapeId="0">
      <text>
        <r>
          <rPr>
            <b/>
            <sz val="9"/>
            <color rgb="FF000000"/>
            <rFont val="Tahoma"/>
            <family val="2"/>
          </rPr>
          <t xml:space="preserve">Natalie Levesque: </t>
        </r>
        <r>
          <rPr>
            <sz val="9"/>
            <color rgb="FF000000"/>
            <rFont val="Tahoma"/>
            <family val="2"/>
          </rPr>
          <t xml:space="preserve">Is there anything I can put in this column?
</t>
        </r>
      </text>
    </comment>
    <comment ref="AC2" authorId="0" shapeId="0">
      <text>
        <r>
          <rPr>
            <b/>
            <sz val="9"/>
            <color rgb="FF000000"/>
            <rFont val="Tahoma"/>
            <family val="2"/>
          </rPr>
          <t>Natalie Levesque:</t>
        </r>
        <r>
          <rPr>
            <sz val="9"/>
            <color rgb="FF000000"/>
            <rFont val="Tahoma"/>
            <family val="2"/>
          </rPr>
          <t xml:space="preserve"> See corresponding column
</t>
        </r>
      </text>
    </comment>
  </commentList>
</comments>
</file>

<file path=xl/sharedStrings.xml><?xml version="1.0" encoding="utf-8"?>
<sst xmlns="http://schemas.openxmlformats.org/spreadsheetml/2006/main" count="1203" uniqueCount="227">
  <si>
    <t>Sample Information</t>
  </si>
  <si>
    <t>DOC (mg/L)</t>
  </si>
  <si>
    <t>TDN (mg/L)</t>
  </si>
  <si>
    <t>Ratio DOC:TDN</t>
  </si>
  <si>
    <t>water added (mL)</t>
  </si>
  <si>
    <t>Mass dry frass (g/0.25m2)</t>
  </si>
  <si>
    <t>Litter -dry (g/0.25m2)</t>
  </si>
  <si>
    <t>Actual vol (mL)</t>
  </si>
  <si>
    <t>Actual mass C (mg)</t>
  </si>
  <si>
    <t>Actual mass N (mg)</t>
  </si>
  <si>
    <t>Ratio frass:litter</t>
  </si>
  <si>
    <t>Total Carbon mg</t>
  </si>
  <si>
    <t>Total Nitrogen mg</t>
  </si>
  <si>
    <t>g C/ g frass</t>
  </si>
  <si>
    <t>g N / g frass</t>
  </si>
  <si>
    <t>g/mol C</t>
  </si>
  <si>
    <t>Molarity</t>
  </si>
  <si>
    <t>g/L C</t>
  </si>
  <si>
    <t>g/mol N</t>
  </si>
  <si>
    <t>Sample Date</t>
  </si>
  <si>
    <t>Sampler ID</t>
  </si>
  <si>
    <t>no sample</t>
  </si>
  <si>
    <t>Average DOC:TDN=</t>
  </si>
  <si>
    <t>avg concentration mg/L)</t>
  </si>
  <si>
    <t>avg concentration g/L</t>
  </si>
  <si>
    <t>molar concentration</t>
  </si>
  <si>
    <t>NDS ID</t>
  </si>
  <si>
    <t>Nutrient</t>
  </si>
  <si>
    <t>top</t>
  </si>
  <si>
    <t>A1</t>
  </si>
  <si>
    <t>P+G</t>
  </si>
  <si>
    <t>sponge</t>
  </si>
  <si>
    <t>A2</t>
  </si>
  <si>
    <t>A3</t>
  </si>
  <si>
    <t>G</t>
  </si>
  <si>
    <t>A4</t>
  </si>
  <si>
    <t>N+P+G</t>
  </si>
  <si>
    <t>A5</t>
  </si>
  <si>
    <t>N+P</t>
  </si>
  <si>
    <t>glass</t>
  </si>
  <si>
    <t>A6</t>
  </si>
  <si>
    <t>A7</t>
  </si>
  <si>
    <t>P</t>
  </si>
  <si>
    <t>A8</t>
  </si>
  <si>
    <t>Leach+N+P</t>
  </si>
  <si>
    <t>B1</t>
  </si>
  <si>
    <t>control</t>
  </si>
  <si>
    <t>B2</t>
  </si>
  <si>
    <t>N+G</t>
  </si>
  <si>
    <t>B3</t>
  </si>
  <si>
    <t>B4</t>
  </si>
  <si>
    <t>B5</t>
  </si>
  <si>
    <t>B6</t>
  </si>
  <si>
    <t>leachate+P</t>
  </si>
  <si>
    <t>B7</t>
  </si>
  <si>
    <t>B8</t>
  </si>
  <si>
    <t>C1</t>
  </si>
  <si>
    <t>C2</t>
  </si>
  <si>
    <t>C3</t>
  </si>
  <si>
    <t>C4</t>
  </si>
  <si>
    <t>leachate</t>
  </si>
  <si>
    <t>C5</t>
  </si>
  <si>
    <t>C6</t>
  </si>
  <si>
    <t>C7</t>
  </si>
  <si>
    <t>C8</t>
  </si>
  <si>
    <t>D1</t>
  </si>
  <si>
    <t>leachate+N</t>
  </si>
  <si>
    <t>D2</t>
  </si>
  <si>
    <t>D3</t>
  </si>
  <si>
    <t>N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</si>
  <si>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</si>
  <si>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</si>
  <si>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</si>
  <si>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</si>
  <si>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</si>
  <si>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</si>
  <si>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</si>
  <si>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</si>
  <si>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</si>
  <si>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</si>
  <si>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</si>
  <si>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</si>
  <si>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</si>
  <si>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</si>
  <si>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</si>
  <si>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</si>
  <si>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</si>
  <si>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</si>
  <si>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</si>
  <si>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</si>
  <si>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</si>
  <si>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</si>
  <si>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</si>
  <si>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</si>
  <si>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</si>
  <si>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</si>
  <si>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</si>
  <si>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 xml:space="preserve">glass </t>
  </si>
  <si>
    <t>G7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</si>
  <si>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</si>
  <si>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</si>
  <si>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</si>
  <si>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</si>
  <si>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</si>
  <si>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</si>
  <si>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</si>
  <si>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</si>
  <si>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</si>
  <si>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I1</t>
  </si>
  <si>
    <t>I2</t>
  </si>
  <si>
    <t>I3</t>
  </si>
  <si>
    <t>I4</t>
  </si>
  <si>
    <t>I5</t>
  </si>
  <si>
    <t>I6</t>
  </si>
  <si>
    <t>I7</t>
  </si>
  <si>
    <t>I8</t>
  </si>
  <si>
    <t>J1</t>
  </si>
  <si>
    <t>J2</t>
  </si>
  <si>
    <t>J3</t>
  </si>
  <si>
    <t>J4</t>
  </si>
  <si>
    <t>J5</t>
  </si>
  <si>
    <t>J6</t>
  </si>
  <si>
    <t>J7</t>
  </si>
  <si>
    <t>J8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</si>
  <si>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</si>
  <si>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</si>
  <si>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</si>
  <si>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</si>
  <si>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</si>
  <si>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</si>
  <si>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</si>
  <si>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</si>
  <si>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</si>
  <si>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</si>
  <si>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</si>
  <si>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</si>
  <si>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</si>
  <si>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</si>
  <si>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</si>
  <si>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L8</t>
  </si>
  <si>
    <t>M1</t>
  </si>
  <si>
    <t>M2</t>
  </si>
  <si>
    <t>M3</t>
  </si>
  <si>
    <t>M4</t>
  </si>
  <si>
    <t>M5</t>
  </si>
  <si>
    <t>M6</t>
  </si>
  <si>
    <t>M7</t>
  </si>
  <si>
    <t>M8</t>
  </si>
  <si>
    <t>N1</t>
  </si>
  <si>
    <t>N2</t>
  </si>
  <si>
    <t>N3</t>
  </si>
  <si>
    <t>N4</t>
  </si>
  <si>
    <t>N5</t>
  </si>
  <si>
    <t>N6</t>
  </si>
  <si>
    <t>N7</t>
  </si>
  <si>
    <t>N8</t>
  </si>
  <si>
    <t>O1</t>
  </si>
  <si>
    <t>O2</t>
  </si>
  <si>
    <t>O3</t>
  </si>
  <si>
    <t>O4</t>
  </si>
  <si>
    <t>O5</t>
  </si>
  <si>
    <t>O6</t>
  </si>
  <si>
    <t>O7</t>
  </si>
  <si>
    <t>O8</t>
  </si>
  <si>
    <t># cups</t>
  </si>
  <si>
    <t>mass agar</t>
  </si>
  <si>
    <t>mL water</t>
  </si>
  <si>
    <t>mass nutrient (g)</t>
  </si>
  <si>
    <t>nutrient concentration</t>
  </si>
  <si>
    <t>NH4+</t>
  </si>
  <si>
    <t>PO4</t>
  </si>
  <si>
    <t>glucose</t>
  </si>
  <si>
    <t>NH4+ PO4</t>
  </si>
  <si>
    <t>see above</t>
  </si>
  <si>
    <t>0.5 each</t>
  </si>
  <si>
    <t>NH4+ Glucose</t>
  </si>
  <si>
    <t>0.5 N, 0.0428 G</t>
  </si>
  <si>
    <t>PO4 Glucose</t>
  </si>
  <si>
    <t>0.5 P, 0.0428 G</t>
  </si>
  <si>
    <t>N,P,G</t>
  </si>
  <si>
    <t>0.5 N+P, 0.0428 G</t>
  </si>
  <si>
    <t>Leachate (0.5 M C)</t>
  </si>
  <si>
    <t>water is the nutrient</t>
  </si>
  <si>
    <t>0.0428 M C</t>
  </si>
  <si>
    <t>L+NH4</t>
  </si>
  <si>
    <t>L+PO4</t>
  </si>
  <si>
    <t>L+NH4+PO4</t>
  </si>
  <si>
    <t>total leachate vol</t>
  </si>
  <si>
    <t>mol C/mol Glucose</t>
  </si>
  <si>
    <t>g/mol Glucose</t>
  </si>
  <si>
    <t>mol/L glucose solution</t>
  </si>
  <si>
    <t>g/400 mL</t>
  </si>
  <si>
    <t>g glucose/400mL</t>
  </si>
  <si>
    <t>NPP</t>
  </si>
  <si>
    <t>CR</t>
  </si>
  <si>
    <t xml:space="preserve">Nutrient </t>
  </si>
  <si>
    <t>Top</t>
  </si>
  <si>
    <t>Light Treatment</t>
  </si>
  <si>
    <t>start time</t>
  </si>
  <si>
    <t>Start Temp (°C)</t>
  </si>
  <si>
    <t>start O2 (mg/L)</t>
  </si>
  <si>
    <t>end time</t>
  </si>
  <si>
    <t>End Temp (°C)</t>
  </si>
  <si>
    <t>end O2 (mg/L)</t>
  </si>
  <si>
    <t>Total Time (h)</t>
  </si>
  <si>
    <t>Change in O2 (ug)</t>
  </si>
  <si>
    <t>Change in O2 (ug/h)</t>
  </si>
  <si>
    <t>Blank Corrected Change in O2 (ug/h)</t>
  </si>
  <si>
    <t>diam (cm)</t>
  </si>
  <si>
    <t>area (cm2)</t>
  </si>
  <si>
    <r>
      <t>NPP (</t>
    </r>
    <r>
      <rPr>
        <b/>
        <sz val="11"/>
        <color rgb="FF000000"/>
        <rFont val="Symbol"/>
        <family val="1"/>
        <charset val="2"/>
      </rPr>
      <t>m</t>
    </r>
    <r>
      <rPr>
        <b/>
        <sz val="11"/>
        <color rgb="FF000000"/>
        <rFont val="Calibri"/>
        <family val="2"/>
      </rPr>
      <t>g O2 cm-2 h-1)</t>
    </r>
  </si>
  <si>
    <r>
      <t>CR (</t>
    </r>
    <r>
      <rPr>
        <b/>
        <sz val="11"/>
        <color rgb="FF000000"/>
        <rFont val="Symbol"/>
        <family val="1"/>
        <charset val="2"/>
      </rPr>
      <t>m</t>
    </r>
    <r>
      <rPr>
        <b/>
        <sz val="11"/>
        <color rgb="FF000000"/>
        <rFont val="Calibri"/>
        <family val="2"/>
      </rPr>
      <t>g O2 cm-2 h-1)</t>
    </r>
  </si>
  <si>
    <r>
      <t>GPP (</t>
    </r>
    <r>
      <rPr>
        <b/>
        <sz val="11"/>
        <color rgb="FF000000"/>
        <rFont val="Symbol"/>
        <family val="1"/>
        <charset val="2"/>
      </rPr>
      <t>m</t>
    </r>
    <r>
      <rPr>
        <b/>
        <sz val="11"/>
        <color rgb="FF000000"/>
        <rFont val="Calibri"/>
        <family val="2"/>
      </rPr>
      <t>g O2 cm-2 h-1)</t>
    </r>
  </si>
  <si>
    <t>Corrected CR</t>
  </si>
  <si>
    <t>Corrected GPP</t>
  </si>
  <si>
    <t>-</t>
  </si>
  <si>
    <t>L</t>
  </si>
  <si>
    <t>L+N+P</t>
  </si>
  <si>
    <t>L+P</t>
  </si>
  <si>
    <t>L+N</t>
  </si>
  <si>
    <t>Blank</t>
  </si>
  <si>
    <t>random N+P sponge</t>
  </si>
  <si>
    <t>upside down L+N</t>
  </si>
  <si>
    <t>Total Time (hour:min)</t>
  </si>
  <si>
    <t>Total Time (hm)</t>
  </si>
  <si>
    <t>mg C/L</t>
  </si>
  <si>
    <t>actual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</si>
</sst>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"/>
    <numFmt numFmtId="167" formatCode="h:mm;@"/>
  </numFmts>
  <fonts count="1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Symbol"/>
      <family val="1"/>
      <charset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33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5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1" xfId="0" applyFill="1" applyBorder="1"/>
    <xf numFmtId="0" fontId="0" fillId="3" borderId="0" xfId="0" applyFill="1"/>
    <xf numFmtId="3" fontId="0" fillId="4" borderId="0" xfId="0" applyNumberFormat="1" applyFill="1" applyAlignment="1">
      <alignment horizontal="center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5" borderId="0" xfId="0" applyFont="1" applyFill="1"/>
    <xf numFmtId="0" fontId="7" fillId="6" borderId="0" xfId="0" applyFont="1" applyFill="1"/>
    <xf numFmtId="0" fontId="0" fillId="0" borderId="0" xfId="0" applyFill="1"/>
    <xf numFmtId="11" fontId="0" fillId="0" borderId="0" xfId="0" applyNumberFormat="1"/>
    <xf numFmtId="0" fontId="0" fillId="0" borderId="0" xfId="0" applyAlignment="1">
      <alignment wrapText="1"/>
    </xf>
    <xf numFmtId="0" fontId="8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9" fillId="7" borderId="0" xfId="0" applyFont="1" applyFill="1"/>
    <xf numFmtId="0" fontId="1" fillId="0" borderId="3" xfId="0" applyFont="1" applyBorder="1" applyAlignment="1">
      <alignment horizontal="center" vertical="center" wrapText="1"/>
    </xf>
    <xf numFmtId="20" fontId="0" fillId="0" borderId="0" xfId="0" applyNumberFormat="1"/>
    <xf numFmtId="166" fontId="0" fillId="0" borderId="0" xfId="0" applyNumberFormat="1"/>
    <xf numFmtId="0" fontId="13" fillId="0" borderId="0" xfId="0" applyFont="1" applyFill="1" applyBorder="1"/>
    <xf numFmtId="0" fontId="14" fillId="0" borderId="0" xfId="0" applyFont="1" applyFill="1" applyBorder="1"/>
    <xf numFmtId="0" fontId="14" fillId="0" borderId="0" xfId="0" applyNumberFormat="1" applyFont="1" applyFill="1" applyBorder="1"/>
    <xf numFmtId="2" fontId="14" fillId="0" borderId="0" xfId="0" applyNumberFormat="1" applyFont="1" applyFill="1" applyBorder="1"/>
    <xf numFmtId="0" fontId="13" fillId="0" borderId="0" xfId="0" applyFont="1" applyFill="1" applyBorder="1" applyAlignment="1">
      <alignment horizontal="center" vertical="center"/>
    </xf>
    <xf numFmtId="20" fontId="13" fillId="0" borderId="0" xfId="0" applyNumberFormat="1" applyFont="1" applyFill="1" applyBorder="1"/>
    <xf numFmtId="2" fontId="13" fillId="0" borderId="0" xfId="0" applyNumberFormat="1" applyFont="1" applyFill="1" applyBorder="1"/>
    <xf numFmtId="166" fontId="13" fillId="0" borderId="0" xfId="0" applyNumberFormat="1" applyFont="1" applyFill="1" applyBorder="1"/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7" fontId="13" fillId="0" borderId="0" xfId="0" applyNumberFormat="1" applyFont="1" applyFill="1" applyBorder="1"/>
    <xf numFmtId="167" fontId="0" fillId="0" borderId="0" xfId="0" applyNumberFormat="1"/>
    <xf numFmtId="14" fontId="13" fillId="0" borderId="0" xfId="0" applyNumberFormat="1" applyFont="1" applyFill="1" applyBorder="1"/>
    <xf numFmtId="2" fontId="13" fillId="0" borderId="0" xfId="0" applyNumberFormat="1" applyFont="1" applyFill="1" applyBorder="1" applyAlignment="1">
      <alignment horizontal="right" vertical="center"/>
    </xf>
    <xf numFmtId="2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</cellXfs>
  <cellStyles count="21">
    <cellStyle name="Followed Hyperlink" xfId="20" builtinId="9" hidden="1"/>
    <cellStyle name="Followed Hyperlink" xfId="14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6" builtinId="9" hidden="1"/>
    <cellStyle name="Followed Hyperlink" xfId="16" builtinId="9" hidden="1"/>
    <cellStyle name="Followed Hyperlink" xfId="18" builtinId="9" hidden="1"/>
    <cellStyle name="Followed Hyperlink" xfId="12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13" builtinId="8" hidden="1"/>
    <cellStyle name="Hyperlink" xfId="7" builtinId="8" hidden="1"/>
    <cellStyle name="Hyperlink" xfId="9" builtinId="8" hidden="1"/>
    <cellStyle name="Hyperlink" xfId="17" builtinId="8" hidden="1"/>
    <cellStyle name="Hyperlink" xfId="19" builtinId="8" hidden="1"/>
    <cellStyle name="Hyperlink" xfId="15" builtinId="8" hidden="1"/>
    <cellStyle name="Normal" xfId="0" builtinId="0"/>
  </cellStyles>
  <dxfs count="5">
    <dxf>
      <font>
        <color rgb="FFFFFFFF"/>
        <name val="Calibri"/>
      </font>
      <numFmt numFmtId="0" formatCode="General"/>
      <fill>
        <patternFill>
          <bgColor rgb="FF4F81BD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6500"/>
        <name val="Calibri"/>
      </font>
      <numFmt numFmtId="0" formatCode="General"/>
      <fill>
        <patternFill>
          <bgColor rgb="FFFFEB9C"/>
        </patternFill>
      </fill>
    </dxf>
    <dxf>
      <font>
        <b/>
        <color rgb="FF3F3F3F"/>
        <name val="Calibri"/>
      </font>
      <numFmt numFmtId="0" formatCode="General"/>
      <fill>
        <patternFill>
          <bgColor rgb="FFF2F2F2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numFmt numFmtId="0" formatCode="General"/>
      <fill>
        <patternFill>
          <bgColor rgb="FFB9CDE5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lemental">
  <a:themeElements>
    <a:clrScheme name="Elemental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629DD1"/>
      </a:accent1>
      <a:accent2>
        <a:srgbClr val="297FD5"/>
      </a:accent2>
      <a:accent3>
        <a:srgbClr val="7F8FA9"/>
      </a:accent3>
      <a:accent4>
        <a:srgbClr val="4A66AC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Elemental">
      <a:maj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lemental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glow" dir="tl">
              <a:rot lat="0" lon="0" rev="19800000"/>
            </a:lightRig>
          </a:scene3d>
          <a:sp3d prstMaterial="metal">
            <a:bevelT w="38100" h="3810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5000"/>
              </a:schemeClr>
            </a:gs>
            <a:gs pos="100000">
              <a:schemeClr val="phClr">
                <a:shade val="40000"/>
                <a:satMod val="18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4000"/>
                <a:satMod val="280000"/>
              </a:schemeClr>
              <a:schemeClr val="phClr">
                <a:tint val="60000"/>
                <a:satMod val="1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4"/>
  <sheetViews>
    <sheetView zoomScale="80" zoomScaleNormal="80" zoomScalePageLayoutView="80" workbookViewId="0">
      <pane xSplit="2" ySplit="2" topLeftCell="G24" activePane="bottomRight" state="frozen"/>
      <selection pane="topRight" activeCell="C1" sqref="C1"/>
      <selection pane="bottomLeft" activeCell="A3" sqref="A3"/>
      <selection pane="bottomRight" activeCell="S15" sqref="S15"/>
    </sheetView>
  </sheetViews>
  <sheetFormatPr defaultColWidth="8.85546875" defaultRowHeight="15" x14ac:dyDescent="0.25"/>
  <cols>
    <col min="1" max="1" width="12.7109375" bestFit="1" customWidth="1"/>
    <col min="2" max="2" width="8.85546875" style="1"/>
    <col min="9" max="9" width="15.42578125" bestFit="1" customWidth="1"/>
    <col min="10" max="10" width="19.85546875" bestFit="1" customWidth="1"/>
    <col min="11" max="11" width="19.85546875" customWidth="1"/>
    <col min="14" max="14" width="17.7109375" bestFit="1" customWidth="1"/>
    <col min="15" max="15" width="19.42578125" bestFit="1" customWidth="1"/>
    <col min="19" max="19" width="36.42578125" bestFit="1" customWidth="1"/>
    <col min="20" max="20" width="15.28515625" bestFit="1" customWidth="1"/>
    <col min="21" max="21" width="16.28515625" bestFit="1" customWidth="1"/>
    <col min="22" max="22" width="15.140625" bestFit="1" customWidth="1"/>
    <col min="24" max="24" width="14.85546875" bestFit="1" customWidth="1"/>
    <col min="25" max="25" width="13" bestFit="1" customWidth="1"/>
    <col min="26" max="26" width="10.140625" customWidth="1"/>
  </cols>
  <sheetData>
    <row r="1" spans="1:22" ht="15" customHeight="1" x14ac:dyDescent="0.25">
      <c r="A1" s="55" t="s">
        <v>0</v>
      </c>
      <c r="B1" s="55"/>
      <c r="C1" s="56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6</v>
      </c>
      <c r="I1" t="s">
        <v>7</v>
      </c>
      <c r="J1" t="s">
        <v>8</v>
      </c>
      <c r="K1" t="s">
        <v>9</v>
      </c>
      <c r="L1" s="57" t="s">
        <v>10</v>
      </c>
      <c r="M1" s="33"/>
      <c r="N1" s="57" t="s">
        <v>11</v>
      </c>
      <c r="O1" s="57" t="s">
        <v>12</v>
      </c>
      <c r="P1" s="57" t="s">
        <v>13</v>
      </c>
      <c r="Q1" s="57" t="s">
        <v>14</v>
      </c>
      <c r="R1" s="59"/>
      <c r="S1" s="2" t="s">
        <v>15</v>
      </c>
      <c r="T1" s="3" t="s">
        <v>16</v>
      </c>
      <c r="U1" s="3" t="s">
        <v>17</v>
      </c>
      <c r="V1" s="4" t="s">
        <v>18</v>
      </c>
    </row>
    <row r="2" spans="1:22" x14ac:dyDescent="0.25">
      <c r="A2" s="5" t="s">
        <v>19</v>
      </c>
      <c r="B2" s="6" t="s">
        <v>20</v>
      </c>
      <c r="C2" s="56"/>
      <c r="D2" s="56"/>
      <c r="E2" s="56"/>
      <c r="F2" s="56"/>
      <c r="G2" s="56"/>
      <c r="H2" s="56"/>
      <c r="L2" s="57"/>
      <c r="M2" s="33"/>
      <c r="N2" s="57"/>
      <c r="O2" s="57"/>
      <c r="P2" s="57"/>
      <c r="Q2" s="57"/>
      <c r="R2" s="57"/>
      <c r="S2" s="7">
        <v>12.010999999999999</v>
      </c>
      <c r="T2" s="8">
        <v>0.5</v>
      </c>
      <c r="U2" s="8">
        <f>S2*T2</f>
        <v>6.0054999999999996</v>
      </c>
      <c r="V2" s="9">
        <v>14.007</v>
      </c>
    </row>
    <row r="3" spans="1:22" x14ac:dyDescent="0.25">
      <c r="A3" s="10">
        <v>40757</v>
      </c>
      <c r="B3" s="1">
        <v>1</v>
      </c>
      <c r="C3">
        <v>3319</v>
      </c>
      <c r="D3">
        <v>179.2</v>
      </c>
      <c r="E3" s="11">
        <f t="shared" ref="E3:E50" si="0">C3/D3</f>
        <v>18.521205357142858</v>
      </c>
      <c r="F3" s="12">
        <v>86</v>
      </c>
      <c r="G3" s="11">
        <v>9.5593000000000004</v>
      </c>
      <c r="H3" s="11">
        <v>1.0454000000000001</v>
      </c>
      <c r="L3" s="13">
        <f t="shared" ref="L3:L50" si="1">G3/H3</f>
        <v>9.1441553472355075</v>
      </c>
      <c r="M3" s="13"/>
      <c r="N3">
        <f t="shared" ref="N3:N50" si="2">C3*(F3/1000)</f>
        <v>285.43399999999997</v>
      </c>
      <c r="O3">
        <f t="shared" ref="O3:O50" si="3">D3*(F3/1000)</f>
        <v>15.411199999999997</v>
      </c>
      <c r="P3">
        <f t="shared" ref="P3:P50" si="4">(N3/1000)/G3</f>
        <v>2.9859299321079991E-2</v>
      </c>
      <c r="Q3">
        <f t="shared" ref="Q3:Q50" si="5">(O3/1000)/G3</f>
        <v>1.6121682549977505E-3</v>
      </c>
    </row>
    <row r="4" spans="1:22" x14ac:dyDescent="0.25">
      <c r="A4" s="10">
        <v>40757</v>
      </c>
      <c r="B4" s="1">
        <v>2</v>
      </c>
      <c r="C4">
        <v>3717</v>
      </c>
      <c r="D4">
        <v>197.5</v>
      </c>
      <c r="E4" s="11">
        <f t="shared" si="0"/>
        <v>18.820253164556963</v>
      </c>
      <c r="F4" s="12">
        <v>70</v>
      </c>
      <c r="G4" s="11">
        <v>6.1109</v>
      </c>
      <c r="H4" s="11">
        <v>0.41020000000000001</v>
      </c>
      <c r="L4" s="13">
        <f t="shared" si="1"/>
        <v>14.897367137981472</v>
      </c>
      <c r="M4" s="13"/>
      <c r="N4">
        <f t="shared" si="2"/>
        <v>260.19</v>
      </c>
      <c r="O4">
        <f t="shared" si="3"/>
        <v>13.825000000000001</v>
      </c>
      <c r="P4">
        <f t="shared" si="4"/>
        <v>4.2578016331473269E-2</v>
      </c>
      <c r="Q4">
        <f t="shared" si="5"/>
        <v>2.2623508812122601E-3</v>
      </c>
    </row>
    <row r="5" spans="1:22" x14ac:dyDescent="0.25">
      <c r="A5" s="10">
        <v>40757</v>
      </c>
      <c r="B5" s="1">
        <v>3</v>
      </c>
      <c r="C5">
        <v>2386</v>
      </c>
      <c r="D5">
        <v>66.69</v>
      </c>
      <c r="E5" s="11">
        <f t="shared" si="0"/>
        <v>35.777477882741039</v>
      </c>
      <c r="F5" s="12">
        <v>93</v>
      </c>
      <c r="G5" s="11">
        <v>3.0527000000000002</v>
      </c>
      <c r="H5" s="11">
        <v>0.36180000000000001</v>
      </c>
      <c r="L5" s="13">
        <f t="shared" si="1"/>
        <v>8.437534549474849</v>
      </c>
      <c r="M5" s="13"/>
      <c r="N5">
        <f t="shared" si="2"/>
        <v>221.898</v>
      </c>
      <c r="O5">
        <f t="shared" si="3"/>
        <v>6.2021699999999997</v>
      </c>
      <c r="P5">
        <f t="shared" si="4"/>
        <v>7.2689094899597073E-2</v>
      </c>
      <c r="Q5">
        <f t="shared" si="5"/>
        <v>2.0316998067284697E-3</v>
      </c>
    </row>
    <row r="6" spans="1:22" x14ac:dyDescent="0.25">
      <c r="A6" s="10">
        <v>40757</v>
      </c>
      <c r="B6" s="1">
        <v>4</v>
      </c>
      <c r="C6">
        <v>2176</v>
      </c>
      <c r="D6">
        <v>94.65</v>
      </c>
      <c r="E6" s="11">
        <f t="shared" si="0"/>
        <v>22.989963021658742</v>
      </c>
      <c r="F6" s="12">
        <v>108</v>
      </c>
      <c r="G6" s="11">
        <v>2.7294</v>
      </c>
      <c r="H6" s="11">
        <v>0.43659999999999999</v>
      </c>
      <c r="L6" s="13">
        <f t="shared" si="1"/>
        <v>6.251488776912506</v>
      </c>
      <c r="M6" s="13"/>
      <c r="N6">
        <f t="shared" si="2"/>
        <v>235.00800000000001</v>
      </c>
      <c r="O6">
        <f t="shared" si="3"/>
        <v>10.222200000000001</v>
      </c>
      <c r="P6">
        <f t="shared" si="4"/>
        <v>8.6102440096724561E-2</v>
      </c>
      <c r="Q6">
        <f t="shared" si="5"/>
        <v>3.7452187293910751E-3</v>
      </c>
    </row>
    <row r="7" spans="1:22" x14ac:dyDescent="0.25">
      <c r="A7" s="10">
        <v>40757</v>
      </c>
      <c r="B7" s="1">
        <v>5</v>
      </c>
      <c r="C7">
        <v>3445</v>
      </c>
      <c r="D7">
        <v>184.7</v>
      </c>
      <c r="E7" s="11">
        <f t="shared" si="0"/>
        <v>18.65186789388197</v>
      </c>
      <c r="F7" s="12">
        <v>106</v>
      </c>
      <c r="G7" s="11">
        <v>5.6669999999999998</v>
      </c>
      <c r="H7" s="11">
        <v>0.50049999999999994</v>
      </c>
      <c r="L7" s="13">
        <f t="shared" si="1"/>
        <v>11.322677322677324</v>
      </c>
      <c r="M7" s="13"/>
      <c r="N7">
        <f t="shared" si="2"/>
        <v>365.17</v>
      </c>
      <c r="O7">
        <f t="shared" si="3"/>
        <v>19.578199999999999</v>
      </c>
      <c r="P7">
        <f t="shared" si="4"/>
        <v>6.4437974236809595E-2</v>
      </c>
      <c r="Q7">
        <f t="shared" si="5"/>
        <v>3.4547732486324336E-3</v>
      </c>
    </row>
    <row r="8" spans="1:22" x14ac:dyDescent="0.25">
      <c r="A8" s="10">
        <v>40757</v>
      </c>
      <c r="B8" s="1">
        <v>6</v>
      </c>
      <c r="C8">
        <v>1629</v>
      </c>
      <c r="D8">
        <v>72.67</v>
      </c>
      <c r="E8" s="11">
        <f t="shared" si="0"/>
        <v>22.416402917297372</v>
      </c>
      <c r="F8" s="12">
        <v>138</v>
      </c>
      <c r="G8" s="11">
        <v>2.8178000000000001</v>
      </c>
      <c r="H8" s="11">
        <v>0.36320000000000002</v>
      </c>
      <c r="L8" s="13">
        <f t="shared" si="1"/>
        <v>7.7582599118942728</v>
      </c>
      <c r="M8" s="13"/>
      <c r="N8">
        <f t="shared" si="2"/>
        <v>224.80200000000002</v>
      </c>
      <c r="O8">
        <f t="shared" si="3"/>
        <v>10.028460000000001</v>
      </c>
      <c r="P8">
        <f t="shared" si="4"/>
        <v>7.9779260415927325E-2</v>
      </c>
      <c r="Q8">
        <f t="shared" si="5"/>
        <v>3.558967989211442E-3</v>
      </c>
    </row>
    <row r="9" spans="1:22" x14ac:dyDescent="0.25">
      <c r="A9" s="10">
        <v>40757</v>
      </c>
      <c r="B9" s="1">
        <v>7</v>
      </c>
      <c r="C9">
        <v>2662</v>
      </c>
      <c r="D9">
        <v>122.9</v>
      </c>
      <c r="E9" s="11">
        <f t="shared" si="0"/>
        <v>21.659886086248981</v>
      </c>
      <c r="F9" s="12">
        <v>155</v>
      </c>
      <c r="G9" s="11">
        <v>3.2309000000000001</v>
      </c>
      <c r="H9" s="11">
        <v>1.0193000000000001</v>
      </c>
      <c r="L9" s="13">
        <f t="shared" si="1"/>
        <v>3.1697243206121848</v>
      </c>
      <c r="M9" s="13"/>
      <c r="N9">
        <f t="shared" si="2"/>
        <v>412.61</v>
      </c>
      <c r="O9">
        <f t="shared" si="3"/>
        <v>19.049500000000002</v>
      </c>
      <c r="P9">
        <f t="shared" si="4"/>
        <v>0.1277074499365502</v>
      </c>
      <c r="Q9">
        <f t="shared" si="5"/>
        <v>5.8960351604815994E-3</v>
      </c>
    </row>
    <row r="10" spans="1:22" x14ac:dyDescent="0.25">
      <c r="A10" s="10">
        <v>40757</v>
      </c>
      <c r="B10" s="1">
        <v>8</v>
      </c>
      <c r="C10">
        <v>2512</v>
      </c>
      <c r="D10">
        <v>95.25</v>
      </c>
      <c r="E10" s="11">
        <f t="shared" si="0"/>
        <v>26.372703412073491</v>
      </c>
      <c r="F10" s="12">
        <v>152</v>
      </c>
      <c r="G10" s="11">
        <v>3.0358999999999998</v>
      </c>
      <c r="H10" s="11">
        <v>0.7046</v>
      </c>
      <c r="L10" s="13">
        <f t="shared" si="1"/>
        <v>4.3086857791654838</v>
      </c>
      <c r="M10" s="13"/>
      <c r="N10">
        <f t="shared" si="2"/>
        <v>381.82400000000001</v>
      </c>
      <c r="O10">
        <f t="shared" si="3"/>
        <v>14.478</v>
      </c>
      <c r="P10">
        <f t="shared" si="4"/>
        <v>0.12576962350538556</v>
      </c>
      <c r="Q10">
        <f t="shared" si="5"/>
        <v>4.7689317829968051E-3</v>
      </c>
    </row>
    <row r="11" spans="1:22" x14ac:dyDescent="0.25">
      <c r="A11" s="10">
        <v>40757</v>
      </c>
      <c r="B11" s="1">
        <v>9</v>
      </c>
      <c r="C11">
        <v>2628</v>
      </c>
      <c r="D11">
        <v>128.69999999999999</v>
      </c>
      <c r="E11" s="11">
        <f t="shared" si="0"/>
        <v>20.41958041958042</v>
      </c>
      <c r="F11" s="12">
        <v>155</v>
      </c>
      <c r="G11" s="11">
        <v>3.3980000000000001</v>
      </c>
      <c r="H11" s="11">
        <v>1.1339999999999999</v>
      </c>
      <c r="L11" s="13">
        <f t="shared" si="1"/>
        <v>2.9964726631393304</v>
      </c>
      <c r="M11" s="13"/>
      <c r="N11">
        <f t="shared" si="2"/>
        <v>407.34</v>
      </c>
      <c r="O11">
        <f t="shared" si="3"/>
        <v>19.948499999999999</v>
      </c>
      <c r="P11">
        <f t="shared" si="4"/>
        <v>0.11987639788110652</v>
      </c>
      <c r="Q11">
        <f t="shared" si="5"/>
        <v>5.8706592113007654E-3</v>
      </c>
    </row>
    <row r="12" spans="1:22" x14ac:dyDescent="0.25">
      <c r="A12" s="10">
        <v>40757</v>
      </c>
      <c r="B12" s="1">
        <v>10</v>
      </c>
      <c r="C12">
        <v>1677</v>
      </c>
      <c r="D12">
        <v>45.88</v>
      </c>
      <c r="E12" s="11">
        <f t="shared" si="0"/>
        <v>36.551874455100261</v>
      </c>
      <c r="F12" s="12">
        <f>242+137</f>
        <v>379</v>
      </c>
      <c r="G12" s="11">
        <v>3.8147000000000002</v>
      </c>
      <c r="H12" s="11">
        <v>0.59370000000000001</v>
      </c>
      <c r="L12" s="13">
        <f t="shared" si="1"/>
        <v>6.4252989725450567</v>
      </c>
      <c r="M12" s="13"/>
      <c r="N12">
        <f t="shared" si="2"/>
        <v>635.58299999999997</v>
      </c>
      <c r="O12">
        <f t="shared" si="3"/>
        <v>17.38852</v>
      </c>
      <c r="P12">
        <f t="shared" si="4"/>
        <v>0.1666141505229769</v>
      </c>
      <c r="Q12">
        <f t="shared" si="5"/>
        <v>4.5582929194956353E-3</v>
      </c>
    </row>
    <row r="13" spans="1:22" x14ac:dyDescent="0.25">
      <c r="A13" s="10">
        <v>40757</v>
      </c>
      <c r="B13" s="1">
        <v>11</v>
      </c>
      <c r="C13">
        <v>516.20000000000005</v>
      </c>
      <c r="D13">
        <v>20.56</v>
      </c>
      <c r="E13" s="11">
        <f t="shared" si="0"/>
        <v>25.107003891050589</v>
      </c>
      <c r="F13" s="12">
        <v>1000</v>
      </c>
      <c r="G13" s="11">
        <v>2.9954999999999998</v>
      </c>
      <c r="H13" s="11">
        <v>0.38969999999999999</v>
      </c>
      <c r="L13" s="13">
        <f t="shared" si="1"/>
        <v>7.6866820631254811</v>
      </c>
      <c r="M13" s="13"/>
      <c r="N13">
        <f t="shared" si="2"/>
        <v>516.20000000000005</v>
      </c>
      <c r="O13">
        <f t="shared" si="3"/>
        <v>20.56</v>
      </c>
      <c r="P13">
        <f t="shared" si="4"/>
        <v>0.17232515439826407</v>
      </c>
      <c r="Q13">
        <f t="shared" si="5"/>
        <v>6.8636287764980803E-3</v>
      </c>
    </row>
    <row r="14" spans="1:22" x14ac:dyDescent="0.25">
      <c r="A14" s="10">
        <v>40757</v>
      </c>
      <c r="B14" s="1">
        <v>12</v>
      </c>
      <c r="C14">
        <v>796.5</v>
      </c>
      <c r="D14">
        <v>24.47</v>
      </c>
      <c r="E14" s="11">
        <f t="shared" si="0"/>
        <v>32.550061299550471</v>
      </c>
      <c r="F14" s="12">
        <f>237+250+128</f>
        <v>615</v>
      </c>
      <c r="G14" s="11">
        <v>2.4561999999999999</v>
      </c>
      <c r="H14" s="11">
        <v>0.44929999999999998</v>
      </c>
      <c r="L14" s="13">
        <f t="shared" si="1"/>
        <v>5.4667260182506121</v>
      </c>
      <c r="M14" s="13"/>
      <c r="N14">
        <f t="shared" si="2"/>
        <v>489.84749999999997</v>
      </c>
      <c r="O14">
        <f t="shared" si="3"/>
        <v>15.049049999999999</v>
      </c>
      <c r="P14">
        <f t="shared" si="4"/>
        <v>0.19943306733979319</v>
      </c>
      <c r="Q14">
        <f t="shared" si="5"/>
        <v>6.1269644165784544E-3</v>
      </c>
      <c r="S14" s="58"/>
      <c r="T14" s="58"/>
      <c r="U14" s="58"/>
    </row>
    <row r="15" spans="1:22" x14ac:dyDescent="0.25">
      <c r="A15" s="10">
        <v>40763</v>
      </c>
      <c r="B15" s="1">
        <v>1</v>
      </c>
      <c r="C15">
        <v>1468</v>
      </c>
      <c r="D15">
        <v>52.45</v>
      </c>
      <c r="E15" s="11">
        <f t="shared" si="0"/>
        <v>27.988560533841753</v>
      </c>
      <c r="F15" s="12">
        <v>180</v>
      </c>
      <c r="G15" s="11">
        <v>1.8542000000000001</v>
      </c>
      <c r="H15" s="11">
        <v>1.0543</v>
      </c>
      <c r="I15">
        <v>120</v>
      </c>
      <c r="J15">
        <f>C15*(I15/1000)</f>
        <v>176.16</v>
      </c>
      <c r="K15">
        <f>D15*(I15/1000)</f>
        <v>6.2940000000000005</v>
      </c>
      <c r="L15" s="13">
        <f t="shared" si="1"/>
        <v>1.758702456606279</v>
      </c>
      <c r="M15" s="13"/>
      <c r="N15">
        <f t="shared" si="2"/>
        <v>264.24</v>
      </c>
      <c r="O15">
        <f t="shared" si="3"/>
        <v>9.4410000000000007</v>
      </c>
      <c r="P15">
        <f t="shared" si="4"/>
        <v>0.14250889871642758</v>
      </c>
      <c r="Q15">
        <f t="shared" si="5"/>
        <v>5.0916837450113266E-3</v>
      </c>
      <c r="S15" s="11"/>
      <c r="T15" s="14"/>
    </row>
    <row r="16" spans="1:22" x14ac:dyDescent="0.25">
      <c r="A16" s="10">
        <v>40763</v>
      </c>
      <c r="B16" s="1">
        <v>2</v>
      </c>
      <c r="C16">
        <v>985.1</v>
      </c>
      <c r="D16">
        <v>36.97</v>
      </c>
      <c r="E16" s="11">
        <f t="shared" si="0"/>
        <v>26.64592913172843</v>
      </c>
      <c r="F16" s="12">
        <v>190</v>
      </c>
      <c r="G16" s="11">
        <v>1.238</v>
      </c>
      <c r="H16" s="11">
        <v>0.4602</v>
      </c>
      <c r="I16">
        <v>180</v>
      </c>
      <c r="J16">
        <f t="shared" ref="J16:J50" si="6">C16*(I16/1000)</f>
        <v>177.31799999999998</v>
      </c>
      <c r="K16">
        <f t="shared" ref="K16:K50" si="7">D16*(I16/1000)</f>
        <v>6.6545999999999994</v>
      </c>
      <c r="L16" s="13">
        <f t="shared" si="1"/>
        <v>2.6901347240330291</v>
      </c>
      <c r="M16" s="13"/>
      <c r="N16">
        <f t="shared" si="2"/>
        <v>187.16900000000001</v>
      </c>
      <c r="O16">
        <f t="shared" si="3"/>
        <v>7.0243000000000002</v>
      </c>
      <c r="P16">
        <f t="shared" si="4"/>
        <v>0.15118659127625203</v>
      </c>
      <c r="Q16">
        <f t="shared" si="5"/>
        <v>5.6739095315024232E-3</v>
      </c>
    </row>
    <row r="17" spans="1:26" x14ac:dyDescent="0.25">
      <c r="A17" s="10">
        <v>40763</v>
      </c>
      <c r="B17" s="1">
        <v>3</v>
      </c>
      <c r="C17">
        <v>520.9</v>
      </c>
      <c r="D17">
        <v>17.2</v>
      </c>
      <c r="E17" s="11">
        <f t="shared" si="0"/>
        <v>30.284883720930232</v>
      </c>
      <c r="F17" s="12">
        <v>192</v>
      </c>
      <c r="G17" s="11">
        <v>0.72889999999999999</v>
      </c>
      <c r="H17" s="11">
        <v>0.26300000000000001</v>
      </c>
      <c r="I17">
        <v>60</v>
      </c>
      <c r="J17">
        <f t="shared" si="6"/>
        <v>31.253999999999998</v>
      </c>
      <c r="K17">
        <f t="shared" si="7"/>
        <v>1.032</v>
      </c>
      <c r="L17" s="13">
        <f t="shared" si="1"/>
        <v>2.7714828897338402</v>
      </c>
      <c r="M17" s="13"/>
      <c r="N17">
        <f t="shared" si="2"/>
        <v>100.0128</v>
      </c>
      <c r="O17">
        <f t="shared" si="3"/>
        <v>3.3024</v>
      </c>
      <c r="P17">
        <f t="shared" si="4"/>
        <v>0.13721059130196187</v>
      </c>
      <c r="Q17">
        <f t="shared" si="5"/>
        <v>4.5306626423377693E-3</v>
      </c>
    </row>
    <row r="18" spans="1:26" x14ac:dyDescent="0.25">
      <c r="A18" s="10">
        <v>40763</v>
      </c>
      <c r="B18" s="1">
        <v>4</v>
      </c>
      <c r="C18">
        <v>326.39999999999998</v>
      </c>
      <c r="D18">
        <v>19.149999999999999</v>
      </c>
      <c r="E18" s="11">
        <f t="shared" si="0"/>
        <v>17.044386422976501</v>
      </c>
      <c r="F18" s="12">
        <v>190</v>
      </c>
      <c r="G18" s="11">
        <v>0.59350000000000003</v>
      </c>
      <c r="H18" s="11">
        <v>0.17249999999999999</v>
      </c>
      <c r="I18">
        <v>120</v>
      </c>
      <c r="J18">
        <f t="shared" si="6"/>
        <v>39.167999999999999</v>
      </c>
      <c r="K18">
        <f t="shared" si="7"/>
        <v>2.2979999999999996</v>
      </c>
      <c r="L18" s="13">
        <f t="shared" si="1"/>
        <v>3.4405797101449278</v>
      </c>
      <c r="M18" s="13"/>
      <c r="N18">
        <f t="shared" si="2"/>
        <v>62.015999999999998</v>
      </c>
      <c r="O18">
        <f t="shared" si="3"/>
        <v>3.6384999999999996</v>
      </c>
      <c r="P18">
        <f t="shared" si="4"/>
        <v>0.10449199663016007</v>
      </c>
      <c r="Q18">
        <f t="shared" si="5"/>
        <v>6.1305812973883739E-3</v>
      </c>
    </row>
    <row r="19" spans="1:26" x14ac:dyDescent="0.25">
      <c r="A19" s="10">
        <v>40763</v>
      </c>
      <c r="B19" s="1">
        <v>5</v>
      </c>
      <c r="C19">
        <v>434.7</v>
      </c>
      <c r="D19">
        <v>25.2</v>
      </c>
      <c r="E19" s="11">
        <f t="shared" si="0"/>
        <v>17.25</v>
      </c>
      <c r="F19" s="12">
        <v>198</v>
      </c>
      <c r="G19" s="11">
        <v>0.73499999999999999</v>
      </c>
      <c r="H19" s="11">
        <v>0.24440000000000001</v>
      </c>
      <c r="I19">
        <v>120</v>
      </c>
      <c r="J19">
        <f t="shared" si="6"/>
        <v>52.163999999999994</v>
      </c>
      <c r="K19">
        <f t="shared" si="7"/>
        <v>3.024</v>
      </c>
      <c r="L19" s="13">
        <f t="shared" si="1"/>
        <v>3.0073649754500815</v>
      </c>
      <c r="M19" s="13"/>
      <c r="N19">
        <f t="shared" si="2"/>
        <v>86.070599999999999</v>
      </c>
      <c r="O19">
        <f t="shared" si="3"/>
        <v>4.9896000000000003</v>
      </c>
      <c r="P19">
        <f t="shared" si="4"/>
        <v>0.11710285714285715</v>
      </c>
      <c r="Q19">
        <f t="shared" si="5"/>
        <v>6.7885714285714294E-3</v>
      </c>
      <c r="S19" s="58"/>
      <c r="T19" s="58"/>
      <c r="U19" s="58"/>
      <c r="X19" s="58"/>
      <c r="Y19" s="58"/>
      <c r="Z19" s="58"/>
    </row>
    <row r="20" spans="1:26" x14ac:dyDescent="0.25">
      <c r="A20" s="10">
        <v>40763</v>
      </c>
      <c r="B20" s="1">
        <v>6</v>
      </c>
      <c r="C20">
        <v>234.9</v>
      </c>
      <c r="D20">
        <v>10.63</v>
      </c>
      <c r="E20" s="11">
        <f t="shared" si="0"/>
        <v>22.097836312323611</v>
      </c>
      <c r="F20" s="12">
        <v>210</v>
      </c>
      <c r="G20" s="11">
        <v>0.35949999999999999</v>
      </c>
      <c r="H20" s="11">
        <v>0.2011</v>
      </c>
      <c r="I20">
        <v>120</v>
      </c>
      <c r="J20">
        <f t="shared" si="6"/>
        <v>28.187999999999999</v>
      </c>
      <c r="K20">
        <f t="shared" si="7"/>
        <v>1.2756000000000001</v>
      </c>
      <c r="L20" s="13">
        <f t="shared" si="1"/>
        <v>1.7876678269517652</v>
      </c>
      <c r="M20" s="13"/>
      <c r="N20">
        <f t="shared" si="2"/>
        <v>49.329000000000001</v>
      </c>
      <c r="O20">
        <f t="shared" si="3"/>
        <v>2.2323</v>
      </c>
      <c r="P20">
        <f t="shared" si="4"/>
        <v>0.13721557719054242</v>
      </c>
      <c r="Q20">
        <f t="shared" si="5"/>
        <v>6.2094575799721838E-3</v>
      </c>
      <c r="U20" s="15"/>
      <c r="X20" s="11"/>
    </row>
    <row r="21" spans="1:26" x14ac:dyDescent="0.25">
      <c r="A21" s="10">
        <v>40763</v>
      </c>
      <c r="B21" s="1">
        <v>7</v>
      </c>
      <c r="C21">
        <v>329.8</v>
      </c>
      <c r="D21">
        <v>18.59</v>
      </c>
      <c r="E21" s="11">
        <f t="shared" si="0"/>
        <v>17.740720817643897</v>
      </c>
      <c r="F21" s="12">
        <v>190</v>
      </c>
      <c r="G21" s="11">
        <v>0.35599999999999998</v>
      </c>
      <c r="H21" s="11">
        <v>0.37130000000000002</v>
      </c>
      <c r="I21">
        <v>120</v>
      </c>
      <c r="J21">
        <f t="shared" si="6"/>
        <v>39.576000000000001</v>
      </c>
      <c r="K21">
        <f t="shared" si="7"/>
        <v>2.2307999999999999</v>
      </c>
      <c r="L21" s="13">
        <f t="shared" si="1"/>
        <v>0.95879342849447879</v>
      </c>
      <c r="M21" s="13"/>
      <c r="N21">
        <f t="shared" si="2"/>
        <v>62.662000000000006</v>
      </c>
      <c r="O21">
        <f t="shared" si="3"/>
        <v>3.5320999999999998</v>
      </c>
      <c r="P21">
        <f t="shared" si="4"/>
        <v>0.17601685393258432</v>
      </c>
      <c r="Q21">
        <f t="shared" si="5"/>
        <v>9.9216292134831456E-3</v>
      </c>
    </row>
    <row r="22" spans="1:26" x14ac:dyDescent="0.25">
      <c r="A22" s="10">
        <v>40763</v>
      </c>
      <c r="B22" s="1">
        <v>8</v>
      </c>
      <c r="C22">
        <v>244.8</v>
      </c>
      <c r="D22">
        <v>11.09</v>
      </c>
      <c r="E22" s="11">
        <f t="shared" si="0"/>
        <v>22.07394048692516</v>
      </c>
      <c r="F22" s="12">
        <v>196</v>
      </c>
      <c r="G22" s="11">
        <v>0.3674</v>
      </c>
      <c r="H22" s="11">
        <v>0.1686</v>
      </c>
      <c r="I22">
        <v>120</v>
      </c>
      <c r="J22">
        <f t="shared" si="6"/>
        <v>29.376000000000001</v>
      </c>
      <c r="K22">
        <f t="shared" si="7"/>
        <v>1.3308</v>
      </c>
      <c r="L22" s="13">
        <f t="shared" si="1"/>
        <v>2.1791221826809015</v>
      </c>
      <c r="M22" s="13"/>
      <c r="N22">
        <f t="shared" si="2"/>
        <v>47.980800000000002</v>
      </c>
      <c r="O22">
        <f t="shared" si="3"/>
        <v>2.1736400000000002</v>
      </c>
      <c r="P22">
        <f t="shared" si="4"/>
        <v>0.13059553620032663</v>
      </c>
      <c r="Q22">
        <f t="shared" si="5"/>
        <v>5.9162765378334243E-3</v>
      </c>
      <c r="S22" s="58"/>
      <c r="T22" s="58"/>
      <c r="U22" s="58"/>
      <c r="X22" s="58"/>
      <c r="Y22" s="58"/>
      <c r="Z22" s="58"/>
    </row>
    <row r="23" spans="1:26" x14ac:dyDescent="0.25">
      <c r="A23" s="10">
        <v>40763</v>
      </c>
      <c r="B23" s="1">
        <v>9</v>
      </c>
      <c r="C23">
        <v>241.6</v>
      </c>
      <c r="D23">
        <v>13.25</v>
      </c>
      <c r="E23" s="11">
        <f t="shared" si="0"/>
        <v>18.233962264150943</v>
      </c>
      <c r="F23" s="12">
        <v>192</v>
      </c>
      <c r="G23" s="11">
        <v>0.28599999999999998</v>
      </c>
      <c r="H23" s="11">
        <v>0.24340000000000001</v>
      </c>
      <c r="I23">
        <v>120</v>
      </c>
      <c r="J23">
        <f t="shared" si="6"/>
        <v>28.991999999999997</v>
      </c>
      <c r="K23">
        <f t="shared" si="7"/>
        <v>1.5899999999999999</v>
      </c>
      <c r="L23" s="13">
        <f t="shared" si="1"/>
        <v>1.1750205423171733</v>
      </c>
      <c r="M23" s="13"/>
      <c r="N23">
        <f t="shared" si="2"/>
        <v>46.3872</v>
      </c>
      <c r="O23">
        <f t="shared" si="3"/>
        <v>2.544</v>
      </c>
      <c r="P23">
        <f t="shared" si="4"/>
        <v>0.16219300699300701</v>
      </c>
      <c r="Q23">
        <f t="shared" si="5"/>
        <v>8.8951048951048974E-3</v>
      </c>
      <c r="X23" s="11"/>
    </row>
    <row r="24" spans="1:26" x14ac:dyDescent="0.25">
      <c r="A24" s="10">
        <v>40763</v>
      </c>
      <c r="B24" s="1">
        <v>10</v>
      </c>
      <c r="C24">
        <v>1167</v>
      </c>
      <c r="D24">
        <v>42.15</v>
      </c>
      <c r="E24" s="11">
        <f t="shared" si="0"/>
        <v>27.686832740213525</v>
      </c>
      <c r="F24" s="12">
        <v>188</v>
      </c>
      <c r="G24" s="11">
        <v>2.0766</v>
      </c>
      <c r="H24" s="11">
        <v>0.1047</v>
      </c>
      <c r="I24">
        <v>120</v>
      </c>
      <c r="J24">
        <f t="shared" si="6"/>
        <v>140.04</v>
      </c>
      <c r="K24">
        <f t="shared" si="7"/>
        <v>5.0579999999999998</v>
      </c>
      <c r="L24" s="13">
        <f t="shared" si="1"/>
        <v>19.833810888252149</v>
      </c>
      <c r="M24" s="13"/>
      <c r="N24">
        <f t="shared" si="2"/>
        <v>219.39599999999999</v>
      </c>
      <c r="O24">
        <f t="shared" si="3"/>
        <v>7.9241999999999999</v>
      </c>
      <c r="P24">
        <f t="shared" si="4"/>
        <v>0.1056515457960127</v>
      </c>
      <c r="Q24">
        <f t="shared" si="5"/>
        <v>3.8159491476451889E-3</v>
      </c>
    </row>
    <row r="25" spans="1:26" x14ac:dyDescent="0.25">
      <c r="A25" s="10">
        <v>40763</v>
      </c>
      <c r="B25" s="1">
        <v>11</v>
      </c>
      <c r="C25">
        <v>969.1</v>
      </c>
      <c r="D25">
        <v>48.79</v>
      </c>
      <c r="E25" s="11">
        <f t="shared" si="0"/>
        <v>19.862676778028284</v>
      </c>
      <c r="F25" s="12">
        <v>184</v>
      </c>
      <c r="G25" s="11">
        <v>1.9698</v>
      </c>
      <c r="H25" s="11">
        <v>7.6499999999999999E-2</v>
      </c>
      <c r="I25">
        <v>120</v>
      </c>
      <c r="J25">
        <f t="shared" si="6"/>
        <v>116.292</v>
      </c>
      <c r="K25">
        <f t="shared" si="7"/>
        <v>5.8548</v>
      </c>
      <c r="L25" s="13">
        <f t="shared" si="1"/>
        <v>25.749019607843138</v>
      </c>
      <c r="M25" s="13"/>
      <c r="N25">
        <f t="shared" si="2"/>
        <v>178.31440000000001</v>
      </c>
      <c r="O25">
        <f t="shared" si="3"/>
        <v>8.9773599999999991</v>
      </c>
      <c r="P25">
        <f t="shared" si="4"/>
        <v>9.0524114123261251E-2</v>
      </c>
      <c r="Q25">
        <f t="shared" si="5"/>
        <v>4.5574982231698638E-3</v>
      </c>
    </row>
    <row r="26" spans="1:26" x14ac:dyDescent="0.25">
      <c r="A26" s="10">
        <v>40763</v>
      </c>
      <c r="B26" s="1">
        <v>12</v>
      </c>
      <c r="C26">
        <v>660.1</v>
      </c>
      <c r="D26">
        <v>28.67</v>
      </c>
      <c r="E26" s="11">
        <f t="shared" si="0"/>
        <v>23.024066968957097</v>
      </c>
      <c r="F26" s="12">
        <v>194</v>
      </c>
      <c r="G26" s="11">
        <v>1.1173999999999999</v>
      </c>
      <c r="H26" s="11">
        <v>3.5400000000000001E-2</v>
      </c>
      <c r="I26">
        <v>120</v>
      </c>
      <c r="J26">
        <f t="shared" si="6"/>
        <v>79.212000000000003</v>
      </c>
      <c r="K26">
        <f t="shared" si="7"/>
        <v>3.4403999999999999</v>
      </c>
      <c r="L26" s="13">
        <f t="shared" si="1"/>
        <v>31.564971751412426</v>
      </c>
      <c r="M26" s="13"/>
      <c r="N26">
        <f t="shared" si="2"/>
        <v>128.05940000000001</v>
      </c>
      <c r="O26">
        <f t="shared" si="3"/>
        <v>5.5619800000000001</v>
      </c>
      <c r="P26">
        <f t="shared" si="4"/>
        <v>0.11460479684982998</v>
      </c>
      <c r="Q26">
        <f t="shared" si="5"/>
        <v>4.9776087345623776E-3</v>
      </c>
    </row>
    <row r="27" spans="1:26" x14ac:dyDescent="0.25">
      <c r="A27" s="10">
        <v>40771</v>
      </c>
      <c r="B27" s="1">
        <v>1</v>
      </c>
      <c r="C27">
        <v>705.3</v>
      </c>
      <c r="D27">
        <v>24.76</v>
      </c>
      <c r="E27" s="11">
        <f t="shared" si="0"/>
        <v>28.485460420032307</v>
      </c>
      <c r="F27" s="12">
        <v>176</v>
      </c>
      <c r="G27" s="11">
        <v>0.75390000000000001</v>
      </c>
      <c r="H27" s="11">
        <v>1.7675000000000001</v>
      </c>
      <c r="I27">
        <v>30</v>
      </c>
      <c r="J27">
        <f t="shared" si="6"/>
        <v>21.158999999999999</v>
      </c>
      <c r="K27">
        <f t="shared" si="7"/>
        <v>0.74280000000000002</v>
      </c>
      <c r="L27" s="13">
        <f t="shared" si="1"/>
        <v>0.42653465346534652</v>
      </c>
      <c r="M27" s="13"/>
      <c r="N27">
        <f t="shared" si="2"/>
        <v>124.13279999999999</v>
      </c>
      <c r="O27">
        <f t="shared" si="3"/>
        <v>4.3577599999999999</v>
      </c>
      <c r="P27">
        <f t="shared" si="4"/>
        <v>0.16465419816951848</v>
      </c>
      <c r="Q27">
        <f t="shared" si="5"/>
        <v>5.7802891630189673E-3</v>
      </c>
    </row>
    <row r="28" spans="1:26" x14ac:dyDescent="0.25">
      <c r="A28" s="10">
        <v>40771</v>
      </c>
      <c r="B28" s="1">
        <v>2</v>
      </c>
      <c r="C28">
        <v>318.60000000000002</v>
      </c>
      <c r="D28">
        <v>10.7</v>
      </c>
      <c r="E28" s="11">
        <f t="shared" si="0"/>
        <v>29.775700934579444</v>
      </c>
      <c r="F28" s="12">
        <v>192</v>
      </c>
      <c r="G28" s="11">
        <v>0.32469999999999999</v>
      </c>
      <c r="H28" s="11">
        <v>0.86639999999999995</v>
      </c>
      <c r="I28">
        <v>30</v>
      </c>
      <c r="J28">
        <f t="shared" si="6"/>
        <v>9.5579999999999998</v>
      </c>
      <c r="K28">
        <f t="shared" si="7"/>
        <v>0.32099999999999995</v>
      </c>
      <c r="L28" s="13">
        <f t="shared" si="1"/>
        <v>0.37476915974145891</v>
      </c>
      <c r="M28" s="13"/>
      <c r="N28">
        <f t="shared" si="2"/>
        <v>61.171200000000006</v>
      </c>
      <c r="O28">
        <f t="shared" si="3"/>
        <v>2.0543999999999998</v>
      </c>
      <c r="P28">
        <f t="shared" si="4"/>
        <v>0.18839297813366188</v>
      </c>
      <c r="Q28">
        <f t="shared" si="5"/>
        <v>6.3270711425931622E-3</v>
      </c>
    </row>
    <row r="29" spans="1:26" x14ac:dyDescent="0.25">
      <c r="A29" s="10">
        <v>40771</v>
      </c>
      <c r="B29" s="1">
        <v>3</v>
      </c>
      <c r="C29">
        <v>398.6</v>
      </c>
      <c r="D29">
        <v>14.18</v>
      </c>
      <c r="E29" s="11">
        <f t="shared" si="0"/>
        <v>28.110014104372357</v>
      </c>
      <c r="F29" s="12">
        <v>198</v>
      </c>
      <c r="G29" s="11">
        <v>0.4718</v>
      </c>
      <c r="H29" s="11">
        <v>0.54249999999999998</v>
      </c>
      <c r="I29">
        <v>30</v>
      </c>
      <c r="J29">
        <f t="shared" si="6"/>
        <v>11.958</v>
      </c>
      <c r="K29">
        <f t="shared" si="7"/>
        <v>0.4254</v>
      </c>
      <c r="L29" s="13">
        <f t="shared" si="1"/>
        <v>0.86967741935483878</v>
      </c>
      <c r="M29" s="13"/>
      <c r="N29">
        <f t="shared" si="2"/>
        <v>78.922800000000009</v>
      </c>
      <c r="O29">
        <f t="shared" si="3"/>
        <v>2.8076400000000001</v>
      </c>
      <c r="P29">
        <f t="shared" si="4"/>
        <v>0.16728020347604922</v>
      </c>
      <c r="Q29">
        <f t="shared" si="5"/>
        <v>5.9509114031369229E-3</v>
      </c>
    </row>
    <row r="30" spans="1:26" x14ac:dyDescent="0.25">
      <c r="A30" s="10">
        <v>40771</v>
      </c>
      <c r="B30" s="1">
        <v>4</v>
      </c>
      <c r="C30">
        <v>218.6</v>
      </c>
      <c r="D30">
        <v>9.0489999999999995</v>
      </c>
      <c r="E30" s="11">
        <f t="shared" si="0"/>
        <v>24.157365454746383</v>
      </c>
      <c r="F30" s="12">
        <v>214</v>
      </c>
      <c r="G30" s="11">
        <v>0.30630000000000002</v>
      </c>
      <c r="H30" s="11">
        <v>0.50460000000000005</v>
      </c>
      <c r="I30">
        <v>30</v>
      </c>
      <c r="J30">
        <f t="shared" si="6"/>
        <v>6.5579999999999998</v>
      </c>
      <c r="K30">
        <f t="shared" si="7"/>
        <v>0.27146999999999999</v>
      </c>
      <c r="L30" s="13">
        <f t="shared" si="1"/>
        <v>0.6070154577883472</v>
      </c>
      <c r="M30" s="13"/>
      <c r="N30">
        <f t="shared" si="2"/>
        <v>46.7804</v>
      </c>
      <c r="O30">
        <f t="shared" si="3"/>
        <v>1.9364859999999999</v>
      </c>
      <c r="P30">
        <f t="shared" si="4"/>
        <v>0.15272739144629446</v>
      </c>
      <c r="Q30">
        <f t="shared" si="5"/>
        <v>6.3221873979758397E-3</v>
      </c>
    </row>
    <row r="31" spans="1:26" x14ac:dyDescent="0.25">
      <c r="A31" s="10">
        <v>40771</v>
      </c>
      <c r="B31" s="1">
        <v>5</v>
      </c>
      <c r="C31">
        <v>427.8</v>
      </c>
      <c r="D31">
        <v>21.53</v>
      </c>
      <c r="E31" s="11">
        <f t="shared" si="0"/>
        <v>19.869948908499769</v>
      </c>
      <c r="F31" s="12">
        <v>192</v>
      </c>
      <c r="G31" s="11">
        <v>0.35189999999999999</v>
      </c>
      <c r="H31" s="11">
        <v>0.75549999999999995</v>
      </c>
      <c r="I31">
        <v>30</v>
      </c>
      <c r="J31">
        <f t="shared" si="6"/>
        <v>12.834</v>
      </c>
      <c r="K31">
        <f t="shared" si="7"/>
        <v>0.64590000000000003</v>
      </c>
      <c r="L31" s="13">
        <f t="shared" si="1"/>
        <v>0.46578424884182662</v>
      </c>
      <c r="M31" s="13"/>
      <c r="N31">
        <f t="shared" si="2"/>
        <v>82.137600000000006</v>
      </c>
      <c r="O31">
        <f t="shared" si="3"/>
        <v>4.1337600000000005</v>
      </c>
      <c r="P31">
        <f t="shared" si="4"/>
        <v>0.23341176470588237</v>
      </c>
      <c r="Q31">
        <f t="shared" si="5"/>
        <v>1.1746973572037512E-2</v>
      </c>
    </row>
    <row r="32" spans="1:26" x14ac:dyDescent="0.25">
      <c r="A32" s="10">
        <v>40771</v>
      </c>
      <c r="B32" s="1">
        <v>6</v>
      </c>
      <c r="C32">
        <v>400.7</v>
      </c>
      <c r="D32">
        <v>13.44</v>
      </c>
      <c r="E32" s="11">
        <f t="shared" si="0"/>
        <v>29.813988095238095</v>
      </c>
      <c r="F32" s="12">
        <v>193</v>
      </c>
      <c r="G32" s="11">
        <v>0.25979999999999998</v>
      </c>
      <c r="H32" s="11">
        <v>1.0975999999999999</v>
      </c>
      <c r="I32">
        <v>30</v>
      </c>
      <c r="J32">
        <f t="shared" si="6"/>
        <v>12.020999999999999</v>
      </c>
      <c r="K32">
        <f t="shared" si="7"/>
        <v>0.40319999999999995</v>
      </c>
      <c r="L32" s="13">
        <f t="shared" si="1"/>
        <v>0.23669825072886297</v>
      </c>
      <c r="M32" s="13"/>
      <c r="N32">
        <f t="shared" si="2"/>
        <v>77.335099999999997</v>
      </c>
      <c r="O32">
        <f t="shared" si="3"/>
        <v>2.5939199999999998</v>
      </c>
      <c r="P32">
        <f t="shared" si="4"/>
        <v>0.29767167051578142</v>
      </c>
      <c r="Q32">
        <f t="shared" si="5"/>
        <v>9.9842956120092391E-3</v>
      </c>
    </row>
    <row r="33" spans="1:17" x14ac:dyDescent="0.25">
      <c r="A33" s="10">
        <v>40771</v>
      </c>
      <c r="B33" s="1">
        <v>7</v>
      </c>
      <c r="C33">
        <v>259.39999999999998</v>
      </c>
      <c r="D33">
        <v>9.3940000000000001</v>
      </c>
      <c r="E33" s="11">
        <f t="shared" si="0"/>
        <v>27.613370236321053</v>
      </c>
      <c r="F33" s="12">
        <v>195</v>
      </c>
      <c r="G33" s="11">
        <v>0.24429999999999999</v>
      </c>
      <c r="H33" s="11">
        <v>1.0422</v>
      </c>
      <c r="I33">
        <v>30</v>
      </c>
      <c r="J33">
        <f t="shared" si="6"/>
        <v>7.7819999999999991</v>
      </c>
      <c r="K33">
        <f t="shared" si="7"/>
        <v>0.28182000000000001</v>
      </c>
      <c r="L33" s="13">
        <f t="shared" si="1"/>
        <v>0.23440798311264632</v>
      </c>
      <c r="M33" s="13"/>
      <c r="N33">
        <f t="shared" si="2"/>
        <v>50.582999999999998</v>
      </c>
      <c r="O33">
        <f t="shared" si="3"/>
        <v>1.8318300000000001</v>
      </c>
      <c r="P33">
        <f t="shared" si="4"/>
        <v>0.20705280392959474</v>
      </c>
      <c r="Q33">
        <f t="shared" si="5"/>
        <v>7.4982808022922643E-3</v>
      </c>
    </row>
    <row r="34" spans="1:17" x14ac:dyDescent="0.25">
      <c r="A34" s="10">
        <v>40771</v>
      </c>
      <c r="B34" s="1">
        <v>8</v>
      </c>
      <c r="C34">
        <v>323.3</v>
      </c>
      <c r="D34">
        <v>12.67</v>
      </c>
      <c r="E34" s="11">
        <f t="shared" si="0"/>
        <v>25.516969218626677</v>
      </c>
      <c r="F34" s="12">
        <v>194</v>
      </c>
      <c r="G34" s="11">
        <v>0.33539999999999998</v>
      </c>
      <c r="H34" s="11">
        <v>0.53910000000000002</v>
      </c>
      <c r="I34">
        <v>30</v>
      </c>
      <c r="J34">
        <f t="shared" si="6"/>
        <v>9.6989999999999998</v>
      </c>
      <c r="K34">
        <f t="shared" si="7"/>
        <v>0.38009999999999999</v>
      </c>
      <c r="L34" s="13">
        <f t="shared" si="1"/>
        <v>0.62214802448525308</v>
      </c>
      <c r="M34" s="13"/>
      <c r="N34">
        <f t="shared" si="2"/>
        <v>62.720200000000006</v>
      </c>
      <c r="O34">
        <f t="shared" si="3"/>
        <v>2.4579800000000001</v>
      </c>
      <c r="P34">
        <f t="shared" si="4"/>
        <v>0.1870011926058438</v>
      </c>
      <c r="Q34">
        <f t="shared" si="5"/>
        <v>7.3285032796660717E-3</v>
      </c>
    </row>
    <row r="35" spans="1:17" x14ac:dyDescent="0.25">
      <c r="A35" s="10">
        <v>40771</v>
      </c>
      <c r="B35" s="1">
        <v>9</v>
      </c>
      <c r="C35">
        <v>243.6</v>
      </c>
      <c r="D35">
        <v>12.44</v>
      </c>
      <c r="E35" s="11">
        <f t="shared" si="0"/>
        <v>19.581993569131832</v>
      </c>
      <c r="F35" s="12">
        <v>194</v>
      </c>
      <c r="G35" s="11">
        <v>0.25230000000000002</v>
      </c>
      <c r="H35" s="11">
        <v>0.73650000000000004</v>
      </c>
      <c r="I35">
        <v>30</v>
      </c>
      <c r="J35">
        <f t="shared" si="6"/>
        <v>7.3079999999999998</v>
      </c>
      <c r="K35">
        <f t="shared" si="7"/>
        <v>0.37319999999999998</v>
      </c>
      <c r="L35" s="13">
        <f t="shared" si="1"/>
        <v>0.34256619144602851</v>
      </c>
      <c r="M35" s="13"/>
      <c r="N35">
        <f t="shared" si="2"/>
        <v>47.258400000000002</v>
      </c>
      <c r="O35">
        <f t="shared" si="3"/>
        <v>2.4133599999999999</v>
      </c>
      <c r="P35">
        <f t="shared" si="4"/>
        <v>0.18731034482758618</v>
      </c>
      <c r="Q35">
        <f t="shared" si="5"/>
        <v>9.5654379706698357E-3</v>
      </c>
    </row>
    <row r="36" spans="1:17" x14ac:dyDescent="0.25">
      <c r="A36" s="10">
        <v>40771</v>
      </c>
      <c r="B36" s="1">
        <v>10</v>
      </c>
      <c r="C36">
        <v>721.9</v>
      </c>
      <c r="D36">
        <v>28.24</v>
      </c>
      <c r="E36" s="11">
        <f t="shared" si="0"/>
        <v>25.563031161473088</v>
      </c>
      <c r="F36" s="12">
        <v>188</v>
      </c>
      <c r="G36" s="11">
        <v>1.0931</v>
      </c>
      <c r="H36" s="11">
        <v>0.2742</v>
      </c>
      <c r="I36">
        <v>30</v>
      </c>
      <c r="J36">
        <f t="shared" si="6"/>
        <v>21.657</v>
      </c>
      <c r="K36">
        <f t="shared" si="7"/>
        <v>0.84719999999999995</v>
      </c>
      <c r="L36" s="13">
        <f t="shared" si="1"/>
        <v>3.9865061998541211</v>
      </c>
      <c r="M36" s="13"/>
      <c r="N36">
        <f t="shared" si="2"/>
        <v>135.71719999999999</v>
      </c>
      <c r="O36">
        <f t="shared" si="3"/>
        <v>5.3091200000000001</v>
      </c>
      <c r="P36">
        <f t="shared" si="4"/>
        <v>0.12415808251761046</v>
      </c>
      <c r="Q36">
        <f t="shared" si="5"/>
        <v>4.8569389808800654E-3</v>
      </c>
    </row>
    <row r="37" spans="1:17" x14ac:dyDescent="0.25">
      <c r="A37" s="10">
        <v>40771</v>
      </c>
      <c r="B37" s="1">
        <v>11</v>
      </c>
      <c r="C37">
        <v>711.7</v>
      </c>
      <c r="D37">
        <v>34.549999999999997</v>
      </c>
      <c r="E37" s="11">
        <f t="shared" si="0"/>
        <v>20.599131693198267</v>
      </c>
      <c r="F37" s="12">
        <v>186</v>
      </c>
      <c r="G37" s="11">
        <v>0.93369999999999997</v>
      </c>
      <c r="H37" s="11">
        <v>0.23849999999999999</v>
      </c>
      <c r="I37">
        <v>30</v>
      </c>
      <c r="J37">
        <f t="shared" si="6"/>
        <v>21.350999999999999</v>
      </c>
      <c r="K37">
        <f t="shared" si="7"/>
        <v>1.0365</v>
      </c>
      <c r="L37" s="13">
        <f t="shared" si="1"/>
        <v>3.9148846960167716</v>
      </c>
      <c r="M37" s="13"/>
      <c r="N37">
        <f t="shared" si="2"/>
        <v>132.37620000000001</v>
      </c>
      <c r="O37">
        <f t="shared" si="3"/>
        <v>6.4262999999999995</v>
      </c>
      <c r="P37">
        <f t="shared" si="4"/>
        <v>0.1417759451643997</v>
      </c>
      <c r="Q37">
        <f t="shared" si="5"/>
        <v>6.8826175431080643E-3</v>
      </c>
    </row>
    <row r="38" spans="1:17" x14ac:dyDescent="0.25">
      <c r="A38" s="10">
        <v>40771</v>
      </c>
      <c r="B38" s="1">
        <v>12</v>
      </c>
      <c r="C38">
        <v>510</v>
      </c>
      <c r="D38">
        <v>22.39</v>
      </c>
      <c r="E38" s="11">
        <f t="shared" si="0"/>
        <v>22.778025904421614</v>
      </c>
      <c r="F38" s="12">
        <v>188</v>
      </c>
      <c r="G38" s="11">
        <v>0.69199999999999995</v>
      </c>
      <c r="H38" s="11">
        <v>0.24529999999999999</v>
      </c>
      <c r="I38">
        <v>30</v>
      </c>
      <c r="J38">
        <f t="shared" si="6"/>
        <v>15.299999999999999</v>
      </c>
      <c r="K38">
        <f t="shared" si="7"/>
        <v>0.67169999999999996</v>
      </c>
      <c r="L38" s="13">
        <f t="shared" si="1"/>
        <v>2.8210354667753772</v>
      </c>
      <c r="M38" s="13"/>
      <c r="N38">
        <f t="shared" si="2"/>
        <v>95.88</v>
      </c>
      <c r="O38">
        <f t="shared" si="3"/>
        <v>4.20932</v>
      </c>
      <c r="P38">
        <f t="shared" si="4"/>
        <v>0.13855491329479769</v>
      </c>
      <c r="Q38">
        <f t="shared" si="5"/>
        <v>6.0828323699421965E-3</v>
      </c>
    </row>
    <row r="39" spans="1:17" x14ac:dyDescent="0.25">
      <c r="A39" s="10">
        <v>40785</v>
      </c>
      <c r="B39" s="1">
        <v>1</v>
      </c>
      <c r="C39">
        <v>438.7</v>
      </c>
      <c r="D39">
        <v>16.75</v>
      </c>
      <c r="E39" s="11">
        <f t="shared" si="0"/>
        <v>26.191044776119401</v>
      </c>
      <c r="F39" s="12">
        <v>186</v>
      </c>
      <c r="G39" s="11">
        <v>0.47899999999999998</v>
      </c>
      <c r="H39" s="11">
        <v>3.3969</v>
      </c>
      <c r="I39">
        <v>100</v>
      </c>
      <c r="J39">
        <f t="shared" si="6"/>
        <v>43.870000000000005</v>
      </c>
      <c r="K39">
        <f t="shared" si="7"/>
        <v>1.675</v>
      </c>
      <c r="L39" s="13">
        <f t="shared" si="1"/>
        <v>0.14101092172274721</v>
      </c>
      <c r="M39" s="13"/>
      <c r="N39">
        <f t="shared" si="2"/>
        <v>81.598199999999991</v>
      </c>
      <c r="O39">
        <f t="shared" si="3"/>
        <v>3.1154999999999999</v>
      </c>
      <c r="P39">
        <f t="shared" si="4"/>
        <v>0.17035114822546973</v>
      </c>
      <c r="Q39">
        <f t="shared" si="5"/>
        <v>6.5041753653444674E-3</v>
      </c>
    </row>
    <row r="40" spans="1:17" x14ac:dyDescent="0.25">
      <c r="A40" s="10">
        <v>40785</v>
      </c>
      <c r="B40" s="16">
        <v>2</v>
      </c>
      <c r="C40" t="s">
        <v>21</v>
      </c>
      <c r="D40" t="s">
        <v>21</v>
      </c>
      <c r="E40" s="11" t="e">
        <f t="shared" si="0"/>
        <v>#VALUE!</v>
      </c>
      <c r="F40" s="12">
        <v>196</v>
      </c>
      <c r="G40" s="11">
        <v>0.27300000000000002</v>
      </c>
      <c r="H40" s="11">
        <v>1.5876999999999999</v>
      </c>
      <c r="I40" t="s">
        <v>21</v>
      </c>
      <c r="L40" s="13">
        <f t="shared" si="1"/>
        <v>0.17194684134282298</v>
      </c>
      <c r="M40" s="13"/>
      <c r="N40" s="17" t="e">
        <f t="shared" si="2"/>
        <v>#VALUE!</v>
      </c>
      <c r="O40" s="17" t="e">
        <f t="shared" si="3"/>
        <v>#VALUE!</v>
      </c>
      <c r="P40" s="17" t="e">
        <f t="shared" si="4"/>
        <v>#VALUE!</v>
      </c>
      <c r="Q40" s="17" t="e">
        <f t="shared" si="5"/>
        <v>#VALUE!</v>
      </c>
    </row>
    <row r="41" spans="1:17" x14ac:dyDescent="0.25">
      <c r="A41" s="10">
        <v>40785</v>
      </c>
      <c r="B41" s="16">
        <v>3</v>
      </c>
      <c r="C41">
        <v>259.7</v>
      </c>
      <c r="D41">
        <v>10.39</v>
      </c>
      <c r="E41" s="11">
        <f t="shared" si="0"/>
        <v>24.995187680461981</v>
      </c>
      <c r="F41" s="18" t="e">
        <f>NA()</f>
        <v>#N/A</v>
      </c>
      <c r="G41" s="11">
        <v>0.34250000000000003</v>
      </c>
      <c r="H41" s="11">
        <v>1.2050000000000001</v>
      </c>
      <c r="I41">
        <v>100</v>
      </c>
      <c r="J41">
        <f t="shared" si="6"/>
        <v>25.97</v>
      </c>
      <c r="K41">
        <f t="shared" si="7"/>
        <v>1.0390000000000001</v>
      </c>
      <c r="L41" s="13">
        <f t="shared" si="1"/>
        <v>0.28423236514522821</v>
      </c>
      <c r="M41" s="13"/>
      <c r="N41" s="17" t="e">
        <f t="shared" si="2"/>
        <v>#N/A</v>
      </c>
      <c r="O41" s="17" t="e">
        <f t="shared" si="3"/>
        <v>#N/A</v>
      </c>
      <c r="P41" s="17" t="e">
        <f t="shared" si="4"/>
        <v>#N/A</v>
      </c>
      <c r="Q41" s="17" t="e">
        <f t="shared" si="5"/>
        <v>#N/A</v>
      </c>
    </row>
    <row r="42" spans="1:17" x14ac:dyDescent="0.25">
      <c r="A42" s="10">
        <v>40785</v>
      </c>
      <c r="B42" s="1">
        <v>4</v>
      </c>
      <c r="C42">
        <v>366.7</v>
      </c>
      <c r="D42">
        <v>17.55</v>
      </c>
      <c r="E42" s="11">
        <f t="shared" si="0"/>
        <v>20.894586894586894</v>
      </c>
      <c r="F42" s="12">
        <v>214</v>
      </c>
      <c r="G42" s="11">
        <v>0.38030000000000003</v>
      </c>
      <c r="H42" s="11">
        <v>1.1117999999999999</v>
      </c>
      <c r="I42">
        <v>100</v>
      </c>
      <c r="J42">
        <f t="shared" si="6"/>
        <v>36.67</v>
      </c>
      <c r="K42">
        <f t="shared" si="7"/>
        <v>1.7550000000000001</v>
      </c>
      <c r="L42" s="13">
        <f t="shared" si="1"/>
        <v>0.34205792408706609</v>
      </c>
      <c r="M42" s="13"/>
      <c r="N42">
        <f t="shared" si="2"/>
        <v>78.473799999999997</v>
      </c>
      <c r="O42">
        <f t="shared" si="3"/>
        <v>3.7557</v>
      </c>
      <c r="P42">
        <f t="shared" si="4"/>
        <v>0.20634709439915855</v>
      </c>
      <c r="Q42">
        <f t="shared" si="5"/>
        <v>9.8756245069681822E-3</v>
      </c>
    </row>
    <row r="43" spans="1:17" x14ac:dyDescent="0.25">
      <c r="A43" s="10">
        <v>40785</v>
      </c>
      <c r="B43" s="1">
        <v>5</v>
      </c>
      <c r="C43">
        <v>451.1</v>
      </c>
      <c r="D43">
        <v>18.27</v>
      </c>
      <c r="E43" s="11">
        <f t="shared" si="0"/>
        <v>24.690749863163656</v>
      </c>
      <c r="F43" s="12">
        <v>198</v>
      </c>
      <c r="G43" s="11">
        <v>0.4148</v>
      </c>
      <c r="H43" s="11">
        <v>1.6002000000000001</v>
      </c>
      <c r="I43">
        <v>100</v>
      </c>
      <c r="J43">
        <f t="shared" si="6"/>
        <v>45.110000000000007</v>
      </c>
      <c r="K43">
        <f t="shared" si="7"/>
        <v>1.827</v>
      </c>
      <c r="L43" s="13">
        <f t="shared" si="1"/>
        <v>0.25921759780027498</v>
      </c>
      <c r="M43" s="13"/>
      <c r="N43">
        <f t="shared" si="2"/>
        <v>89.317800000000005</v>
      </c>
      <c r="O43">
        <f t="shared" si="3"/>
        <v>3.6174599999999999</v>
      </c>
      <c r="P43">
        <f t="shared" si="4"/>
        <v>0.21532738669238188</v>
      </c>
      <c r="Q43">
        <f t="shared" si="5"/>
        <v>8.7209739633558343E-3</v>
      </c>
    </row>
    <row r="44" spans="1:17" x14ac:dyDescent="0.25">
      <c r="A44" s="10">
        <v>40785</v>
      </c>
      <c r="B44" s="1">
        <v>6</v>
      </c>
      <c r="C44">
        <v>245.6</v>
      </c>
      <c r="D44">
        <v>12.12</v>
      </c>
      <c r="E44" s="11">
        <f t="shared" si="0"/>
        <v>20.264026402640265</v>
      </c>
      <c r="F44" s="12">
        <v>190</v>
      </c>
      <c r="G44" s="11">
        <v>0.40100000000000002</v>
      </c>
      <c r="H44" s="11">
        <v>1.306</v>
      </c>
      <c r="I44">
        <v>100</v>
      </c>
      <c r="J44">
        <f t="shared" si="6"/>
        <v>24.560000000000002</v>
      </c>
      <c r="K44">
        <f t="shared" si="7"/>
        <v>1.212</v>
      </c>
      <c r="L44" s="13">
        <f t="shared" si="1"/>
        <v>0.30704441041347624</v>
      </c>
      <c r="M44" s="13"/>
      <c r="N44">
        <f t="shared" si="2"/>
        <v>46.664000000000001</v>
      </c>
      <c r="O44">
        <f t="shared" si="3"/>
        <v>2.3028</v>
      </c>
      <c r="P44">
        <f t="shared" si="4"/>
        <v>0.11636907730673317</v>
      </c>
      <c r="Q44">
        <f t="shared" si="5"/>
        <v>5.7426433915211961E-3</v>
      </c>
    </row>
    <row r="45" spans="1:17" x14ac:dyDescent="0.25">
      <c r="A45" s="10">
        <v>40785</v>
      </c>
      <c r="B45" s="1">
        <v>7</v>
      </c>
      <c r="C45">
        <v>347.7</v>
      </c>
      <c r="D45">
        <v>15.1</v>
      </c>
      <c r="E45" s="11">
        <f t="shared" si="0"/>
        <v>23.026490066225165</v>
      </c>
      <c r="F45" s="12">
        <v>195</v>
      </c>
      <c r="G45" s="11">
        <v>0.40300000000000002</v>
      </c>
      <c r="H45" s="11">
        <v>1.6201000000000001</v>
      </c>
      <c r="I45">
        <v>100</v>
      </c>
      <c r="J45">
        <f t="shared" si="6"/>
        <v>34.770000000000003</v>
      </c>
      <c r="K45">
        <f t="shared" si="7"/>
        <v>1.51</v>
      </c>
      <c r="L45" s="13">
        <f t="shared" si="1"/>
        <v>0.24875007715573114</v>
      </c>
      <c r="M45" s="13"/>
      <c r="N45">
        <f t="shared" si="2"/>
        <v>67.801500000000004</v>
      </c>
      <c r="O45">
        <f t="shared" si="3"/>
        <v>2.9445000000000001</v>
      </c>
      <c r="P45">
        <f t="shared" si="4"/>
        <v>0.16824193548387095</v>
      </c>
      <c r="Q45">
        <f t="shared" si="5"/>
        <v>7.3064516129032258E-3</v>
      </c>
    </row>
    <row r="46" spans="1:17" x14ac:dyDescent="0.25">
      <c r="A46" s="10">
        <v>40785</v>
      </c>
      <c r="B46" s="1">
        <v>8</v>
      </c>
      <c r="C46">
        <v>446.6</v>
      </c>
      <c r="D46">
        <v>16.079999999999998</v>
      </c>
      <c r="E46" s="11">
        <f t="shared" si="0"/>
        <v>27.773631840796025</v>
      </c>
      <c r="F46" s="12">
        <v>194</v>
      </c>
      <c r="G46" s="11">
        <v>0.39290000000000003</v>
      </c>
      <c r="H46" s="11">
        <v>0.56679999999999997</v>
      </c>
      <c r="I46">
        <v>100</v>
      </c>
      <c r="J46">
        <f t="shared" si="6"/>
        <v>44.660000000000004</v>
      </c>
      <c r="K46">
        <f t="shared" si="7"/>
        <v>1.6079999999999999</v>
      </c>
      <c r="L46" s="13">
        <f t="shared" si="1"/>
        <v>0.69318983768525066</v>
      </c>
      <c r="M46" s="13"/>
      <c r="N46">
        <f t="shared" si="2"/>
        <v>86.640400000000014</v>
      </c>
      <c r="O46">
        <f t="shared" si="3"/>
        <v>3.1195199999999996</v>
      </c>
      <c r="P46">
        <f t="shared" si="4"/>
        <v>0.22051514380249432</v>
      </c>
      <c r="Q46">
        <f t="shared" si="5"/>
        <v>7.93973021124968E-3</v>
      </c>
    </row>
    <row r="47" spans="1:17" x14ac:dyDescent="0.25">
      <c r="A47" s="10">
        <v>40785</v>
      </c>
      <c r="B47" s="1">
        <v>9</v>
      </c>
      <c r="C47">
        <v>277.7</v>
      </c>
      <c r="D47">
        <v>14.98</v>
      </c>
      <c r="E47" s="11">
        <f t="shared" si="0"/>
        <v>18.538050734312414</v>
      </c>
      <c r="F47" s="12">
        <v>192</v>
      </c>
      <c r="G47" s="11">
        <v>0.32340000000000002</v>
      </c>
      <c r="H47" s="11">
        <v>1.0481</v>
      </c>
      <c r="I47">
        <v>100</v>
      </c>
      <c r="J47">
        <f t="shared" si="6"/>
        <v>27.77</v>
      </c>
      <c r="K47">
        <f t="shared" si="7"/>
        <v>1.4980000000000002</v>
      </c>
      <c r="L47" s="13">
        <f t="shared" si="1"/>
        <v>0.30855834366949719</v>
      </c>
      <c r="M47" s="13"/>
      <c r="N47">
        <f t="shared" si="2"/>
        <v>53.318399999999997</v>
      </c>
      <c r="O47">
        <f t="shared" si="3"/>
        <v>2.87616</v>
      </c>
      <c r="P47">
        <f t="shared" si="4"/>
        <v>0.16486827458256026</v>
      </c>
      <c r="Q47">
        <f t="shared" si="5"/>
        <v>8.8935064935064933E-3</v>
      </c>
    </row>
    <row r="48" spans="1:17" x14ac:dyDescent="0.25">
      <c r="A48" s="10">
        <v>40785</v>
      </c>
      <c r="B48" s="1">
        <v>10</v>
      </c>
      <c r="C48">
        <v>448.5</v>
      </c>
      <c r="D48">
        <v>18.59</v>
      </c>
      <c r="E48" s="11">
        <f t="shared" si="0"/>
        <v>24.125874125874127</v>
      </c>
      <c r="F48" s="12">
        <v>197</v>
      </c>
      <c r="G48" s="11">
        <v>0.55469999999999997</v>
      </c>
      <c r="H48" s="11">
        <v>0.67279999999999995</v>
      </c>
      <c r="I48">
        <v>100</v>
      </c>
      <c r="J48">
        <f t="shared" si="6"/>
        <v>44.85</v>
      </c>
      <c r="K48">
        <f t="shared" si="7"/>
        <v>1.859</v>
      </c>
      <c r="L48" s="13">
        <f t="shared" si="1"/>
        <v>0.82446492271105831</v>
      </c>
      <c r="M48" s="13"/>
      <c r="N48">
        <f t="shared" si="2"/>
        <v>88.354500000000002</v>
      </c>
      <c r="O48">
        <f t="shared" si="3"/>
        <v>3.6622300000000001</v>
      </c>
      <c r="P48">
        <f t="shared" si="4"/>
        <v>0.15928339643050299</v>
      </c>
      <c r="Q48">
        <f t="shared" si="5"/>
        <v>6.6021813592933125E-3</v>
      </c>
    </row>
    <row r="49" spans="1:17" x14ac:dyDescent="0.25">
      <c r="A49" s="10">
        <v>40785</v>
      </c>
      <c r="B49" s="1">
        <v>11</v>
      </c>
      <c r="C49">
        <v>307.60000000000002</v>
      </c>
      <c r="D49">
        <v>15.47</v>
      </c>
      <c r="E49" s="11">
        <f t="shared" si="0"/>
        <v>19.883645765998708</v>
      </c>
      <c r="F49" s="12">
        <v>198</v>
      </c>
      <c r="G49" s="11">
        <v>0.77390000000000003</v>
      </c>
      <c r="H49" s="11">
        <v>0.53159999999999996</v>
      </c>
      <c r="I49">
        <v>100</v>
      </c>
      <c r="J49">
        <f t="shared" si="6"/>
        <v>30.760000000000005</v>
      </c>
      <c r="K49">
        <f t="shared" si="7"/>
        <v>1.5470000000000002</v>
      </c>
      <c r="L49" s="13">
        <f t="shared" si="1"/>
        <v>1.455793829947329</v>
      </c>
      <c r="M49" s="13"/>
      <c r="N49">
        <f t="shared" si="2"/>
        <v>60.904800000000009</v>
      </c>
      <c r="O49">
        <f t="shared" si="3"/>
        <v>3.0630600000000001</v>
      </c>
      <c r="P49">
        <f t="shared" si="4"/>
        <v>7.8698539863031408E-2</v>
      </c>
      <c r="Q49">
        <f t="shared" si="5"/>
        <v>3.9579532239307404E-3</v>
      </c>
    </row>
    <row r="50" spans="1:17" x14ac:dyDescent="0.25">
      <c r="A50" s="10">
        <v>40785</v>
      </c>
      <c r="B50" s="1">
        <v>12</v>
      </c>
      <c r="C50">
        <v>378.1</v>
      </c>
      <c r="D50">
        <v>16.54</v>
      </c>
      <c r="E50" s="11">
        <f t="shared" si="0"/>
        <v>22.859733978234587</v>
      </c>
      <c r="F50" s="12">
        <v>196</v>
      </c>
      <c r="G50" s="11">
        <v>0.48849999999999999</v>
      </c>
      <c r="H50" s="11">
        <v>0.40949999999999998</v>
      </c>
      <c r="I50">
        <v>100</v>
      </c>
      <c r="J50">
        <f t="shared" si="6"/>
        <v>37.81</v>
      </c>
      <c r="K50">
        <f t="shared" si="7"/>
        <v>1.6539999999999999</v>
      </c>
      <c r="L50" s="13">
        <f t="shared" si="1"/>
        <v>1.1929181929181929</v>
      </c>
      <c r="M50" s="13"/>
      <c r="N50">
        <f t="shared" si="2"/>
        <v>74.107600000000005</v>
      </c>
      <c r="O50">
        <f t="shared" si="3"/>
        <v>3.2418399999999998</v>
      </c>
      <c r="P50">
        <f t="shared" si="4"/>
        <v>0.15170440122824977</v>
      </c>
      <c r="Q50">
        <f t="shared" si="5"/>
        <v>6.636315250767656E-3</v>
      </c>
    </row>
    <row r="51" spans="1:17" x14ac:dyDescent="0.25">
      <c r="D51" t="s">
        <v>22</v>
      </c>
      <c r="E51">
        <f>AVERAGE(E3:E39,E41:E50)</f>
        <v>23.93361910229056</v>
      </c>
      <c r="I51">
        <f>SUM(I15:I50)</f>
        <v>2900</v>
      </c>
      <c r="J51">
        <f>SUM(J15:J50)</f>
        <v>1491.7249999999995</v>
      </c>
      <c r="K51">
        <f>SUM(K15:K50)</f>
        <v>63.66728999999998</v>
      </c>
    </row>
    <row r="52" spans="1:17" x14ac:dyDescent="0.25">
      <c r="J52">
        <f>J51/(I51/1000)</f>
        <v>514.38793103448256</v>
      </c>
      <c r="K52">
        <f>K51/(I51/1000)</f>
        <v>21.954237931034477</v>
      </c>
      <c r="L52" t="s">
        <v>23</v>
      </c>
    </row>
    <row r="53" spans="1:17" x14ac:dyDescent="0.25">
      <c r="J53">
        <f>J52/1000</f>
        <v>0.51438793103448255</v>
      </c>
      <c r="K53">
        <f>K52/1000</f>
        <v>2.1954237931034477E-2</v>
      </c>
      <c r="L53" t="s">
        <v>24</v>
      </c>
    </row>
    <row r="54" spans="1:17" x14ac:dyDescent="0.25">
      <c r="J54">
        <f>J53/12.011</f>
        <v>4.2826403383105699E-2</v>
      </c>
      <c r="K54">
        <f>K53/14.007</f>
        <v>1.567376164134681E-3</v>
      </c>
      <c r="L54" t="s">
        <v>25</v>
      </c>
    </row>
  </sheetData>
  <mergeCells count="18">
    <mergeCell ref="X19:Z19"/>
    <mergeCell ref="S22:U22"/>
    <mergeCell ref="X22:Z22"/>
    <mergeCell ref="P1:P2"/>
    <mergeCell ref="Q1:Q2"/>
    <mergeCell ref="R1:R2"/>
    <mergeCell ref="S14:U14"/>
    <mergeCell ref="S19:U19"/>
    <mergeCell ref="G1:G2"/>
    <mergeCell ref="H1:H2"/>
    <mergeCell ref="L1:L2"/>
    <mergeCell ref="N1:N2"/>
    <mergeCell ref="O1:O2"/>
    <mergeCell ref="A1:B1"/>
    <mergeCell ref="C1:C2"/>
    <mergeCell ref="D1:D2"/>
    <mergeCell ref="E1:E2"/>
    <mergeCell ref="F1:F2"/>
  </mergeCells>
  <conditionalFormatting sqref="E3:E50">
    <cfRule type="cellIs" dxfId="4" priority="2" operator="lessThan">
      <formula>1</formula>
    </cfRule>
    <cfRule type="cellIs" dxfId="3" priority="3" operator="greaterThanOrEqual">
      <formula>1</formula>
    </cfRule>
  </conditionalFormatting>
  <conditionalFormatting sqref="L3:M50">
    <cfRule type="cellIs" dxfId="2" priority="4" operator="lessThan">
      <formula>1</formula>
    </cfRule>
    <cfRule type="cellIs" dxfId="1" priority="5" operator="greaterThan">
      <formula>1</formula>
    </cfRule>
    <cfRule type="cellIs" dxfId="0" priority="6" operator="equal">
      <formula>1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C5" zoomScaleNormal="100" zoomScalePageLayoutView="400" workbookViewId="0">
      <selection activeCell="C5" sqref="C5"/>
    </sheetView>
  </sheetViews>
  <sheetFormatPr defaultColWidth="8.85546875" defaultRowHeight="15" x14ac:dyDescent="0.25"/>
  <cols>
    <col min="1" max="1" width="7.140625" bestFit="1" customWidth="1"/>
    <col min="2" max="2" width="10.42578125" bestFit="1" customWidth="1"/>
    <col min="3" max="3" width="7.140625" bestFit="1" customWidth="1"/>
    <col min="12" max="12" width="10" bestFit="1" customWidth="1"/>
    <col min="13" max="13" width="11.28515625" bestFit="1" customWidth="1"/>
  </cols>
  <sheetData>
    <row r="1" spans="1:17" ht="18.75" x14ac:dyDescent="0.3">
      <c r="A1" s="32" t="s">
        <v>26</v>
      </c>
      <c r="B1" s="32" t="s">
        <v>27</v>
      </c>
      <c r="C1" s="32" t="s">
        <v>28</v>
      </c>
      <c r="D1" s="28"/>
      <c r="E1" s="29"/>
      <c r="F1" s="30"/>
      <c r="G1" s="30"/>
      <c r="K1" s="21"/>
      <c r="O1" s="21"/>
    </row>
    <row r="2" spans="1:17" ht="15.75" x14ac:dyDescent="0.25">
      <c r="A2" s="22" t="s">
        <v>29</v>
      </c>
      <c r="B2" s="22" t="s">
        <v>30</v>
      </c>
      <c r="C2" s="22" t="s">
        <v>31</v>
      </c>
      <c r="D2" s="30"/>
      <c r="E2" s="28"/>
      <c r="F2" s="28"/>
      <c r="G2" s="28"/>
      <c r="I2" s="19"/>
      <c r="O2" s="20"/>
      <c r="P2" s="20"/>
      <c r="Q2" s="20"/>
    </row>
    <row r="3" spans="1:17" ht="15.75" x14ac:dyDescent="0.25">
      <c r="A3" s="23" t="s">
        <v>32</v>
      </c>
      <c r="B3" s="23" t="s">
        <v>30</v>
      </c>
      <c r="C3" s="23" t="s">
        <v>31</v>
      </c>
      <c r="D3" s="30"/>
      <c r="E3" s="27"/>
      <c r="F3" s="27"/>
      <c r="G3" s="27"/>
    </row>
    <row r="4" spans="1:17" ht="15.75" x14ac:dyDescent="0.25">
      <c r="A4" s="22" t="s">
        <v>33</v>
      </c>
      <c r="B4" s="22" t="s">
        <v>34</v>
      </c>
      <c r="C4" s="22" t="s">
        <v>31</v>
      </c>
      <c r="D4" s="30"/>
      <c r="E4" s="27"/>
      <c r="F4" s="27"/>
      <c r="G4" s="27"/>
    </row>
    <row r="5" spans="1:17" ht="15.75" x14ac:dyDescent="0.25">
      <c r="A5" s="23" t="s">
        <v>35</v>
      </c>
      <c r="B5" s="23" t="s">
        <v>36</v>
      </c>
      <c r="C5" s="23" t="s">
        <v>31</v>
      </c>
      <c r="D5" s="30"/>
      <c r="E5" s="27"/>
      <c r="F5" s="27"/>
      <c r="G5" s="27"/>
    </row>
    <row r="6" spans="1:17" ht="15.75" x14ac:dyDescent="0.25">
      <c r="A6" s="22" t="s">
        <v>37</v>
      </c>
      <c r="B6" s="22" t="s">
        <v>38</v>
      </c>
      <c r="C6" s="22" t="s">
        <v>39</v>
      </c>
      <c r="D6" s="30"/>
      <c r="E6" s="27"/>
      <c r="F6" s="27"/>
      <c r="G6" s="27"/>
    </row>
    <row r="7" spans="1:17" ht="15.75" x14ac:dyDescent="0.25">
      <c r="A7" s="23" t="s">
        <v>40</v>
      </c>
      <c r="B7" s="23" t="s">
        <v>38</v>
      </c>
      <c r="C7" s="23" t="s">
        <v>39</v>
      </c>
      <c r="D7" s="30"/>
      <c r="E7" s="27"/>
      <c r="F7" s="27"/>
      <c r="G7" s="27"/>
    </row>
    <row r="8" spans="1:17" ht="15.75" x14ac:dyDescent="0.25">
      <c r="A8" s="22" t="s">
        <v>41</v>
      </c>
      <c r="B8" s="22" t="s">
        <v>42</v>
      </c>
      <c r="C8" s="22" t="s">
        <v>39</v>
      </c>
      <c r="D8" s="30"/>
      <c r="E8" s="27"/>
      <c r="F8" s="27"/>
      <c r="G8" s="27"/>
    </row>
    <row r="9" spans="1:17" ht="15.75" x14ac:dyDescent="0.25">
      <c r="A9" s="23" t="s">
        <v>43</v>
      </c>
      <c r="B9" s="23" t="s">
        <v>44</v>
      </c>
      <c r="C9" s="23" t="s">
        <v>31</v>
      </c>
      <c r="D9" s="30"/>
      <c r="E9" s="27"/>
      <c r="F9" s="27"/>
      <c r="G9" s="27"/>
    </row>
    <row r="10" spans="1:17" ht="15.75" x14ac:dyDescent="0.25">
      <c r="A10" s="22" t="s">
        <v>45</v>
      </c>
      <c r="B10" s="22" t="s">
        <v>46</v>
      </c>
      <c r="C10" s="22" t="s">
        <v>39</v>
      </c>
      <c r="D10" s="30"/>
      <c r="E10" s="27"/>
      <c r="F10" s="27"/>
      <c r="G10" s="27"/>
    </row>
    <row r="11" spans="1:17" ht="15.75" x14ac:dyDescent="0.25">
      <c r="A11" s="23" t="s">
        <v>47</v>
      </c>
      <c r="B11" s="23" t="s">
        <v>48</v>
      </c>
      <c r="C11" s="23" t="s">
        <v>31</v>
      </c>
      <c r="D11" s="30"/>
      <c r="E11" s="27"/>
      <c r="F11" s="27"/>
      <c r="G11" s="27"/>
    </row>
    <row r="12" spans="1:17" ht="15.75" x14ac:dyDescent="0.25">
      <c r="A12" s="22" t="s">
        <v>49</v>
      </c>
      <c r="B12" s="22" t="s">
        <v>46</v>
      </c>
      <c r="C12" s="22" t="s">
        <v>31</v>
      </c>
      <c r="D12" s="30"/>
      <c r="E12" s="27"/>
      <c r="F12" s="27"/>
      <c r="G12" s="27"/>
    </row>
    <row r="13" spans="1:17" ht="15.75" x14ac:dyDescent="0.25">
      <c r="A13" s="23" t="s">
        <v>50</v>
      </c>
      <c r="B13" s="23" t="s">
        <v>34</v>
      </c>
      <c r="C13" s="23" t="s">
        <v>31</v>
      </c>
      <c r="D13" s="30"/>
      <c r="E13" s="27"/>
      <c r="F13" s="27"/>
      <c r="G13" s="27"/>
    </row>
    <row r="14" spans="1:17" ht="15.75" x14ac:dyDescent="0.25">
      <c r="A14" s="22" t="s">
        <v>51</v>
      </c>
      <c r="B14" s="22" t="s">
        <v>34</v>
      </c>
      <c r="C14" s="22" t="s">
        <v>39</v>
      </c>
      <c r="D14" s="30"/>
      <c r="E14" s="27"/>
      <c r="F14" s="27"/>
      <c r="G14" s="27"/>
    </row>
    <row r="15" spans="1:17" ht="15.75" x14ac:dyDescent="0.25">
      <c r="A15" s="23" t="s">
        <v>52</v>
      </c>
      <c r="B15" s="23" t="s">
        <v>53</v>
      </c>
      <c r="C15" s="23" t="s">
        <v>31</v>
      </c>
      <c r="D15" s="30"/>
      <c r="E15" s="27"/>
      <c r="F15" s="27"/>
      <c r="G15" s="27"/>
    </row>
    <row r="16" spans="1:17" ht="15.75" x14ac:dyDescent="0.25">
      <c r="A16" s="22" t="s">
        <v>54</v>
      </c>
      <c r="B16" s="22" t="s">
        <v>46</v>
      </c>
      <c r="C16" s="22" t="s">
        <v>31</v>
      </c>
      <c r="D16" s="30"/>
      <c r="E16" s="27"/>
      <c r="F16" s="27"/>
      <c r="G16" s="27"/>
    </row>
    <row r="17" spans="1:9" ht="15.75" x14ac:dyDescent="0.25">
      <c r="A17" s="23" t="s">
        <v>55</v>
      </c>
      <c r="B17" s="23" t="s">
        <v>36</v>
      </c>
      <c r="C17" s="23" t="s">
        <v>39</v>
      </c>
      <c r="D17" s="30"/>
      <c r="E17" s="27"/>
      <c r="F17" s="27"/>
      <c r="G17" s="27"/>
    </row>
    <row r="18" spans="1:9" ht="15.75" x14ac:dyDescent="0.25">
      <c r="A18" s="22" t="s">
        <v>56</v>
      </c>
      <c r="B18" s="22" t="s">
        <v>44</v>
      </c>
      <c r="C18" s="22" t="s">
        <v>39</v>
      </c>
      <c r="D18" s="30"/>
      <c r="E18" s="27"/>
      <c r="F18" s="27"/>
      <c r="G18" s="27"/>
    </row>
    <row r="19" spans="1:9" ht="15.75" x14ac:dyDescent="0.25">
      <c r="A19" s="23" t="s">
        <v>57</v>
      </c>
      <c r="B19" s="23" t="s">
        <v>44</v>
      </c>
      <c r="C19" s="23" t="s">
        <v>31</v>
      </c>
      <c r="D19" s="30"/>
      <c r="E19" s="27"/>
      <c r="F19" s="27"/>
      <c r="G19" s="27"/>
    </row>
    <row r="20" spans="1:9" ht="15.75" x14ac:dyDescent="0.25">
      <c r="A20" s="22" t="s">
        <v>58</v>
      </c>
      <c r="B20" s="22" t="s">
        <v>36</v>
      </c>
      <c r="C20" s="22" t="s">
        <v>31</v>
      </c>
      <c r="D20" s="30"/>
      <c r="E20" s="27"/>
      <c r="F20" s="27"/>
      <c r="G20" s="27"/>
    </row>
    <row r="21" spans="1:9" ht="15.75" x14ac:dyDescent="0.25">
      <c r="A21" s="23" t="s">
        <v>59</v>
      </c>
      <c r="B21" s="23" t="s">
        <v>60</v>
      </c>
      <c r="C21" s="23" t="s">
        <v>31</v>
      </c>
      <c r="D21" s="30"/>
      <c r="E21" s="27"/>
      <c r="F21" s="27"/>
      <c r="G21" s="27"/>
    </row>
    <row r="22" spans="1:9" ht="15.75" x14ac:dyDescent="0.25">
      <c r="A22" s="22" t="s">
        <v>61</v>
      </c>
      <c r="B22" s="22" t="s">
        <v>60</v>
      </c>
      <c r="C22" s="22" t="s">
        <v>39</v>
      </c>
      <c r="D22" s="30"/>
      <c r="E22" s="27"/>
      <c r="F22" s="27"/>
      <c r="G22" s="27"/>
    </row>
    <row r="23" spans="1:9" ht="15.75" x14ac:dyDescent="0.25">
      <c r="A23" s="23" t="s">
        <v>62</v>
      </c>
      <c r="B23" s="23" t="s">
        <v>42</v>
      </c>
      <c r="C23" s="23" t="s">
        <v>31</v>
      </c>
      <c r="D23" s="30"/>
      <c r="E23" s="27"/>
      <c r="F23" s="27"/>
      <c r="G23" s="27"/>
    </row>
    <row r="24" spans="1:9" ht="15.75" x14ac:dyDescent="0.25">
      <c r="A24" s="22" t="s">
        <v>63</v>
      </c>
      <c r="B24" s="22" t="s">
        <v>36</v>
      </c>
      <c r="C24" s="22" t="s">
        <v>39</v>
      </c>
      <c r="D24" s="30"/>
      <c r="E24" s="27"/>
      <c r="F24" s="27"/>
      <c r="G24" s="27"/>
    </row>
    <row r="25" spans="1:9" ht="15.75" x14ac:dyDescent="0.25">
      <c r="A25" s="23" t="s">
        <v>64</v>
      </c>
      <c r="B25" s="23" t="s">
        <v>38</v>
      </c>
      <c r="C25" s="23" t="s">
        <v>39</v>
      </c>
      <c r="D25" s="30"/>
      <c r="E25" s="27"/>
      <c r="F25" s="27"/>
      <c r="G25" s="27"/>
      <c r="I25" s="24"/>
    </row>
    <row r="26" spans="1:9" ht="15.75" x14ac:dyDescent="0.25">
      <c r="A26" s="22" t="s">
        <v>65</v>
      </c>
      <c r="B26" s="22" t="s">
        <v>66</v>
      </c>
      <c r="C26" s="22" t="s">
        <v>39</v>
      </c>
      <c r="D26" s="30"/>
      <c r="E26" s="27"/>
      <c r="F26" s="27"/>
      <c r="G26" s="27"/>
    </row>
    <row r="27" spans="1:9" ht="15.75" x14ac:dyDescent="0.25">
      <c r="A27" s="23" t="s">
        <v>67</v>
      </c>
      <c r="B27" s="23" t="s">
        <v>66</v>
      </c>
      <c r="C27" s="23" t="s">
        <v>31</v>
      </c>
      <c r="D27" s="30"/>
      <c r="E27" s="27"/>
      <c r="F27" s="27"/>
      <c r="G27" s="27"/>
    </row>
    <row r="28" spans="1:9" ht="15.75" x14ac:dyDescent="0.25">
      <c r="A28" s="22" t="s">
        <v>68</v>
      </c>
      <c r="B28" s="22" t="s">
        <v>69</v>
      </c>
      <c r="C28" s="22" t="s">
        <v>39</v>
      </c>
      <c r="D28" s="30"/>
      <c r="E28" s="27"/>
      <c r="F28" s="27"/>
      <c r="G28" s="27"/>
    </row>
    <row r="29" spans="1:9" ht="15.75" x14ac:dyDescent="0.25">
      <c r="A29" s="23" t="s">
        <v>70</v>
      </c>
      <c r="B29" s="23" t="s">
        <v>38</v>
      </c>
      <c r="C29" s="23" t="s">
        <v>39</v>
      </c>
      <c r="D29" s="30"/>
      <c r="E29" s="27"/>
      <c r="F29" s="27"/>
      <c r="G29" s="27"/>
    </row>
    <row r="30" spans="1:9" ht="15.75" x14ac:dyDescent="0.25">
      <c r="A30" s="22" t="s">
        <v>71</v>
      </c>
      <c r="B30" s="22" t="s">
        <v>46</v>
      </c>
      <c r="C30" s="22" t="s">
        <v>31</v>
      </c>
      <c r="D30" s="30"/>
      <c r="E30" s="27"/>
      <c r="F30" s="27"/>
      <c r="G30" s="27"/>
    </row>
    <row r="31" spans="1:9" ht="15.75" x14ac:dyDescent="0.25">
      <c r="A31" s="23" t="s">
        <v>72</v>
      </c>
      <c r="B31" s="23" t="s">
        <v>69</v>
      </c>
      <c r="C31" s="23" t="s">
        <v>31</v>
      </c>
      <c r="D31" s="30"/>
      <c r="E31" s="27"/>
      <c r="F31" s="27"/>
      <c r="G31" s="27"/>
    </row>
    <row r="32" spans="1:9" ht="15.75" x14ac:dyDescent="0.25">
      <c r="A32" s="22" t="s">
        <v>73</v>
      </c>
      <c r="B32" s="22" t="s">
        <v>66</v>
      </c>
      <c r="C32" s="22" t="s">
        <v>39</v>
      </c>
      <c r="D32" s="30"/>
      <c r="E32" s="27"/>
      <c r="F32" s="27"/>
      <c r="G32" s="27"/>
    </row>
    <row r="33" spans="1:7" ht="15.75" x14ac:dyDescent="0.25">
      <c r="A33" s="23" t="s">
        <v>74</v>
      </c>
      <c r="B33" s="23" t="s">
        <v>69</v>
      </c>
      <c r="C33" s="23" t="s">
        <v>31</v>
      </c>
      <c r="D33" s="30"/>
      <c r="E33" s="27"/>
      <c r="F33" s="27"/>
      <c r="G33" s="27"/>
    </row>
    <row r="34" spans="1:7" ht="15.75" x14ac:dyDescent="0.25">
      <c r="A34" s="22" t="s">
        <v>75</v>
      </c>
      <c r="B34" s="22" t="s">
        <v>66</v>
      </c>
      <c r="C34" s="22" t="s">
        <v>31</v>
      </c>
      <c r="D34" s="30"/>
      <c r="E34" s="27"/>
      <c r="F34" s="27"/>
      <c r="G34" s="27"/>
    </row>
    <row r="35" spans="1:7" ht="15.75" x14ac:dyDescent="0.25">
      <c r="A35" s="23" t="s">
        <v>76</v>
      </c>
      <c r="B35" s="23" t="s">
        <v>53</v>
      </c>
      <c r="C35" s="23" t="s">
        <v>39</v>
      </c>
      <c r="D35" s="30"/>
      <c r="E35" s="27"/>
      <c r="F35" s="27"/>
      <c r="G35" s="27"/>
    </row>
    <row r="36" spans="1:7" ht="15.75" x14ac:dyDescent="0.25">
      <c r="A36" s="22" t="s">
        <v>77</v>
      </c>
      <c r="B36" s="22" t="s">
        <v>36</v>
      </c>
      <c r="C36" s="22" t="s">
        <v>31</v>
      </c>
      <c r="D36" s="30"/>
      <c r="E36" s="27"/>
      <c r="F36" s="27"/>
      <c r="G36" s="27"/>
    </row>
    <row r="37" spans="1:7" ht="15.75" x14ac:dyDescent="0.25">
      <c r="A37" s="23" t="s">
        <v>78</v>
      </c>
      <c r="B37" s="23" t="s">
        <v>48</v>
      </c>
      <c r="C37" s="23" t="s">
        <v>31</v>
      </c>
      <c r="D37" s="30"/>
      <c r="E37" s="27"/>
      <c r="F37" s="27"/>
      <c r="G37" s="27"/>
    </row>
    <row r="38" spans="1:7" ht="15.75" x14ac:dyDescent="0.25">
      <c r="A38" s="22" t="s">
        <v>79</v>
      </c>
      <c r="B38" s="22" t="s">
        <v>69</v>
      </c>
      <c r="C38" s="22" t="s">
        <v>39</v>
      </c>
      <c r="D38" s="30"/>
      <c r="E38" s="27"/>
      <c r="F38" s="27"/>
      <c r="G38" s="27"/>
    </row>
    <row r="39" spans="1:7" ht="15.75" x14ac:dyDescent="0.25">
      <c r="A39" s="23" t="s">
        <v>80</v>
      </c>
      <c r="B39" s="23" t="s">
        <v>48</v>
      </c>
      <c r="C39" s="23" t="s">
        <v>39</v>
      </c>
      <c r="D39" s="30"/>
      <c r="E39" s="27"/>
      <c r="F39" s="27"/>
      <c r="G39" s="27"/>
    </row>
    <row r="40" spans="1:7" ht="15.75" x14ac:dyDescent="0.25">
      <c r="A40" s="22" t="s">
        <v>81</v>
      </c>
      <c r="B40" s="22" t="s">
        <v>60</v>
      </c>
      <c r="C40" s="22" t="s">
        <v>31</v>
      </c>
      <c r="D40" s="30"/>
      <c r="E40" s="27"/>
      <c r="F40" s="27"/>
      <c r="G40" s="27"/>
    </row>
    <row r="41" spans="1:7" ht="15.75" x14ac:dyDescent="0.25">
      <c r="A41" s="23" t="s">
        <v>82</v>
      </c>
      <c r="B41" s="23" t="s">
        <v>34</v>
      </c>
      <c r="C41" s="23" t="s">
        <v>31</v>
      </c>
      <c r="D41" s="30"/>
      <c r="E41" s="27"/>
      <c r="F41" s="27"/>
      <c r="G41" s="27"/>
    </row>
    <row r="42" spans="1:7" ht="15.75" x14ac:dyDescent="0.25">
      <c r="A42" s="22" t="s">
        <v>83</v>
      </c>
      <c r="B42" s="22" t="s">
        <v>42</v>
      </c>
      <c r="C42" s="22" t="s">
        <v>31</v>
      </c>
      <c r="D42" s="30"/>
      <c r="E42" s="27"/>
      <c r="F42" s="27"/>
      <c r="G42" s="27"/>
    </row>
    <row r="43" spans="1:7" ht="15.75" x14ac:dyDescent="0.25">
      <c r="A43" s="23" t="s">
        <v>84</v>
      </c>
      <c r="B43" s="23" t="s">
        <v>69</v>
      </c>
      <c r="C43" s="23" t="s">
        <v>31</v>
      </c>
      <c r="D43" s="30"/>
      <c r="E43" s="27"/>
      <c r="F43" s="27"/>
      <c r="G43" s="27"/>
    </row>
    <row r="44" spans="1:7" ht="15.75" x14ac:dyDescent="0.25">
      <c r="A44" s="22" t="s">
        <v>85</v>
      </c>
      <c r="B44" s="22" t="s">
        <v>46</v>
      </c>
      <c r="C44" s="22" t="s">
        <v>31</v>
      </c>
      <c r="D44" s="30"/>
      <c r="E44" s="27"/>
      <c r="F44" s="27"/>
      <c r="G44" s="27"/>
    </row>
    <row r="45" spans="1:7" ht="15.75" x14ac:dyDescent="0.25">
      <c r="A45" s="23" t="s">
        <v>86</v>
      </c>
      <c r="B45" s="23" t="s">
        <v>44</v>
      </c>
      <c r="C45" s="23" t="s">
        <v>39</v>
      </c>
      <c r="D45" s="30"/>
      <c r="E45" s="27"/>
      <c r="F45" s="27"/>
      <c r="G45" s="27"/>
    </row>
    <row r="46" spans="1:7" ht="15.75" x14ac:dyDescent="0.25">
      <c r="A46" s="22" t="s">
        <v>87</v>
      </c>
      <c r="B46" s="22" t="s">
        <v>69</v>
      </c>
      <c r="C46" s="22" t="s">
        <v>31</v>
      </c>
      <c r="D46" s="30"/>
      <c r="E46" s="27"/>
      <c r="F46" s="27"/>
      <c r="G46" s="27"/>
    </row>
    <row r="47" spans="1:7" ht="15.75" x14ac:dyDescent="0.25">
      <c r="A47" s="23" t="s">
        <v>88</v>
      </c>
      <c r="B47" s="23" t="s">
        <v>38</v>
      </c>
      <c r="C47" s="23" t="s">
        <v>31</v>
      </c>
      <c r="D47" s="30"/>
      <c r="E47" s="27"/>
      <c r="F47" s="27"/>
      <c r="G47" s="27"/>
    </row>
    <row r="48" spans="1:7" ht="15.75" x14ac:dyDescent="0.25">
      <c r="A48" s="22" t="s">
        <v>89</v>
      </c>
      <c r="B48" s="22" t="s">
        <v>30</v>
      </c>
      <c r="C48" s="22" t="s">
        <v>39</v>
      </c>
      <c r="D48" s="30"/>
      <c r="E48" s="27"/>
      <c r="F48" s="27"/>
      <c r="G48" s="27"/>
    </row>
    <row r="49" spans="1:7" ht="15.75" x14ac:dyDescent="0.25">
      <c r="A49" s="23" t="s">
        <v>90</v>
      </c>
      <c r="B49" s="23" t="s">
        <v>66</v>
      </c>
      <c r="C49" s="23" t="s">
        <v>39</v>
      </c>
      <c r="D49" s="30"/>
      <c r="E49" s="27"/>
      <c r="F49" s="27"/>
      <c r="G49" s="27"/>
    </row>
    <row r="50" spans="1:7" ht="15.75" x14ac:dyDescent="0.25">
      <c r="A50" s="22" t="s">
        <v>91</v>
      </c>
      <c r="B50" s="22" t="s">
        <v>30</v>
      </c>
      <c r="C50" s="22" t="s">
        <v>39</v>
      </c>
      <c r="D50" s="30"/>
      <c r="E50" s="27"/>
      <c r="F50" s="27"/>
      <c r="G50" s="27"/>
    </row>
    <row r="51" spans="1:7" ht="15.75" x14ac:dyDescent="0.25">
      <c r="A51" s="23" t="s">
        <v>92</v>
      </c>
      <c r="B51" s="23" t="s">
        <v>60</v>
      </c>
      <c r="C51" s="23" t="s">
        <v>39</v>
      </c>
      <c r="D51" s="30"/>
      <c r="E51" s="27"/>
      <c r="F51" s="27"/>
      <c r="G51" s="27"/>
    </row>
    <row r="52" spans="1:7" ht="15.75" x14ac:dyDescent="0.25">
      <c r="A52" s="22" t="s">
        <v>93</v>
      </c>
      <c r="B52" s="22" t="s">
        <v>53</v>
      </c>
      <c r="C52" s="22" t="s">
        <v>31</v>
      </c>
      <c r="D52" s="30"/>
      <c r="E52" s="27"/>
      <c r="F52" s="27"/>
      <c r="G52" s="27"/>
    </row>
    <row r="53" spans="1:7" ht="15.75" x14ac:dyDescent="0.25">
      <c r="A53" s="23" t="s">
        <v>94</v>
      </c>
      <c r="B53" s="23" t="s">
        <v>38</v>
      </c>
      <c r="C53" s="23" t="s">
        <v>31</v>
      </c>
      <c r="D53" s="30"/>
      <c r="E53" s="27"/>
      <c r="F53" s="27"/>
      <c r="G53" s="27"/>
    </row>
    <row r="54" spans="1:7" ht="15.75" x14ac:dyDescent="0.25">
      <c r="A54" s="22" t="s">
        <v>95</v>
      </c>
      <c r="B54" s="22" t="s">
        <v>44</v>
      </c>
      <c r="C54" s="22" t="s">
        <v>39</v>
      </c>
      <c r="D54" s="30"/>
      <c r="E54" s="27"/>
      <c r="F54" s="27"/>
      <c r="G54" s="27"/>
    </row>
    <row r="55" spans="1:7" ht="15.75" x14ac:dyDescent="0.25">
      <c r="A55" s="23" t="s">
        <v>96</v>
      </c>
      <c r="B55" s="23" t="s">
        <v>42</v>
      </c>
      <c r="C55" s="23" t="s">
        <v>97</v>
      </c>
      <c r="D55" s="30"/>
      <c r="E55" s="27"/>
      <c r="F55" s="27"/>
      <c r="G55" s="27"/>
    </row>
    <row r="56" spans="1:7" ht="15.75" x14ac:dyDescent="0.25">
      <c r="A56" s="22" t="s">
        <v>98</v>
      </c>
      <c r="B56" s="22" t="s">
        <v>69</v>
      </c>
      <c r="C56" s="22" t="s">
        <v>39</v>
      </c>
      <c r="D56" s="30"/>
      <c r="E56" s="27"/>
      <c r="F56" s="27"/>
      <c r="G56" s="27"/>
    </row>
    <row r="57" spans="1:7" ht="15.75" x14ac:dyDescent="0.25">
      <c r="A57" s="23" t="s">
        <v>99</v>
      </c>
      <c r="B57" s="23" t="s">
        <v>34</v>
      </c>
      <c r="C57" s="23" t="s">
        <v>31</v>
      </c>
      <c r="D57" s="30"/>
      <c r="E57" s="27"/>
      <c r="F57" s="27"/>
      <c r="G57" s="27"/>
    </row>
    <row r="58" spans="1:7" ht="15.75" x14ac:dyDescent="0.25">
      <c r="A58" s="22" t="s">
        <v>100</v>
      </c>
      <c r="B58" s="22" t="s">
        <v>30</v>
      </c>
      <c r="C58" s="22" t="s">
        <v>39</v>
      </c>
      <c r="D58" s="30"/>
      <c r="E58" s="27"/>
      <c r="F58" s="27"/>
      <c r="G58" s="27"/>
    </row>
    <row r="59" spans="1:7" ht="15.75" x14ac:dyDescent="0.25">
      <c r="A59" s="23" t="s">
        <v>101</v>
      </c>
      <c r="B59" s="23" t="s">
        <v>44</v>
      </c>
      <c r="C59" s="23" t="s">
        <v>39</v>
      </c>
      <c r="D59" s="30"/>
      <c r="E59" s="27"/>
      <c r="F59" s="27"/>
      <c r="G59" s="27"/>
    </row>
    <row r="60" spans="1:7" ht="15.75" x14ac:dyDescent="0.25">
      <c r="A60" s="22" t="s">
        <v>102</v>
      </c>
      <c r="B60" s="22" t="s">
        <v>60</v>
      </c>
      <c r="C60" s="22" t="s">
        <v>39</v>
      </c>
      <c r="D60" s="30"/>
      <c r="E60" s="27"/>
      <c r="F60" s="27"/>
      <c r="G60" s="27"/>
    </row>
    <row r="61" spans="1:7" ht="15.75" x14ac:dyDescent="0.25">
      <c r="A61" s="23" t="s">
        <v>103</v>
      </c>
      <c r="B61" s="23" t="s">
        <v>36</v>
      </c>
      <c r="C61" s="23" t="s">
        <v>31</v>
      </c>
      <c r="D61" s="30"/>
      <c r="E61" s="27"/>
      <c r="F61" s="27"/>
      <c r="G61" s="27"/>
    </row>
    <row r="62" spans="1:7" ht="15.75" x14ac:dyDescent="0.25">
      <c r="A62" s="22" t="s">
        <v>104</v>
      </c>
      <c r="B62" s="22" t="s">
        <v>48</v>
      </c>
      <c r="C62" s="22" t="s">
        <v>31</v>
      </c>
      <c r="D62" s="30"/>
      <c r="E62" s="27"/>
      <c r="F62" s="27"/>
      <c r="G62" s="27"/>
    </row>
    <row r="63" spans="1:7" ht="15.75" x14ac:dyDescent="0.25">
      <c r="A63" s="23" t="s">
        <v>105</v>
      </c>
      <c r="B63" s="23" t="s">
        <v>38</v>
      </c>
      <c r="C63" s="23" t="s">
        <v>31</v>
      </c>
      <c r="D63" s="30"/>
      <c r="E63" s="27"/>
      <c r="F63" s="27"/>
      <c r="G63" s="27"/>
    </row>
    <row r="64" spans="1:7" ht="15.75" x14ac:dyDescent="0.25">
      <c r="A64" s="22" t="s">
        <v>106</v>
      </c>
      <c r="B64" s="22" t="s">
        <v>66</v>
      </c>
      <c r="C64" s="22" t="s">
        <v>31</v>
      </c>
      <c r="D64" s="30"/>
      <c r="E64" s="27"/>
      <c r="F64" s="27"/>
      <c r="G64" s="27"/>
    </row>
    <row r="65" spans="1:7" ht="15.75" x14ac:dyDescent="0.25">
      <c r="A65" s="23" t="s">
        <v>107</v>
      </c>
      <c r="B65" s="23" t="s">
        <v>34</v>
      </c>
      <c r="C65" s="23" t="s">
        <v>39</v>
      </c>
      <c r="D65" s="30"/>
      <c r="E65" s="27"/>
      <c r="F65" s="27"/>
      <c r="G65" s="27"/>
    </row>
    <row r="66" spans="1:7" ht="15.75" x14ac:dyDescent="0.25">
      <c r="A66" s="22" t="s">
        <v>108</v>
      </c>
      <c r="B66" s="22" t="s">
        <v>42</v>
      </c>
      <c r="C66" s="22" t="s">
        <v>97</v>
      </c>
      <c r="D66" s="30"/>
      <c r="E66" s="27"/>
      <c r="F66" s="27"/>
      <c r="G66" s="27"/>
    </row>
    <row r="67" spans="1:7" ht="15.75" x14ac:dyDescent="0.25">
      <c r="A67" s="23" t="s">
        <v>109</v>
      </c>
      <c r="B67" s="23" t="s">
        <v>42</v>
      </c>
      <c r="C67" s="23" t="s">
        <v>31</v>
      </c>
      <c r="D67" s="30"/>
      <c r="E67" s="27"/>
      <c r="F67" s="27"/>
      <c r="G67" s="27"/>
    </row>
    <row r="68" spans="1:7" ht="15.75" x14ac:dyDescent="0.25">
      <c r="A68" s="22" t="s">
        <v>110</v>
      </c>
      <c r="B68" s="22" t="s">
        <v>44</v>
      </c>
      <c r="C68" s="22" t="s">
        <v>39</v>
      </c>
      <c r="D68" s="30"/>
      <c r="E68" s="27"/>
      <c r="F68" s="27"/>
      <c r="G68" s="27"/>
    </row>
    <row r="69" spans="1:7" ht="15.75" x14ac:dyDescent="0.25">
      <c r="A69" s="23" t="s">
        <v>111</v>
      </c>
      <c r="B69" s="23" t="s">
        <v>53</v>
      </c>
      <c r="C69" s="23" t="s">
        <v>39</v>
      </c>
      <c r="D69" s="30"/>
      <c r="E69" s="27"/>
      <c r="F69" s="27"/>
      <c r="G69" s="27"/>
    </row>
    <row r="70" spans="1:7" ht="15.75" x14ac:dyDescent="0.25">
      <c r="A70" s="22" t="s">
        <v>112</v>
      </c>
      <c r="B70" s="22" t="s">
        <v>36</v>
      </c>
      <c r="C70" s="22" t="s">
        <v>39</v>
      </c>
      <c r="D70" s="30"/>
      <c r="E70" s="27"/>
      <c r="F70" s="27"/>
      <c r="G70" s="27"/>
    </row>
    <row r="71" spans="1:7" ht="15.75" x14ac:dyDescent="0.25">
      <c r="A71" s="23" t="s">
        <v>113</v>
      </c>
      <c r="B71" s="23" t="s">
        <v>38</v>
      </c>
      <c r="C71" s="23" t="s">
        <v>39</v>
      </c>
      <c r="D71" s="30"/>
      <c r="E71" s="27"/>
      <c r="F71" s="27"/>
      <c r="G71" s="27"/>
    </row>
    <row r="72" spans="1:7" ht="15.75" x14ac:dyDescent="0.25">
      <c r="A72" s="22" t="s">
        <v>114</v>
      </c>
      <c r="B72" s="22" t="s">
        <v>60</v>
      </c>
      <c r="C72" s="22" t="s">
        <v>31</v>
      </c>
      <c r="D72" s="30"/>
      <c r="E72" s="27"/>
      <c r="F72" s="27"/>
      <c r="G72" s="27"/>
    </row>
    <row r="73" spans="1:7" ht="15.75" x14ac:dyDescent="0.25">
      <c r="A73" s="23" t="s">
        <v>115</v>
      </c>
      <c r="B73" s="23" t="s">
        <v>38</v>
      </c>
      <c r="C73" s="23" t="s">
        <v>31</v>
      </c>
      <c r="D73" s="30"/>
      <c r="E73" s="27"/>
      <c r="F73" s="27"/>
      <c r="G73" s="27"/>
    </row>
    <row r="74" spans="1:7" ht="15.75" x14ac:dyDescent="0.25">
      <c r="A74" s="22" t="s">
        <v>116</v>
      </c>
      <c r="B74" s="22" t="s">
        <v>30</v>
      </c>
      <c r="C74" s="22" t="s">
        <v>31</v>
      </c>
      <c r="D74" s="30"/>
      <c r="E74" s="27"/>
      <c r="F74" s="27"/>
      <c r="G74" s="27"/>
    </row>
    <row r="75" spans="1:7" ht="15.75" x14ac:dyDescent="0.25">
      <c r="A75" s="23" t="s">
        <v>117</v>
      </c>
      <c r="B75" s="23" t="s">
        <v>34</v>
      </c>
      <c r="C75" s="23" t="s">
        <v>31</v>
      </c>
      <c r="D75" s="30"/>
      <c r="E75" s="30"/>
      <c r="F75" s="31"/>
      <c r="G75" s="30"/>
    </row>
    <row r="76" spans="1:7" ht="15.75" x14ac:dyDescent="0.25">
      <c r="A76" s="22" t="s">
        <v>118</v>
      </c>
      <c r="B76" s="22" t="s">
        <v>53</v>
      </c>
      <c r="C76" s="22" t="s">
        <v>31</v>
      </c>
      <c r="D76" s="30"/>
      <c r="E76" s="30"/>
      <c r="F76" s="30"/>
      <c r="G76" s="30"/>
    </row>
    <row r="77" spans="1:7" ht="15.75" x14ac:dyDescent="0.25">
      <c r="A77" s="23" t="s">
        <v>119</v>
      </c>
      <c r="B77" s="23" t="s">
        <v>53</v>
      </c>
      <c r="C77" s="23" t="s">
        <v>31</v>
      </c>
      <c r="D77" s="30"/>
      <c r="E77" s="30"/>
      <c r="F77" s="30"/>
      <c r="G77" s="30"/>
    </row>
    <row r="78" spans="1:7" ht="15.75" x14ac:dyDescent="0.25">
      <c r="A78" s="22" t="s">
        <v>120</v>
      </c>
      <c r="B78" s="22" t="s">
        <v>48</v>
      </c>
      <c r="C78" s="22" t="s">
        <v>39</v>
      </c>
      <c r="D78" s="30"/>
      <c r="E78" s="30"/>
      <c r="F78" s="30"/>
      <c r="G78" s="30"/>
    </row>
    <row r="79" spans="1:7" ht="15.75" x14ac:dyDescent="0.25">
      <c r="A79" s="23" t="s">
        <v>121</v>
      </c>
      <c r="B79" s="23" t="s">
        <v>53</v>
      </c>
      <c r="C79" s="23" t="s">
        <v>31</v>
      </c>
      <c r="D79" s="30"/>
      <c r="E79" s="30"/>
      <c r="F79" s="30"/>
      <c r="G79" s="30"/>
    </row>
    <row r="80" spans="1:7" ht="15.75" x14ac:dyDescent="0.25">
      <c r="A80" s="22" t="s">
        <v>122</v>
      </c>
      <c r="B80" s="22" t="s">
        <v>46</v>
      </c>
      <c r="C80" s="22" t="s">
        <v>39</v>
      </c>
      <c r="D80" s="30"/>
      <c r="E80" s="30"/>
      <c r="F80" s="30"/>
      <c r="G80" s="30"/>
    </row>
    <row r="81" spans="1:7" ht="15.75" x14ac:dyDescent="0.25">
      <c r="A81" s="23" t="s">
        <v>123</v>
      </c>
      <c r="B81" s="23" t="s">
        <v>44</v>
      </c>
      <c r="C81" s="23" t="s">
        <v>31</v>
      </c>
      <c r="D81" s="30"/>
      <c r="E81" s="30"/>
      <c r="F81" s="30"/>
      <c r="G81" s="30"/>
    </row>
    <row r="82" spans="1:7" ht="15.75" x14ac:dyDescent="0.25">
      <c r="A82" s="22" t="s">
        <v>124</v>
      </c>
      <c r="B82" s="22" t="s">
        <v>34</v>
      </c>
      <c r="C82" s="22" t="s">
        <v>31</v>
      </c>
      <c r="D82" s="30"/>
      <c r="E82" s="30"/>
      <c r="F82" s="30"/>
      <c r="G82" s="30"/>
    </row>
    <row r="83" spans="1:7" ht="15.75" x14ac:dyDescent="0.25">
      <c r="A83" s="23" t="s">
        <v>125</v>
      </c>
      <c r="B83" s="23" t="s">
        <v>48</v>
      </c>
      <c r="C83" s="23" t="s">
        <v>31</v>
      </c>
      <c r="D83" s="30"/>
      <c r="E83" s="30"/>
      <c r="F83" s="30"/>
      <c r="G83" s="30"/>
    </row>
    <row r="84" spans="1:7" ht="15.75" x14ac:dyDescent="0.25">
      <c r="A84" s="22" t="s">
        <v>126</v>
      </c>
      <c r="B84" s="22" t="s">
        <v>53</v>
      </c>
      <c r="C84" s="22" t="s">
        <v>39</v>
      </c>
      <c r="D84" s="30"/>
      <c r="E84" s="30"/>
      <c r="F84" s="30"/>
      <c r="G84" s="30"/>
    </row>
    <row r="85" spans="1:7" ht="15.75" x14ac:dyDescent="0.25">
      <c r="A85" s="23" t="s">
        <v>127</v>
      </c>
      <c r="B85" s="23" t="s">
        <v>69</v>
      </c>
      <c r="C85" s="23" t="s">
        <v>31</v>
      </c>
      <c r="D85" s="30"/>
      <c r="E85" s="30"/>
      <c r="F85" s="30"/>
      <c r="G85" s="30"/>
    </row>
    <row r="86" spans="1:7" ht="15.75" x14ac:dyDescent="0.25">
      <c r="A86" s="22" t="s">
        <v>128</v>
      </c>
      <c r="B86" s="22" t="s">
        <v>66</v>
      </c>
      <c r="C86" s="22" t="s">
        <v>31</v>
      </c>
      <c r="D86" s="30"/>
      <c r="E86" s="30"/>
      <c r="F86" s="30"/>
      <c r="G86" s="30"/>
    </row>
    <row r="87" spans="1:7" ht="15.75" x14ac:dyDescent="0.25">
      <c r="A87" s="23" t="s">
        <v>129</v>
      </c>
      <c r="B87" s="23" t="s">
        <v>46</v>
      </c>
      <c r="C87" s="23" t="s">
        <v>39</v>
      </c>
      <c r="D87" s="30"/>
      <c r="E87" s="30"/>
      <c r="F87" s="30"/>
      <c r="G87" s="30"/>
    </row>
    <row r="88" spans="1:7" ht="15.75" x14ac:dyDescent="0.25">
      <c r="A88" s="22" t="s">
        <v>130</v>
      </c>
      <c r="B88" s="22" t="s">
        <v>42</v>
      </c>
      <c r="C88" s="22" t="s">
        <v>31</v>
      </c>
      <c r="D88" s="30"/>
      <c r="E88" s="30"/>
      <c r="F88" s="30"/>
      <c r="G88" s="30"/>
    </row>
    <row r="89" spans="1:7" ht="15.75" x14ac:dyDescent="0.25">
      <c r="A89" s="23" t="s">
        <v>131</v>
      </c>
      <c r="B89" s="23" t="s">
        <v>60</v>
      </c>
      <c r="C89" s="23" t="s">
        <v>39</v>
      </c>
      <c r="D89" s="30"/>
      <c r="E89" s="30"/>
      <c r="F89" s="30"/>
      <c r="G89" s="30"/>
    </row>
    <row r="90" spans="1:7" ht="15.75" x14ac:dyDescent="0.25">
      <c r="A90" s="22" t="s">
        <v>132</v>
      </c>
      <c r="B90" s="22" t="s">
        <v>46</v>
      </c>
      <c r="C90" s="22" t="s">
        <v>39</v>
      </c>
      <c r="D90" s="30"/>
      <c r="E90" s="30"/>
      <c r="F90" s="30"/>
      <c r="G90" s="30"/>
    </row>
    <row r="91" spans="1:7" ht="15.75" x14ac:dyDescent="0.25">
      <c r="A91" s="23" t="s">
        <v>133</v>
      </c>
      <c r="B91" s="23" t="s">
        <v>42</v>
      </c>
      <c r="C91" s="23" t="s">
        <v>97</v>
      </c>
      <c r="D91" s="30"/>
      <c r="E91" s="30"/>
      <c r="F91" s="30"/>
      <c r="G91" s="30"/>
    </row>
    <row r="92" spans="1:7" ht="15.75" x14ac:dyDescent="0.25">
      <c r="A92" s="22" t="s">
        <v>134</v>
      </c>
      <c r="B92" s="22" t="s">
        <v>46</v>
      </c>
      <c r="C92" s="22" t="s">
        <v>31</v>
      </c>
      <c r="D92" s="30"/>
      <c r="E92" s="30"/>
      <c r="F92" s="30"/>
      <c r="G92" s="30"/>
    </row>
    <row r="93" spans="1:7" ht="15.75" x14ac:dyDescent="0.25">
      <c r="A93" s="23" t="s">
        <v>135</v>
      </c>
      <c r="B93" s="23" t="s">
        <v>30</v>
      </c>
      <c r="C93" s="23" t="s">
        <v>39</v>
      </c>
      <c r="D93" s="30"/>
      <c r="E93" s="30"/>
      <c r="F93" s="30"/>
      <c r="G93" s="30"/>
    </row>
    <row r="94" spans="1:7" ht="15.75" x14ac:dyDescent="0.25">
      <c r="A94" s="22" t="s">
        <v>136</v>
      </c>
      <c r="B94" s="22" t="s">
        <v>66</v>
      </c>
      <c r="C94" s="22" t="s">
        <v>39</v>
      </c>
      <c r="D94" s="30"/>
      <c r="E94" s="30"/>
      <c r="F94" s="30"/>
      <c r="G94" s="30"/>
    </row>
    <row r="95" spans="1:7" ht="15.75" x14ac:dyDescent="0.25">
      <c r="A95" s="23" t="s">
        <v>137</v>
      </c>
      <c r="B95" s="23" t="s">
        <v>30</v>
      </c>
      <c r="C95" s="23" t="s">
        <v>31</v>
      </c>
      <c r="D95" s="30"/>
      <c r="E95" s="30"/>
      <c r="F95" s="30"/>
      <c r="G95" s="30"/>
    </row>
    <row r="96" spans="1:7" ht="15.75" x14ac:dyDescent="0.25">
      <c r="A96" s="22" t="s">
        <v>138</v>
      </c>
      <c r="B96" s="22" t="s">
        <v>48</v>
      </c>
      <c r="C96" s="22" t="s">
        <v>39</v>
      </c>
      <c r="D96" s="30"/>
      <c r="E96" s="30"/>
      <c r="F96" s="30"/>
      <c r="G96" s="30"/>
    </row>
    <row r="97" spans="1:7" ht="15.75" x14ac:dyDescent="0.25">
      <c r="A97" s="23" t="s">
        <v>139</v>
      </c>
      <c r="B97" s="23" t="s">
        <v>48</v>
      </c>
      <c r="C97" s="23" t="s">
        <v>31</v>
      </c>
      <c r="D97" s="30"/>
      <c r="E97" s="30"/>
      <c r="F97" s="30"/>
      <c r="G97" s="30"/>
    </row>
    <row r="98" spans="1:7" ht="15.75" x14ac:dyDescent="0.25">
      <c r="A98" s="22" t="s">
        <v>140</v>
      </c>
      <c r="B98" s="22" t="s">
        <v>60</v>
      </c>
      <c r="C98" s="22" t="s">
        <v>31</v>
      </c>
      <c r="D98" s="30"/>
      <c r="E98" s="30"/>
      <c r="F98" s="30"/>
      <c r="G98" s="30"/>
    </row>
    <row r="99" spans="1:7" ht="15.75" x14ac:dyDescent="0.25">
      <c r="A99" s="23" t="s">
        <v>141</v>
      </c>
      <c r="B99" s="23" t="s">
        <v>48</v>
      </c>
      <c r="C99" s="23" t="s">
        <v>39</v>
      </c>
      <c r="D99" s="30"/>
      <c r="E99" s="30"/>
      <c r="F99" s="30"/>
      <c r="G99" s="30"/>
    </row>
    <row r="100" spans="1:7" ht="15.75" x14ac:dyDescent="0.25">
      <c r="A100" s="22" t="s">
        <v>142</v>
      </c>
      <c r="B100" s="22" t="s">
        <v>42</v>
      </c>
      <c r="C100" s="22" t="s">
        <v>97</v>
      </c>
      <c r="D100" s="30"/>
      <c r="E100" s="30"/>
      <c r="F100" s="30"/>
      <c r="G100" s="30"/>
    </row>
    <row r="101" spans="1:7" ht="15.75" x14ac:dyDescent="0.25">
      <c r="A101" s="23" t="s">
        <v>143</v>
      </c>
      <c r="B101" s="23" t="s">
        <v>38</v>
      </c>
      <c r="C101" s="23" t="s">
        <v>31</v>
      </c>
      <c r="D101" s="30"/>
      <c r="E101" s="30"/>
      <c r="F101" s="30"/>
      <c r="G101" s="30"/>
    </row>
    <row r="102" spans="1:7" ht="15.75" x14ac:dyDescent="0.25">
      <c r="A102" s="22" t="s">
        <v>144</v>
      </c>
      <c r="B102" s="22" t="s">
        <v>60</v>
      </c>
      <c r="C102" s="22" t="s">
        <v>31</v>
      </c>
      <c r="D102" s="30"/>
      <c r="E102" s="30"/>
      <c r="F102" s="30"/>
      <c r="G102" s="30"/>
    </row>
    <row r="103" spans="1:7" ht="15.75" x14ac:dyDescent="0.25">
      <c r="A103" s="23" t="s">
        <v>145</v>
      </c>
      <c r="B103" s="23" t="s">
        <v>42</v>
      </c>
      <c r="C103" s="23" t="s">
        <v>31</v>
      </c>
      <c r="D103" s="30"/>
      <c r="E103" s="30"/>
      <c r="F103" s="30"/>
      <c r="G103" s="30"/>
    </row>
    <row r="104" spans="1:7" ht="15.75" x14ac:dyDescent="0.25">
      <c r="A104" s="22" t="s">
        <v>146</v>
      </c>
      <c r="B104" s="22" t="s">
        <v>66</v>
      </c>
      <c r="C104" s="22" t="s">
        <v>31</v>
      </c>
      <c r="D104" s="30"/>
      <c r="E104" s="30"/>
      <c r="F104" s="30"/>
      <c r="G104" s="30"/>
    </row>
    <row r="105" spans="1:7" ht="15.75" x14ac:dyDescent="0.25">
      <c r="A105" s="23" t="s">
        <v>147</v>
      </c>
      <c r="B105" s="23" t="s">
        <v>69</v>
      </c>
      <c r="C105" s="23" t="s">
        <v>39</v>
      </c>
      <c r="D105" s="30"/>
      <c r="E105" s="30"/>
      <c r="F105" s="30"/>
      <c r="G105" s="30"/>
    </row>
    <row r="106" spans="1:7" ht="15.75" x14ac:dyDescent="0.25">
      <c r="A106" s="22" t="s">
        <v>148</v>
      </c>
      <c r="B106" s="22" t="s">
        <v>36</v>
      </c>
      <c r="C106" s="22" t="s">
        <v>31</v>
      </c>
      <c r="D106" s="30"/>
      <c r="E106" s="30"/>
      <c r="F106" s="30"/>
      <c r="G106" s="30"/>
    </row>
    <row r="107" spans="1:7" ht="15.75" x14ac:dyDescent="0.25">
      <c r="A107" s="23" t="s">
        <v>149</v>
      </c>
      <c r="B107" s="23" t="s">
        <v>53</v>
      </c>
      <c r="C107" s="23" t="s">
        <v>39</v>
      </c>
      <c r="D107" s="30"/>
      <c r="E107" s="30"/>
      <c r="F107" s="30"/>
      <c r="G107" s="30"/>
    </row>
    <row r="108" spans="1:7" ht="15.75" x14ac:dyDescent="0.25">
      <c r="A108" s="22" t="s">
        <v>150</v>
      </c>
      <c r="B108" s="22" t="s">
        <v>66</v>
      </c>
      <c r="C108" s="22" t="s">
        <v>39</v>
      </c>
      <c r="D108" s="30"/>
      <c r="E108" s="30"/>
      <c r="F108" s="30"/>
      <c r="G108" s="30"/>
    </row>
    <row r="109" spans="1:7" ht="15.75" x14ac:dyDescent="0.25">
      <c r="A109" s="23" t="s">
        <v>151</v>
      </c>
      <c r="B109" s="23" t="s">
        <v>46</v>
      </c>
      <c r="C109" s="23" t="s">
        <v>39</v>
      </c>
      <c r="D109" s="30"/>
      <c r="E109" s="30"/>
      <c r="F109" s="30"/>
      <c r="G109" s="30"/>
    </row>
    <row r="110" spans="1:7" ht="15.75" x14ac:dyDescent="0.25">
      <c r="A110" s="22" t="s">
        <v>152</v>
      </c>
      <c r="B110" s="22" t="s">
        <v>53</v>
      </c>
      <c r="C110" s="22" t="s">
        <v>39</v>
      </c>
      <c r="D110" s="30"/>
      <c r="E110" s="30"/>
      <c r="F110" s="30"/>
      <c r="G110" s="30"/>
    </row>
    <row r="111" spans="1:7" ht="15.75" x14ac:dyDescent="0.25">
      <c r="A111" s="23" t="s">
        <v>153</v>
      </c>
      <c r="B111" s="23" t="s">
        <v>44</v>
      </c>
      <c r="C111" s="23" t="s">
        <v>31</v>
      </c>
      <c r="D111" s="30"/>
      <c r="E111" s="30"/>
      <c r="F111" s="30"/>
      <c r="G111" s="30"/>
    </row>
    <row r="112" spans="1:7" ht="15.75" x14ac:dyDescent="0.25">
      <c r="A112" s="22" t="s">
        <v>154</v>
      </c>
      <c r="B112" s="22" t="s">
        <v>44</v>
      </c>
      <c r="C112" s="22" t="s">
        <v>31</v>
      </c>
      <c r="D112" s="30"/>
      <c r="E112" s="30"/>
      <c r="F112" s="30"/>
      <c r="G112" s="30"/>
    </row>
    <row r="113" spans="1:10" ht="15.75" x14ac:dyDescent="0.25">
      <c r="A113" s="23" t="s">
        <v>155</v>
      </c>
      <c r="B113" s="23" t="s">
        <v>36</v>
      </c>
      <c r="C113" s="23" t="s">
        <v>39</v>
      </c>
      <c r="D113" s="30"/>
      <c r="E113" s="30"/>
      <c r="F113" s="30"/>
      <c r="G113" s="30"/>
    </row>
    <row r="114" spans="1:10" ht="15.75" x14ac:dyDescent="0.25">
      <c r="A114" s="22" t="s">
        <v>156</v>
      </c>
      <c r="B114" s="22" t="s">
        <v>48</v>
      </c>
      <c r="C114" s="22" t="s">
        <v>39</v>
      </c>
      <c r="D114" s="30"/>
      <c r="E114" s="30"/>
      <c r="F114" s="30"/>
      <c r="G114" s="30"/>
    </row>
    <row r="115" spans="1:10" ht="15.75" x14ac:dyDescent="0.25">
      <c r="A115" s="23" t="s">
        <v>157</v>
      </c>
      <c r="B115" s="23" t="s">
        <v>34</v>
      </c>
      <c r="C115" s="23" t="s">
        <v>39</v>
      </c>
      <c r="D115" s="30"/>
      <c r="E115" s="30"/>
      <c r="F115" s="30"/>
      <c r="G115" s="30"/>
    </row>
    <row r="116" spans="1:10" ht="15.75" x14ac:dyDescent="0.25">
      <c r="A116" s="22" t="s">
        <v>158</v>
      </c>
      <c r="B116" s="22" t="s">
        <v>34</v>
      </c>
      <c r="C116" s="22" t="s">
        <v>39</v>
      </c>
      <c r="D116" s="30"/>
      <c r="E116" s="30"/>
      <c r="F116" s="30"/>
      <c r="G116" s="30"/>
    </row>
    <row r="117" spans="1:10" ht="15.75" x14ac:dyDescent="0.25">
      <c r="A117" s="23" t="s">
        <v>159</v>
      </c>
      <c r="B117" s="23" t="s">
        <v>30</v>
      </c>
      <c r="C117" s="23" t="s">
        <v>31</v>
      </c>
      <c r="D117" s="30"/>
      <c r="E117" s="30"/>
      <c r="F117" s="30"/>
      <c r="G117" s="30"/>
    </row>
    <row r="118" spans="1:10" ht="15.75" x14ac:dyDescent="0.25">
      <c r="A118" s="22" t="s">
        <v>160</v>
      </c>
      <c r="B118" s="22" t="s">
        <v>30</v>
      </c>
      <c r="C118" s="22" t="s">
        <v>31</v>
      </c>
      <c r="D118" s="30"/>
      <c r="E118" s="30"/>
      <c r="F118" s="30"/>
      <c r="G118" s="30"/>
    </row>
    <row r="119" spans="1:10" ht="15.75" x14ac:dyDescent="0.25">
      <c r="A119" s="23" t="s">
        <v>161</v>
      </c>
      <c r="B119" s="23" t="s">
        <v>69</v>
      </c>
      <c r="C119" s="23" t="s">
        <v>39</v>
      </c>
      <c r="D119" s="30"/>
      <c r="E119" s="30"/>
      <c r="F119" s="30"/>
      <c r="G119" s="30"/>
    </row>
    <row r="120" spans="1:10" ht="15.75" x14ac:dyDescent="0.25">
      <c r="A120" s="22" t="s">
        <v>162</v>
      </c>
      <c r="B120" s="22" t="s">
        <v>60</v>
      </c>
      <c r="C120" s="22" t="s">
        <v>39</v>
      </c>
      <c r="D120" s="30"/>
      <c r="E120" s="30"/>
      <c r="F120" s="30"/>
      <c r="G120" s="30"/>
    </row>
    <row r="121" spans="1:10" ht="15.75" x14ac:dyDescent="0.25">
      <c r="A121" s="23" t="s">
        <v>163</v>
      </c>
      <c r="B121" s="23" t="s">
        <v>36</v>
      </c>
      <c r="C121" s="23" t="s">
        <v>39</v>
      </c>
      <c r="D121" s="30"/>
      <c r="E121" s="30"/>
      <c r="F121" s="30"/>
      <c r="G121" s="30"/>
    </row>
    <row r="123" spans="1:10" ht="15.75" x14ac:dyDescent="0.25">
      <c r="J123" s="27"/>
    </row>
    <row r="124" spans="1:10" ht="15.75" x14ac:dyDescent="0.25">
      <c r="J124" s="27"/>
    </row>
    <row r="125" spans="1:10" ht="15.75" x14ac:dyDescent="0.25">
      <c r="J125" s="27"/>
    </row>
    <row r="126" spans="1:10" ht="15.75" x14ac:dyDescent="0.25">
      <c r="J126" s="27"/>
    </row>
    <row r="127" spans="1:10" ht="15.75" x14ac:dyDescent="0.25">
      <c r="J127" s="27"/>
    </row>
    <row r="128" spans="1:10" ht="15.75" x14ac:dyDescent="0.25">
      <c r="J128" s="27"/>
    </row>
    <row r="129" spans="10:11" ht="15.75" x14ac:dyDescent="0.25">
      <c r="J129" s="27"/>
    </row>
    <row r="130" spans="10:11" ht="15.75" x14ac:dyDescent="0.25">
      <c r="K130" s="27"/>
    </row>
  </sheetData>
  <sortState ref="B11:D121">
    <sortCondition ref="D11:D121"/>
  </sortState>
  <pageMargins left="0" right="0" top="0.13888888888888901" bottom="0.13888888888888901" header="0" footer="0"/>
  <pageSetup firstPageNumber="0" pageOrder="overThenDown" orientation="portrait" horizontalDpi="4294967292" verticalDpi="4294967292"/>
  <headerFooter>
    <oddHeader>&amp;C&amp;"Arial,Regular"&amp;10&amp;A</oddHeader>
    <oddFooter>&amp;C&amp;"Arial,Regular"&amp;10Page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G26" sqref="G26"/>
    </sheetView>
  </sheetViews>
  <sheetFormatPr defaultColWidth="8.85546875" defaultRowHeight="15" x14ac:dyDescent="0.25"/>
  <cols>
    <col min="1" max="1" width="19.42578125" bestFit="1" customWidth="1"/>
    <col min="6" max="6" width="21.42578125" bestFit="1" customWidth="1"/>
    <col min="7" max="7" width="13.42578125" customWidth="1"/>
  </cols>
  <sheetData>
    <row r="1" spans="1:8" ht="30" x14ac:dyDescent="0.25">
      <c r="B1" t="s">
        <v>164</v>
      </c>
      <c r="C1" t="s">
        <v>165</v>
      </c>
      <c r="D1" t="s">
        <v>166</v>
      </c>
      <c r="E1" t="s">
        <v>167</v>
      </c>
      <c r="G1" s="26" t="s">
        <v>168</v>
      </c>
    </row>
    <row r="2" spans="1:8" x14ac:dyDescent="0.25">
      <c r="A2" t="s">
        <v>46</v>
      </c>
      <c r="B2">
        <v>12</v>
      </c>
      <c r="C2">
        <f>20*(D2/1000)</f>
        <v>8</v>
      </c>
      <c r="D2">
        <v>400</v>
      </c>
      <c r="E2">
        <v>0</v>
      </c>
      <c r="G2">
        <v>0</v>
      </c>
    </row>
    <row r="3" spans="1:8" x14ac:dyDescent="0.25">
      <c r="A3" t="s">
        <v>169</v>
      </c>
      <c r="B3">
        <v>12</v>
      </c>
      <c r="C3">
        <f t="shared" ref="C3:C5" si="0">20*(D3/1000)</f>
        <v>8</v>
      </c>
      <c r="D3">
        <v>400</v>
      </c>
      <c r="E3">
        <f>26.75*0.4</f>
        <v>10.700000000000001</v>
      </c>
      <c r="G3">
        <v>0.5</v>
      </c>
    </row>
    <row r="4" spans="1:8" x14ac:dyDescent="0.25">
      <c r="A4" t="s">
        <v>170</v>
      </c>
      <c r="B4">
        <v>12</v>
      </c>
      <c r="C4">
        <f t="shared" si="0"/>
        <v>8</v>
      </c>
      <c r="D4">
        <v>400</v>
      </c>
      <c r="E4">
        <f>68.06*0.4</f>
        <v>27.224000000000004</v>
      </c>
      <c r="G4">
        <v>0.5</v>
      </c>
    </row>
    <row r="5" spans="1:8" x14ac:dyDescent="0.25">
      <c r="A5" t="s">
        <v>171</v>
      </c>
      <c r="B5">
        <v>12</v>
      </c>
      <c r="C5">
        <f t="shared" si="0"/>
        <v>8</v>
      </c>
      <c r="D5">
        <v>400</v>
      </c>
      <c r="E5">
        <v>0.51404511999999991</v>
      </c>
      <c r="G5">
        <v>4.2799999999999998E-2</v>
      </c>
    </row>
    <row r="6" spans="1:8" x14ac:dyDescent="0.25">
      <c r="A6" t="s">
        <v>172</v>
      </c>
      <c r="B6">
        <v>12</v>
      </c>
      <c r="C6">
        <f>30*(D6/1000)</f>
        <v>12</v>
      </c>
      <c r="D6">
        <v>400</v>
      </c>
      <c r="E6" t="s">
        <v>173</v>
      </c>
      <c r="G6" t="s">
        <v>174</v>
      </c>
    </row>
    <row r="7" spans="1:8" x14ac:dyDescent="0.25">
      <c r="A7" t="s">
        <v>175</v>
      </c>
      <c r="B7">
        <v>12</v>
      </c>
      <c r="C7">
        <f t="shared" ref="C7:C9" si="1">30*(D7/1000)</f>
        <v>12</v>
      </c>
      <c r="D7">
        <v>400</v>
      </c>
      <c r="E7" t="s">
        <v>173</v>
      </c>
      <c r="G7" t="s">
        <v>176</v>
      </c>
    </row>
    <row r="8" spans="1:8" x14ac:dyDescent="0.25">
      <c r="A8" t="s">
        <v>177</v>
      </c>
      <c r="B8">
        <v>12</v>
      </c>
      <c r="C8">
        <f t="shared" si="1"/>
        <v>12</v>
      </c>
      <c r="D8">
        <v>400</v>
      </c>
      <c r="E8" t="s">
        <v>173</v>
      </c>
      <c r="G8" t="s">
        <v>178</v>
      </c>
    </row>
    <row r="9" spans="1:8" x14ac:dyDescent="0.25">
      <c r="A9" t="s">
        <v>179</v>
      </c>
      <c r="B9">
        <v>12</v>
      </c>
      <c r="C9">
        <f t="shared" si="1"/>
        <v>12</v>
      </c>
      <c r="D9">
        <v>400</v>
      </c>
      <c r="E9" t="s">
        <v>173</v>
      </c>
      <c r="G9" t="s">
        <v>180</v>
      </c>
    </row>
    <row r="10" spans="1:8" x14ac:dyDescent="0.25">
      <c r="A10" t="s">
        <v>181</v>
      </c>
      <c r="B10">
        <v>12</v>
      </c>
      <c r="C10">
        <v>8</v>
      </c>
      <c r="D10">
        <v>400</v>
      </c>
      <c r="E10" t="s">
        <v>182</v>
      </c>
      <c r="G10" t="s">
        <v>183</v>
      </c>
      <c r="H10" s="25">
        <v>1.57E-3</v>
      </c>
    </row>
    <row r="11" spans="1:8" x14ac:dyDescent="0.25">
      <c r="A11" t="s">
        <v>184</v>
      </c>
      <c r="B11">
        <v>12</v>
      </c>
      <c r="C11">
        <f>30*(D11/1000)</f>
        <v>12</v>
      </c>
      <c r="D11">
        <v>400</v>
      </c>
    </row>
    <row r="12" spans="1:8" x14ac:dyDescent="0.25">
      <c r="A12" t="s">
        <v>185</v>
      </c>
      <c r="B12">
        <v>12</v>
      </c>
      <c r="C12">
        <f t="shared" ref="C12:C13" si="2">30*(D12/1000)</f>
        <v>12</v>
      </c>
      <c r="D12">
        <v>400</v>
      </c>
    </row>
    <row r="13" spans="1:8" x14ac:dyDescent="0.25">
      <c r="A13" t="s">
        <v>186</v>
      </c>
      <c r="B13">
        <v>12</v>
      </c>
      <c r="C13">
        <f t="shared" si="2"/>
        <v>12</v>
      </c>
      <c r="D13">
        <v>400</v>
      </c>
    </row>
    <row r="15" spans="1:8" x14ac:dyDescent="0.25">
      <c r="A15" t="s">
        <v>187</v>
      </c>
      <c r="D15">
        <f>SUM(D10:D13)</f>
        <v>1600</v>
      </c>
      <c r="E15">
        <v>6</v>
      </c>
      <c r="F15" t="s">
        <v>188</v>
      </c>
    </row>
    <row r="16" spans="1:8" x14ac:dyDescent="0.25">
      <c r="E16">
        <v>180.15600000000001</v>
      </c>
      <c r="F16" t="s">
        <v>189</v>
      </c>
    </row>
    <row r="17" spans="5:6" x14ac:dyDescent="0.25">
      <c r="E17">
        <v>4.2799999999999998E-2</v>
      </c>
      <c r="F17" t="s">
        <v>190</v>
      </c>
    </row>
    <row r="18" spans="5:6" x14ac:dyDescent="0.25">
      <c r="E18">
        <f>E17*E16*0.4</f>
        <v>3.0842707200000001</v>
      </c>
      <c r="F18" t="s">
        <v>191</v>
      </c>
    </row>
    <row r="20" spans="5:6" x14ac:dyDescent="0.25">
      <c r="E20">
        <f>E17/E15*E16*(D10/1000)</f>
        <v>0.51404511999999991</v>
      </c>
      <c r="F20" t="s">
        <v>192</v>
      </c>
    </row>
    <row r="24" spans="5:6" x14ac:dyDescent="0.25">
      <c r="E24" t="s">
        <v>226</v>
      </c>
    </row>
    <row r="25" spans="5:6" x14ac:dyDescent="0.25">
      <c r="E25">
        <v>472.9</v>
      </c>
      <c r="F25" t="s">
        <v>225</v>
      </c>
    </row>
  </sheetData>
  <pageMargins left="0" right="0" top="0.13888888888888901" bottom="0.13888888888888901" header="0" footer="0"/>
  <pageSetup paperSize="0" scale="0" firstPageNumber="0" pageOrder="overThenDown" orientation="portrait" usePrinterDefaults="0" horizontalDpi="0" verticalDpi="0" copies="0"/>
  <headerFooter>
    <oddHeader>&amp;C&amp;"Arial,Regular"&amp;10&amp;A</oddHeader>
    <oddFooter>&amp;C&amp;"Arial,Regular"&amp;10Page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opLeftCell="A53" workbookViewId="0">
      <selection activeCell="C74" sqref="C73:C74"/>
    </sheetView>
  </sheetViews>
  <sheetFormatPr defaultColWidth="11.42578125" defaultRowHeight="15" x14ac:dyDescent="0.25"/>
  <sheetData>
    <row r="1" spans="1:2" ht="15.75" x14ac:dyDescent="0.25">
      <c r="A1" s="22" t="s">
        <v>30</v>
      </c>
      <c r="B1" s="22" t="s">
        <v>31</v>
      </c>
    </row>
    <row r="2" spans="1:2" ht="15.75" x14ac:dyDescent="0.25">
      <c r="A2" s="23" t="s">
        <v>30</v>
      </c>
      <c r="B2" s="23" t="s">
        <v>31</v>
      </c>
    </row>
    <row r="3" spans="1:2" ht="15.75" x14ac:dyDescent="0.25">
      <c r="A3" s="22" t="s">
        <v>30</v>
      </c>
      <c r="B3" s="22" t="s">
        <v>39</v>
      </c>
    </row>
    <row r="4" spans="1:2" ht="15.75" x14ac:dyDescent="0.25">
      <c r="A4" s="22" t="s">
        <v>30</v>
      </c>
      <c r="B4" s="22" t="s">
        <v>39</v>
      </c>
    </row>
    <row r="5" spans="1:2" ht="15.75" x14ac:dyDescent="0.25">
      <c r="A5" s="22" t="s">
        <v>30</v>
      </c>
      <c r="B5" s="22" t="s">
        <v>39</v>
      </c>
    </row>
    <row r="6" spans="1:2" ht="15.75" x14ac:dyDescent="0.25">
      <c r="A6" s="22" t="s">
        <v>30</v>
      </c>
      <c r="B6" s="22" t="s">
        <v>31</v>
      </c>
    </row>
    <row r="7" spans="1:2" ht="15.75" x14ac:dyDescent="0.25">
      <c r="A7" s="23" t="s">
        <v>30</v>
      </c>
      <c r="B7" s="23" t="s">
        <v>39</v>
      </c>
    </row>
    <row r="8" spans="1:2" ht="15.75" x14ac:dyDescent="0.25">
      <c r="A8" s="23" t="s">
        <v>30</v>
      </c>
      <c r="B8" s="23" t="s">
        <v>31</v>
      </c>
    </row>
    <row r="9" spans="1:2" ht="15.75" x14ac:dyDescent="0.25">
      <c r="A9" s="23" t="s">
        <v>30</v>
      </c>
      <c r="B9" s="23" t="s">
        <v>31</v>
      </c>
    </row>
    <row r="10" spans="1:2" ht="15.75" x14ac:dyDescent="0.25">
      <c r="A10" s="22" t="s">
        <v>30</v>
      </c>
      <c r="B10" s="22" t="s">
        <v>39</v>
      </c>
    </row>
    <row r="11" spans="1:2" ht="15.75" x14ac:dyDescent="0.25">
      <c r="A11" s="22" t="s">
        <v>42</v>
      </c>
      <c r="B11" s="22" t="s">
        <v>39</v>
      </c>
    </row>
    <row r="12" spans="1:2" ht="15.75" x14ac:dyDescent="0.25">
      <c r="A12" s="23" t="s">
        <v>42</v>
      </c>
      <c r="B12" s="23" t="s">
        <v>31</v>
      </c>
    </row>
    <row r="13" spans="1:2" ht="15.75" x14ac:dyDescent="0.25">
      <c r="A13" s="22" t="s">
        <v>42</v>
      </c>
      <c r="B13" s="22" t="s">
        <v>31</v>
      </c>
    </row>
    <row r="14" spans="1:2" ht="15.75" x14ac:dyDescent="0.25">
      <c r="A14" s="23" t="s">
        <v>42</v>
      </c>
      <c r="B14" s="23" t="s">
        <v>97</v>
      </c>
    </row>
    <row r="15" spans="1:2" ht="15.75" x14ac:dyDescent="0.25">
      <c r="A15" s="22" t="s">
        <v>42</v>
      </c>
      <c r="B15" s="22" t="s">
        <v>97</v>
      </c>
    </row>
    <row r="16" spans="1:2" ht="15.75" x14ac:dyDescent="0.25">
      <c r="A16" s="23" t="s">
        <v>42</v>
      </c>
      <c r="B16" s="23" t="s">
        <v>31</v>
      </c>
    </row>
    <row r="17" spans="1:2" ht="15.75" x14ac:dyDescent="0.25">
      <c r="A17" s="22" t="s">
        <v>42</v>
      </c>
      <c r="B17" s="22" t="s">
        <v>31</v>
      </c>
    </row>
    <row r="18" spans="1:2" ht="15.75" x14ac:dyDescent="0.25">
      <c r="A18" s="23" t="s">
        <v>42</v>
      </c>
      <c r="B18" s="23" t="s">
        <v>97</v>
      </c>
    </row>
    <row r="19" spans="1:2" ht="15.75" x14ac:dyDescent="0.25">
      <c r="A19" s="22" t="s">
        <v>42</v>
      </c>
      <c r="B19" s="22" t="s">
        <v>97</v>
      </c>
    </row>
    <row r="20" spans="1:2" ht="15.75" x14ac:dyDescent="0.25">
      <c r="A20" s="23" t="s">
        <v>42</v>
      </c>
      <c r="B20" s="23" t="s">
        <v>31</v>
      </c>
    </row>
    <row r="21" spans="1:2" ht="15.75" x14ac:dyDescent="0.25">
      <c r="A21" s="23" t="s">
        <v>36</v>
      </c>
      <c r="B21" s="23" t="s">
        <v>31</v>
      </c>
    </row>
    <row r="22" spans="1:2" ht="15.75" x14ac:dyDescent="0.25">
      <c r="A22" s="23" t="s">
        <v>36</v>
      </c>
      <c r="B22" s="23" t="s">
        <v>39</v>
      </c>
    </row>
    <row r="23" spans="1:2" ht="15.75" x14ac:dyDescent="0.25">
      <c r="A23" s="22" t="s">
        <v>36</v>
      </c>
      <c r="B23" s="22" t="s">
        <v>31</v>
      </c>
    </row>
    <row r="24" spans="1:2" ht="15.75" x14ac:dyDescent="0.25">
      <c r="A24" s="22" t="s">
        <v>36</v>
      </c>
      <c r="B24" s="22" t="s">
        <v>39</v>
      </c>
    </row>
    <row r="25" spans="1:2" ht="15.75" x14ac:dyDescent="0.25">
      <c r="A25" s="22" t="s">
        <v>36</v>
      </c>
      <c r="B25" s="22" t="s">
        <v>31</v>
      </c>
    </row>
    <row r="26" spans="1:2" ht="15.75" x14ac:dyDescent="0.25">
      <c r="A26" s="23" t="s">
        <v>36</v>
      </c>
      <c r="B26" s="23" t="s">
        <v>31</v>
      </c>
    </row>
    <row r="27" spans="1:2" ht="15.75" x14ac:dyDescent="0.25">
      <c r="A27" s="22" t="s">
        <v>36</v>
      </c>
      <c r="B27" s="22" t="s">
        <v>39</v>
      </c>
    </row>
    <row r="28" spans="1:2" ht="15.75" x14ac:dyDescent="0.25">
      <c r="A28" s="22" t="s">
        <v>36</v>
      </c>
      <c r="B28" s="22" t="s">
        <v>31</v>
      </c>
    </row>
    <row r="29" spans="1:2" ht="15.75" x14ac:dyDescent="0.25">
      <c r="A29" s="23" t="s">
        <v>36</v>
      </c>
      <c r="B29" s="23" t="s">
        <v>39</v>
      </c>
    </row>
    <row r="30" spans="1:2" ht="15.75" x14ac:dyDescent="0.25">
      <c r="A30" s="23" t="s">
        <v>36</v>
      </c>
      <c r="B30" s="23" t="s">
        <v>39</v>
      </c>
    </row>
    <row r="31" spans="1:2" ht="15.75" x14ac:dyDescent="0.25">
      <c r="A31" s="22" t="s">
        <v>38</v>
      </c>
      <c r="B31" s="22" t="s">
        <v>39</v>
      </c>
    </row>
    <row r="32" spans="1:2" ht="15.75" x14ac:dyDescent="0.25">
      <c r="A32" s="23" t="s">
        <v>38</v>
      </c>
      <c r="B32" s="23" t="s">
        <v>39</v>
      </c>
    </row>
    <row r="33" spans="1:2" ht="15.75" x14ac:dyDescent="0.25">
      <c r="A33" s="23" t="s">
        <v>38</v>
      </c>
      <c r="B33" s="23" t="s">
        <v>39</v>
      </c>
    </row>
    <row r="34" spans="1:2" ht="15.75" x14ac:dyDescent="0.25">
      <c r="A34" s="23" t="s">
        <v>38</v>
      </c>
      <c r="B34" s="23" t="s">
        <v>39</v>
      </c>
    </row>
    <row r="35" spans="1:2" ht="15.75" x14ac:dyDescent="0.25">
      <c r="A35" s="23" t="s">
        <v>38</v>
      </c>
      <c r="B35" s="23" t="s">
        <v>31</v>
      </c>
    </row>
    <row r="36" spans="1:2" ht="15.75" x14ac:dyDescent="0.25">
      <c r="A36" s="23" t="s">
        <v>38</v>
      </c>
      <c r="B36" s="23" t="s">
        <v>31</v>
      </c>
    </row>
    <row r="37" spans="1:2" ht="15.75" x14ac:dyDescent="0.25">
      <c r="A37" s="23" t="s">
        <v>38</v>
      </c>
      <c r="B37" s="23" t="s">
        <v>31</v>
      </c>
    </row>
    <row r="38" spans="1:2" ht="15.75" x14ac:dyDescent="0.25">
      <c r="A38" s="23" t="s">
        <v>38</v>
      </c>
      <c r="B38" s="23" t="s">
        <v>39</v>
      </c>
    </row>
    <row r="39" spans="1:2" ht="15.75" x14ac:dyDescent="0.25">
      <c r="A39" s="23" t="s">
        <v>38</v>
      </c>
      <c r="B39" s="23" t="s">
        <v>39</v>
      </c>
    </row>
    <row r="40" spans="1:2" ht="15.75" x14ac:dyDescent="0.25">
      <c r="A40" s="23" t="s">
        <v>38</v>
      </c>
      <c r="B40" s="23" t="s">
        <v>31</v>
      </c>
    </row>
    <row r="41" spans="1:2" ht="15.75" x14ac:dyDescent="0.25">
      <c r="A41" s="23" t="s">
        <v>48</v>
      </c>
      <c r="B41" s="23" t="s">
        <v>31</v>
      </c>
    </row>
    <row r="42" spans="1:2" ht="15.75" x14ac:dyDescent="0.25">
      <c r="A42" s="23" t="s">
        <v>48</v>
      </c>
      <c r="B42" s="23" t="s">
        <v>31</v>
      </c>
    </row>
    <row r="43" spans="1:2" ht="15.75" x14ac:dyDescent="0.25">
      <c r="A43" s="23" t="s">
        <v>48</v>
      </c>
      <c r="B43" s="23" t="s">
        <v>39</v>
      </c>
    </row>
    <row r="44" spans="1:2" ht="15.75" x14ac:dyDescent="0.25">
      <c r="A44" s="22" t="s">
        <v>48</v>
      </c>
      <c r="B44" s="22" t="s">
        <v>31</v>
      </c>
    </row>
    <row r="45" spans="1:2" ht="15.75" x14ac:dyDescent="0.25">
      <c r="A45" s="22" t="s">
        <v>48</v>
      </c>
      <c r="B45" s="22" t="s">
        <v>39</v>
      </c>
    </row>
    <row r="46" spans="1:2" ht="15.75" x14ac:dyDescent="0.25">
      <c r="A46" s="23" t="s">
        <v>48</v>
      </c>
      <c r="B46" s="23" t="s">
        <v>31</v>
      </c>
    </row>
    <row r="47" spans="1:2" ht="15.75" x14ac:dyDescent="0.25">
      <c r="A47" s="22" t="s">
        <v>48</v>
      </c>
      <c r="B47" s="22" t="s">
        <v>39</v>
      </c>
    </row>
    <row r="48" spans="1:2" ht="15.75" x14ac:dyDescent="0.25">
      <c r="A48" s="23" t="s">
        <v>48</v>
      </c>
      <c r="B48" s="23" t="s">
        <v>31</v>
      </c>
    </row>
    <row r="49" spans="1:2" ht="15.75" x14ac:dyDescent="0.25">
      <c r="A49" s="23" t="s">
        <v>48</v>
      </c>
      <c r="B49" s="23" t="s">
        <v>39</v>
      </c>
    </row>
    <row r="50" spans="1:2" ht="15.75" x14ac:dyDescent="0.25">
      <c r="A50" s="22" t="s">
        <v>48</v>
      </c>
      <c r="B50" s="22" t="s">
        <v>39</v>
      </c>
    </row>
    <row r="51" spans="1:2" ht="15.75" x14ac:dyDescent="0.25">
      <c r="A51" s="22" t="s">
        <v>69</v>
      </c>
      <c r="B51" s="22" t="s">
        <v>39</v>
      </c>
    </row>
    <row r="52" spans="1:2" ht="15.75" x14ac:dyDescent="0.25">
      <c r="A52" s="23" t="s">
        <v>69</v>
      </c>
      <c r="B52" s="23" t="s">
        <v>31</v>
      </c>
    </row>
    <row r="53" spans="1:2" ht="15.75" x14ac:dyDescent="0.25">
      <c r="A53" s="23" t="s">
        <v>69</v>
      </c>
      <c r="B53" s="23" t="s">
        <v>31</v>
      </c>
    </row>
    <row r="54" spans="1:2" ht="15.75" x14ac:dyDescent="0.25">
      <c r="A54" s="22" t="s">
        <v>69</v>
      </c>
      <c r="B54" s="22" t="s">
        <v>39</v>
      </c>
    </row>
    <row r="55" spans="1:2" ht="15.75" x14ac:dyDescent="0.25">
      <c r="A55" s="23" t="s">
        <v>69</v>
      </c>
      <c r="B55" s="23" t="s">
        <v>31</v>
      </c>
    </row>
    <row r="56" spans="1:2" ht="15.75" x14ac:dyDescent="0.25">
      <c r="A56" s="22" t="s">
        <v>69</v>
      </c>
      <c r="B56" s="22" t="s">
        <v>31</v>
      </c>
    </row>
    <row r="57" spans="1:2" ht="15.75" x14ac:dyDescent="0.25">
      <c r="A57" s="22" t="s">
        <v>69</v>
      </c>
      <c r="B57" s="22" t="s">
        <v>39</v>
      </c>
    </row>
    <row r="58" spans="1:2" ht="15.75" x14ac:dyDescent="0.25">
      <c r="A58" s="23" t="s">
        <v>69</v>
      </c>
      <c r="B58" s="23" t="s">
        <v>31</v>
      </c>
    </row>
    <row r="59" spans="1:2" ht="15.75" x14ac:dyDescent="0.25">
      <c r="A59" s="23" t="s">
        <v>69</v>
      </c>
      <c r="B59" s="23" t="s">
        <v>39</v>
      </c>
    </row>
    <row r="60" spans="1:2" ht="15.75" x14ac:dyDescent="0.25">
      <c r="A60" s="23" t="s">
        <v>69</v>
      </c>
      <c r="B60" s="23" t="s">
        <v>39</v>
      </c>
    </row>
    <row r="61" spans="1:2" ht="15.75" x14ac:dyDescent="0.25">
      <c r="A61" s="23" t="s">
        <v>53</v>
      </c>
      <c r="B61" s="23" t="s">
        <v>31</v>
      </c>
    </row>
    <row r="62" spans="1:2" ht="15.75" x14ac:dyDescent="0.25">
      <c r="A62" s="23" t="s">
        <v>53</v>
      </c>
      <c r="B62" s="23" t="s">
        <v>39</v>
      </c>
    </row>
    <row r="63" spans="1:2" ht="15.75" x14ac:dyDescent="0.25">
      <c r="A63" s="22" t="s">
        <v>53</v>
      </c>
      <c r="B63" s="22" t="s">
        <v>31</v>
      </c>
    </row>
    <row r="64" spans="1:2" ht="15.75" x14ac:dyDescent="0.25">
      <c r="A64" s="23" t="s">
        <v>53</v>
      </c>
      <c r="B64" s="23" t="s">
        <v>39</v>
      </c>
    </row>
    <row r="65" spans="1:2" ht="15.75" x14ac:dyDescent="0.25">
      <c r="A65" s="22" t="s">
        <v>53</v>
      </c>
      <c r="B65" s="22" t="s">
        <v>31</v>
      </c>
    </row>
    <row r="66" spans="1:2" ht="15.75" x14ac:dyDescent="0.25">
      <c r="A66" s="23" t="s">
        <v>53</v>
      </c>
      <c r="B66" s="23" t="s">
        <v>31</v>
      </c>
    </row>
    <row r="67" spans="1:2" ht="15.75" x14ac:dyDescent="0.25">
      <c r="A67" s="23" t="s">
        <v>53</v>
      </c>
      <c r="B67" s="23" t="s">
        <v>31</v>
      </c>
    </row>
    <row r="68" spans="1:2" ht="15.75" x14ac:dyDescent="0.25">
      <c r="A68" s="22" t="s">
        <v>53</v>
      </c>
      <c r="B68" s="22" t="s">
        <v>39</v>
      </c>
    </row>
    <row r="69" spans="1:2" ht="15.75" x14ac:dyDescent="0.25">
      <c r="A69" s="23" t="s">
        <v>53</v>
      </c>
      <c r="B69" s="23" t="s">
        <v>39</v>
      </c>
    </row>
    <row r="70" spans="1:2" ht="15.75" x14ac:dyDescent="0.25">
      <c r="A70" s="22" t="s">
        <v>53</v>
      </c>
      <c r="B70" s="22" t="s">
        <v>39</v>
      </c>
    </row>
    <row r="71" spans="1:2" ht="15.75" x14ac:dyDescent="0.25">
      <c r="A71" s="22" t="s">
        <v>66</v>
      </c>
      <c r="B71" s="22" t="s">
        <v>39</v>
      </c>
    </row>
    <row r="72" spans="1:2" ht="15.75" x14ac:dyDescent="0.25">
      <c r="A72" s="23" t="s">
        <v>66</v>
      </c>
      <c r="B72" s="23" t="s">
        <v>31</v>
      </c>
    </row>
    <row r="73" spans="1:2" ht="15.75" x14ac:dyDescent="0.25">
      <c r="A73" s="22" t="s">
        <v>66</v>
      </c>
      <c r="B73" s="22" t="s">
        <v>39</v>
      </c>
    </row>
    <row r="74" spans="1:2" ht="15.75" x14ac:dyDescent="0.25">
      <c r="A74" s="22" t="s">
        <v>66</v>
      </c>
      <c r="B74" s="22" t="s">
        <v>31</v>
      </c>
    </row>
    <row r="75" spans="1:2" ht="15.75" x14ac:dyDescent="0.25">
      <c r="A75" s="23" t="s">
        <v>66</v>
      </c>
      <c r="B75" s="23" t="s">
        <v>39</v>
      </c>
    </row>
    <row r="76" spans="1:2" ht="15.75" x14ac:dyDescent="0.25">
      <c r="A76" s="22" t="s">
        <v>66</v>
      </c>
      <c r="B76" s="22" t="s">
        <v>31</v>
      </c>
    </row>
    <row r="77" spans="1:2" ht="15.75" x14ac:dyDescent="0.25">
      <c r="A77" s="22" t="s">
        <v>66</v>
      </c>
      <c r="B77" s="22" t="s">
        <v>31</v>
      </c>
    </row>
    <row r="78" spans="1:2" ht="15.75" x14ac:dyDescent="0.25">
      <c r="A78" s="22" t="s">
        <v>66</v>
      </c>
      <c r="B78" s="22" t="s">
        <v>39</v>
      </c>
    </row>
    <row r="79" spans="1:2" ht="15.75" x14ac:dyDescent="0.25">
      <c r="A79" s="22" t="s">
        <v>66</v>
      </c>
      <c r="B79" s="22" t="s">
        <v>31</v>
      </c>
    </row>
    <row r="80" spans="1:2" ht="15.75" x14ac:dyDescent="0.25">
      <c r="A80" s="22" t="s">
        <v>66</v>
      </c>
      <c r="B80" s="22" t="s">
        <v>39</v>
      </c>
    </row>
    <row r="81" spans="1:2" ht="15.75" x14ac:dyDescent="0.25">
      <c r="A81" s="23" t="s">
        <v>60</v>
      </c>
      <c r="B81" s="23" t="s">
        <v>31</v>
      </c>
    </row>
    <row r="82" spans="1:2" ht="15.75" x14ac:dyDescent="0.25">
      <c r="A82" s="22" t="s">
        <v>60</v>
      </c>
      <c r="B82" s="22" t="s">
        <v>39</v>
      </c>
    </row>
    <row r="83" spans="1:2" ht="15.75" x14ac:dyDescent="0.25">
      <c r="A83" s="22" t="s">
        <v>60</v>
      </c>
      <c r="B83" s="22" t="s">
        <v>31</v>
      </c>
    </row>
    <row r="84" spans="1:2" ht="15.75" x14ac:dyDescent="0.25">
      <c r="A84" s="23" t="s">
        <v>60</v>
      </c>
      <c r="B84" s="23" t="s">
        <v>39</v>
      </c>
    </row>
    <row r="85" spans="1:2" ht="15.75" x14ac:dyDescent="0.25">
      <c r="A85" s="22" t="s">
        <v>60</v>
      </c>
      <c r="B85" s="22" t="s">
        <v>39</v>
      </c>
    </row>
    <row r="86" spans="1:2" ht="15.75" x14ac:dyDescent="0.25">
      <c r="A86" s="22" t="s">
        <v>60</v>
      </c>
      <c r="B86" s="22" t="s">
        <v>31</v>
      </c>
    </row>
    <row r="87" spans="1:2" ht="15.75" x14ac:dyDescent="0.25">
      <c r="A87" s="23" t="s">
        <v>60</v>
      </c>
      <c r="B87" s="23" t="s">
        <v>39</v>
      </c>
    </row>
    <row r="88" spans="1:2" ht="15.75" x14ac:dyDescent="0.25">
      <c r="A88" s="22" t="s">
        <v>60</v>
      </c>
      <c r="B88" s="22" t="s">
        <v>31</v>
      </c>
    </row>
    <row r="89" spans="1:2" ht="15.75" x14ac:dyDescent="0.25">
      <c r="A89" s="22" t="s">
        <v>60</v>
      </c>
      <c r="B89" s="22" t="s">
        <v>31</v>
      </c>
    </row>
    <row r="90" spans="1:2" ht="15.75" x14ac:dyDescent="0.25">
      <c r="A90" s="22" t="s">
        <v>60</v>
      </c>
      <c r="B90" s="22" t="s">
        <v>39</v>
      </c>
    </row>
    <row r="91" spans="1:2" ht="15.75" x14ac:dyDescent="0.25">
      <c r="A91" s="23" t="s">
        <v>44</v>
      </c>
      <c r="B91" s="23" t="s">
        <v>31</v>
      </c>
    </row>
    <row r="92" spans="1:2" ht="15.75" x14ac:dyDescent="0.25">
      <c r="A92" s="22" t="s">
        <v>44</v>
      </c>
      <c r="B92" s="22" t="s">
        <v>39</v>
      </c>
    </row>
    <row r="93" spans="1:2" ht="15.75" x14ac:dyDescent="0.25">
      <c r="A93" s="23" t="s">
        <v>44</v>
      </c>
      <c r="B93" s="23" t="s">
        <v>31</v>
      </c>
    </row>
    <row r="94" spans="1:2" ht="15.75" x14ac:dyDescent="0.25">
      <c r="A94" s="23" t="s">
        <v>44</v>
      </c>
      <c r="B94" s="23" t="s">
        <v>39</v>
      </c>
    </row>
    <row r="95" spans="1:2" ht="15.75" x14ac:dyDescent="0.25">
      <c r="A95" s="22" t="s">
        <v>44</v>
      </c>
      <c r="B95" s="22" t="s">
        <v>39</v>
      </c>
    </row>
    <row r="96" spans="1:2" ht="15.75" x14ac:dyDescent="0.25">
      <c r="A96" s="23" t="s">
        <v>44</v>
      </c>
      <c r="B96" s="23" t="s">
        <v>39</v>
      </c>
    </row>
    <row r="97" spans="1:2" ht="15.75" x14ac:dyDescent="0.25">
      <c r="A97" s="22" t="s">
        <v>44</v>
      </c>
      <c r="B97" s="22" t="s">
        <v>39</v>
      </c>
    </row>
    <row r="98" spans="1:2" ht="15.75" x14ac:dyDescent="0.25">
      <c r="A98" s="23" t="s">
        <v>44</v>
      </c>
      <c r="B98" s="23" t="s">
        <v>31</v>
      </c>
    </row>
    <row r="99" spans="1:2" ht="15.75" x14ac:dyDescent="0.25">
      <c r="A99" s="23" t="s">
        <v>44</v>
      </c>
      <c r="B99" s="23" t="s">
        <v>31</v>
      </c>
    </row>
    <row r="100" spans="1:2" ht="15.75" x14ac:dyDescent="0.25">
      <c r="A100" s="22" t="s">
        <v>44</v>
      </c>
      <c r="B100" s="22" t="s">
        <v>31</v>
      </c>
    </row>
    <row r="101" spans="1:2" ht="15.75" x14ac:dyDescent="0.25">
      <c r="A101" s="22" t="s">
        <v>34</v>
      </c>
      <c r="B101" s="22" t="s">
        <v>39</v>
      </c>
    </row>
    <row r="102" spans="1:2" ht="15.75" x14ac:dyDescent="0.25">
      <c r="A102" s="23" t="s">
        <v>34</v>
      </c>
      <c r="B102" s="23" t="s">
        <v>31</v>
      </c>
    </row>
    <row r="103" spans="1:2" ht="15.75" x14ac:dyDescent="0.25">
      <c r="A103" s="22" t="s">
        <v>34</v>
      </c>
      <c r="B103" s="22" t="s">
        <v>39</v>
      </c>
    </row>
    <row r="104" spans="1:2" ht="15.75" x14ac:dyDescent="0.25">
      <c r="A104" s="23" t="s">
        <v>34</v>
      </c>
      <c r="B104" s="23" t="s">
        <v>31</v>
      </c>
    </row>
    <row r="105" spans="1:2" ht="15.75" x14ac:dyDescent="0.25">
      <c r="A105" s="23" t="s">
        <v>34</v>
      </c>
      <c r="B105" s="23" t="s">
        <v>31</v>
      </c>
    </row>
    <row r="106" spans="1:2" ht="15.75" x14ac:dyDescent="0.25">
      <c r="A106" s="23" t="s">
        <v>34</v>
      </c>
      <c r="B106" s="23" t="s">
        <v>39</v>
      </c>
    </row>
    <row r="107" spans="1:2" ht="15.75" x14ac:dyDescent="0.25">
      <c r="A107" s="23" t="s">
        <v>34</v>
      </c>
      <c r="B107" s="23" t="s">
        <v>31</v>
      </c>
    </row>
    <row r="108" spans="1:2" ht="15.75" x14ac:dyDescent="0.25">
      <c r="A108" s="22" t="s">
        <v>34</v>
      </c>
      <c r="B108" s="22" t="s">
        <v>31</v>
      </c>
    </row>
    <row r="109" spans="1:2" ht="15.75" x14ac:dyDescent="0.25">
      <c r="A109" s="23" t="s">
        <v>34</v>
      </c>
      <c r="B109" s="23" t="s">
        <v>39</v>
      </c>
    </row>
    <row r="110" spans="1:2" ht="15.75" x14ac:dyDescent="0.25">
      <c r="A110" s="22" t="s">
        <v>34</v>
      </c>
      <c r="B110" s="22" t="s">
        <v>39</v>
      </c>
    </row>
    <row r="111" spans="1:2" ht="15.75" x14ac:dyDescent="0.25">
      <c r="A111" s="22" t="s">
        <v>46</v>
      </c>
      <c r="B111" s="22" t="s">
        <v>39</v>
      </c>
    </row>
    <row r="112" spans="1:2" ht="15.75" x14ac:dyDescent="0.25">
      <c r="A112" s="22" t="s">
        <v>46</v>
      </c>
      <c r="B112" s="22" t="s">
        <v>31</v>
      </c>
    </row>
    <row r="113" spans="1:2" ht="15.75" x14ac:dyDescent="0.25">
      <c r="A113" s="22" t="s">
        <v>46</v>
      </c>
      <c r="B113" s="22" t="s">
        <v>31</v>
      </c>
    </row>
    <row r="114" spans="1:2" ht="15.75" x14ac:dyDescent="0.25">
      <c r="A114" s="22" t="s">
        <v>46</v>
      </c>
      <c r="B114" s="22" t="s">
        <v>31</v>
      </c>
    </row>
    <row r="115" spans="1:2" ht="15.75" x14ac:dyDescent="0.25">
      <c r="A115" s="22" t="s">
        <v>46</v>
      </c>
      <c r="B115" s="22" t="s">
        <v>31</v>
      </c>
    </row>
    <row r="116" spans="1:2" ht="15.75" x14ac:dyDescent="0.25">
      <c r="A116" s="22" t="s">
        <v>46</v>
      </c>
      <c r="B116" s="22" t="s">
        <v>39</v>
      </c>
    </row>
    <row r="117" spans="1:2" ht="15.75" x14ac:dyDescent="0.25">
      <c r="A117" s="23" t="s">
        <v>46</v>
      </c>
      <c r="B117" s="23" t="s">
        <v>39</v>
      </c>
    </row>
    <row r="118" spans="1:2" ht="15.75" x14ac:dyDescent="0.25">
      <c r="A118" s="22" t="s">
        <v>46</v>
      </c>
      <c r="B118" s="22" t="s">
        <v>39</v>
      </c>
    </row>
    <row r="119" spans="1:2" ht="15.75" x14ac:dyDescent="0.25">
      <c r="A119" s="22" t="s">
        <v>46</v>
      </c>
      <c r="B119" s="22" t="s">
        <v>31</v>
      </c>
    </row>
    <row r="120" spans="1:2" ht="15.75" x14ac:dyDescent="0.25">
      <c r="A120" s="23" t="s">
        <v>46</v>
      </c>
      <c r="B120" s="23" t="s">
        <v>39</v>
      </c>
    </row>
  </sheetData>
  <sortState ref="A2:B120">
    <sortCondition descending="1"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8"/>
  <sheetViews>
    <sheetView topLeftCell="Y1" zoomScale="90" zoomScaleNormal="90" workbookViewId="0">
      <selection activeCell="AI34" sqref="AI34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7.42578125" style="46" bestFit="1" customWidth="1"/>
    <col min="4" max="4" width="19" bestFit="1" customWidth="1"/>
    <col min="5" max="5" width="10.5703125" bestFit="1" customWidth="1"/>
    <col min="6" max="6" width="14.42578125" bestFit="1" customWidth="1"/>
    <col min="7" max="7" width="14.28515625" bestFit="1" customWidth="1"/>
    <col min="8" max="8" width="9" bestFit="1" customWidth="1"/>
    <col min="9" max="9" width="13.5703125" bestFit="1" customWidth="1"/>
    <col min="10" max="10" width="13.7109375" bestFit="1" customWidth="1"/>
    <col min="11" max="11" width="20.5703125" bestFit="1" customWidth="1"/>
    <col min="12" max="12" width="13.42578125" bestFit="1" customWidth="1"/>
    <col min="13" max="13" width="16.7109375" bestFit="1" customWidth="1"/>
    <col min="14" max="14" width="18.85546875" bestFit="1" customWidth="1"/>
    <col min="15" max="15" width="33.85546875" bestFit="1" customWidth="1"/>
    <col min="16" max="16" width="9.85546875" bestFit="1" customWidth="1"/>
    <col min="17" max="17" width="10.28515625" bestFit="1" customWidth="1"/>
    <col min="18" max="18" width="20" bestFit="1" customWidth="1"/>
    <col min="19" max="19" width="11.42578125" bestFit="1" customWidth="1"/>
    <col min="20" max="20" width="14.42578125" bestFit="1" customWidth="1"/>
    <col min="21" max="21" width="14.28515625" bestFit="1" customWidth="1"/>
    <col min="22" max="22" width="9" bestFit="1" customWidth="1"/>
    <col min="23" max="23" width="13.5703125" bestFit="1" customWidth="1"/>
    <col min="24" max="24" width="13.7109375" bestFit="1" customWidth="1"/>
    <col min="25" max="25" width="16" bestFit="1" customWidth="1"/>
    <col min="26" max="26" width="13.42578125" bestFit="1" customWidth="1"/>
    <col min="27" max="27" width="16.7109375" bestFit="1" customWidth="1"/>
    <col min="28" max="28" width="18.85546875" bestFit="1" customWidth="1"/>
    <col min="29" max="29" width="33.85546875" bestFit="1" customWidth="1"/>
    <col min="30" max="30" width="9.85546875" bestFit="1" customWidth="1"/>
    <col min="31" max="31" width="10.28515625" bestFit="1" customWidth="1"/>
    <col min="32" max="32" width="18.5703125" bestFit="1" customWidth="1"/>
    <col min="33" max="33" width="20" bestFit="1" customWidth="1"/>
    <col min="34" max="34" width="12.42578125" bestFit="1" customWidth="1"/>
    <col min="35" max="35" width="14" bestFit="1" customWidth="1"/>
  </cols>
  <sheetData>
    <row r="1" spans="1:35" x14ac:dyDescent="0.25">
      <c r="A1" s="49">
        <v>42274</v>
      </c>
      <c r="B1" s="36"/>
      <c r="C1" s="44"/>
      <c r="D1" s="36"/>
      <c r="E1" s="37" t="s">
        <v>193</v>
      </c>
      <c r="F1" s="38"/>
      <c r="G1" s="37"/>
      <c r="H1" s="37"/>
      <c r="I1" s="37"/>
      <c r="J1" s="39"/>
      <c r="K1" s="37"/>
      <c r="L1" s="37"/>
      <c r="M1" s="37"/>
      <c r="N1" s="37"/>
      <c r="O1" s="37"/>
      <c r="P1" s="37"/>
      <c r="Q1" s="37"/>
      <c r="R1" s="37"/>
      <c r="S1" s="37" t="s">
        <v>194</v>
      </c>
      <c r="T1" s="37"/>
      <c r="U1" s="37"/>
      <c r="V1" s="37"/>
      <c r="W1" s="38"/>
      <c r="X1" s="38"/>
      <c r="Y1" s="37"/>
      <c r="Z1" s="36"/>
      <c r="AA1" s="36"/>
      <c r="AB1" s="36"/>
      <c r="AC1" s="36"/>
      <c r="AD1" s="36"/>
      <c r="AE1" s="36"/>
      <c r="AF1" s="36"/>
      <c r="AG1" s="36"/>
      <c r="AH1" s="36"/>
      <c r="AI1" s="36"/>
    </row>
    <row r="2" spans="1:35" x14ac:dyDescent="0.25">
      <c r="A2" s="37" t="s">
        <v>26</v>
      </c>
      <c r="B2" s="37" t="s">
        <v>195</v>
      </c>
      <c r="C2" s="45" t="s">
        <v>196</v>
      </c>
      <c r="D2" s="37" t="s">
        <v>197</v>
      </c>
      <c r="E2" s="37" t="s">
        <v>198</v>
      </c>
      <c r="F2" s="38" t="s">
        <v>199</v>
      </c>
      <c r="G2" s="37" t="s">
        <v>200</v>
      </c>
      <c r="H2" s="37" t="s">
        <v>201</v>
      </c>
      <c r="I2" s="38" t="s">
        <v>202</v>
      </c>
      <c r="J2" s="39" t="s">
        <v>203</v>
      </c>
      <c r="K2" s="37" t="s">
        <v>223</v>
      </c>
      <c r="L2" s="37" t="s">
        <v>204</v>
      </c>
      <c r="M2" s="37" t="s">
        <v>205</v>
      </c>
      <c r="N2" s="37" t="s">
        <v>206</v>
      </c>
      <c r="O2" s="37" t="s">
        <v>207</v>
      </c>
      <c r="P2" s="37" t="s">
        <v>208</v>
      </c>
      <c r="Q2" s="37" t="s">
        <v>209</v>
      </c>
      <c r="R2" s="39" t="s">
        <v>210</v>
      </c>
      <c r="S2" s="37" t="s">
        <v>198</v>
      </c>
      <c r="T2" s="38" t="s">
        <v>199</v>
      </c>
      <c r="U2" s="37" t="s">
        <v>200</v>
      </c>
      <c r="V2" s="37" t="s">
        <v>201</v>
      </c>
      <c r="W2" s="38" t="s">
        <v>202</v>
      </c>
      <c r="X2" s="39" t="s">
        <v>203</v>
      </c>
      <c r="Y2" s="37" t="s">
        <v>224</v>
      </c>
      <c r="Z2" s="37" t="s">
        <v>204</v>
      </c>
      <c r="AA2" s="37" t="s">
        <v>205</v>
      </c>
      <c r="AB2" s="37" t="s">
        <v>206</v>
      </c>
      <c r="AC2" s="37" t="s">
        <v>207</v>
      </c>
      <c r="AD2" s="37" t="s">
        <v>208</v>
      </c>
      <c r="AE2" s="37" t="s">
        <v>209</v>
      </c>
      <c r="AF2" s="39" t="s">
        <v>211</v>
      </c>
      <c r="AG2" s="39" t="s">
        <v>212</v>
      </c>
      <c r="AH2" s="37" t="s">
        <v>213</v>
      </c>
      <c r="AI2" s="37" t="s">
        <v>214</v>
      </c>
    </row>
    <row r="3" spans="1:35" x14ac:dyDescent="0.25">
      <c r="A3" s="36" t="s">
        <v>29</v>
      </c>
      <c r="B3" s="36" t="s">
        <v>30</v>
      </c>
      <c r="C3" s="40" t="s">
        <v>31</v>
      </c>
      <c r="D3" s="40" t="s">
        <v>215</v>
      </c>
      <c r="E3" s="41">
        <v>0.33263888888888887</v>
      </c>
      <c r="F3" s="50">
        <v>4.08</v>
      </c>
      <c r="G3" s="42">
        <v>10.83</v>
      </c>
      <c r="H3" s="41">
        <v>0.51736111111111105</v>
      </c>
      <c r="I3" s="43">
        <v>22.5</v>
      </c>
      <c r="J3" s="36">
        <v>9.82</v>
      </c>
      <c r="K3" s="47">
        <f>H3-E3</f>
        <v>0.18472222222222218</v>
      </c>
      <c r="L3" s="42">
        <f>1/60+4</f>
        <v>4.0166666666666666</v>
      </c>
      <c r="M3" s="42">
        <f>J3-G3</f>
        <v>-1.0099999999999998</v>
      </c>
      <c r="N3" s="42">
        <f>M3/K3</f>
        <v>-5.4676691729323315</v>
      </c>
      <c r="O3" s="36"/>
      <c r="P3" s="36"/>
      <c r="Q3" s="36"/>
      <c r="R3" s="36"/>
      <c r="S3" s="47">
        <v>0.51736111111111105</v>
      </c>
      <c r="T3" s="36">
        <v>13.97</v>
      </c>
      <c r="U3" s="42">
        <v>10.44</v>
      </c>
      <c r="V3" s="47">
        <v>0.66666666666666663</v>
      </c>
      <c r="W3" s="36"/>
      <c r="X3" s="42">
        <v>9.34</v>
      </c>
      <c r="Y3" s="41">
        <f>V3-S3</f>
        <v>0.14930555555555558</v>
      </c>
      <c r="Z3" s="42">
        <f>35/60+3</f>
        <v>3.5833333333333335</v>
      </c>
      <c r="AA3" s="36">
        <f>X3-U3</f>
        <v>-1.0999999999999996</v>
      </c>
      <c r="AB3" s="36">
        <f>AA3/Z3</f>
        <v>-0.30697674418604642</v>
      </c>
      <c r="AC3" s="36"/>
      <c r="AD3" s="36"/>
      <c r="AE3" s="36"/>
      <c r="AF3" s="36"/>
      <c r="AG3" s="36"/>
      <c r="AH3" s="36"/>
      <c r="AI3" s="36"/>
    </row>
    <row r="4" spans="1:35" x14ac:dyDescent="0.25">
      <c r="A4" s="36" t="s">
        <v>32</v>
      </c>
      <c r="B4" s="36" t="s">
        <v>30</v>
      </c>
      <c r="C4" s="40" t="s">
        <v>31</v>
      </c>
      <c r="D4" s="40" t="s">
        <v>215</v>
      </c>
      <c r="E4" s="41">
        <v>0.33333333333333331</v>
      </c>
      <c r="F4" s="51">
        <v>4.0999999999999996</v>
      </c>
      <c r="G4" s="42">
        <v>10.85</v>
      </c>
      <c r="H4" s="41">
        <v>0.5180555555555556</v>
      </c>
      <c r="I4" s="36">
        <v>22.4</v>
      </c>
      <c r="J4" s="36">
        <v>9.59</v>
      </c>
      <c r="K4" s="47">
        <f>H4-E4</f>
        <v>0.18472222222222229</v>
      </c>
      <c r="L4" s="42">
        <f>45/60+3</f>
        <v>3.75</v>
      </c>
      <c r="M4" s="42">
        <f t="shared" ref="M4:M67" si="0">J4-G4</f>
        <v>-1.2599999999999998</v>
      </c>
      <c r="N4" s="42">
        <f t="shared" ref="N4:N67" si="1">M4/K4</f>
        <v>-6.8210526315789437</v>
      </c>
      <c r="O4" s="36"/>
      <c r="P4" s="36"/>
      <c r="Q4" s="36"/>
      <c r="R4" s="36"/>
      <c r="S4" s="47">
        <v>0.5180555555555556</v>
      </c>
      <c r="T4" s="36">
        <v>13.98</v>
      </c>
      <c r="U4" s="42">
        <v>10.42</v>
      </c>
      <c r="V4" s="47">
        <v>0.66736111111111107</v>
      </c>
      <c r="W4" s="36"/>
      <c r="X4" s="42">
        <v>9.1999999999999993</v>
      </c>
      <c r="Y4" s="41">
        <f t="shared" ref="Y4:Y67" si="2">V4-S4</f>
        <v>0.14930555555555547</v>
      </c>
      <c r="Z4" s="42">
        <f>35/60+3</f>
        <v>3.5833333333333335</v>
      </c>
      <c r="AA4" s="36">
        <f t="shared" ref="AA4:AA67" si="3">X4-U4</f>
        <v>-1.2200000000000006</v>
      </c>
      <c r="AB4" s="36">
        <f t="shared" ref="AB4:AB67" si="4">AA4/Z4</f>
        <v>-0.34046511627906995</v>
      </c>
      <c r="AC4" s="36"/>
      <c r="AD4" s="36"/>
      <c r="AE4" s="36"/>
      <c r="AF4" s="36"/>
      <c r="AG4" s="36"/>
      <c r="AH4" s="36"/>
      <c r="AI4" s="36"/>
    </row>
    <row r="5" spans="1:35" x14ac:dyDescent="0.25">
      <c r="A5" s="36" t="s">
        <v>33</v>
      </c>
      <c r="B5" s="36" t="s">
        <v>34</v>
      </c>
      <c r="C5" s="40" t="s">
        <v>31</v>
      </c>
      <c r="D5" s="40" t="s">
        <v>215</v>
      </c>
      <c r="E5" s="41">
        <v>0.33402777777777781</v>
      </c>
      <c r="F5" s="51">
        <v>4.0999999999999996</v>
      </c>
      <c r="G5" s="42">
        <v>10.86</v>
      </c>
      <c r="H5" s="41">
        <v>0.51874999999999993</v>
      </c>
      <c r="I5" s="36">
        <v>22.5</v>
      </c>
      <c r="J5" s="36">
        <v>9.74</v>
      </c>
      <c r="K5" s="47">
        <f t="shared" ref="K5:K67" si="5">H5-E5</f>
        <v>0.18472222222222212</v>
      </c>
      <c r="L5" s="42">
        <f>45/60+3</f>
        <v>3.75</v>
      </c>
      <c r="M5" s="42">
        <f t="shared" si="0"/>
        <v>-1.1199999999999992</v>
      </c>
      <c r="N5" s="42">
        <f t="shared" si="1"/>
        <v>-6.0631578947368414</v>
      </c>
      <c r="O5" s="36"/>
      <c r="P5" s="36"/>
      <c r="Q5" s="36"/>
      <c r="R5" s="36"/>
      <c r="S5" s="47">
        <v>0.51875000000000004</v>
      </c>
      <c r="T5" s="42">
        <v>14</v>
      </c>
      <c r="U5" s="42">
        <v>10.45</v>
      </c>
      <c r="V5" s="47">
        <v>0.66875000000000007</v>
      </c>
      <c r="W5" s="36"/>
      <c r="X5" s="42">
        <v>9.31</v>
      </c>
      <c r="Y5" s="41">
        <f t="shared" si="2"/>
        <v>0.15000000000000002</v>
      </c>
      <c r="Z5" s="42">
        <f>36/60+3</f>
        <v>3.6</v>
      </c>
      <c r="AA5" s="36">
        <f t="shared" si="3"/>
        <v>-1.1399999999999988</v>
      </c>
      <c r="AB5" s="36">
        <f t="shared" si="4"/>
        <v>-0.31666666666666632</v>
      </c>
      <c r="AC5" s="36"/>
      <c r="AD5" s="36"/>
      <c r="AE5" s="36"/>
      <c r="AF5" s="36"/>
      <c r="AG5" s="36"/>
      <c r="AH5" s="36"/>
      <c r="AI5" s="36"/>
    </row>
    <row r="6" spans="1:35" x14ac:dyDescent="0.25">
      <c r="A6" s="36" t="s">
        <v>35</v>
      </c>
      <c r="B6" s="36" t="s">
        <v>36</v>
      </c>
      <c r="C6" s="40" t="s">
        <v>31</v>
      </c>
      <c r="D6" s="40" t="s">
        <v>215</v>
      </c>
      <c r="E6" s="41">
        <v>0.33402777777777781</v>
      </c>
      <c r="F6" s="51">
        <v>4.1100000000000003</v>
      </c>
      <c r="G6" s="42">
        <v>10.83</v>
      </c>
      <c r="H6" s="41">
        <v>0.51874999999999993</v>
      </c>
      <c r="I6" s="36">
        <v>22.8</v>
      </c>
      <c r="J6" s="36">
        <v>6.39</v>
      </c>
      <c r="K6" s="47">
        <f t="shared" si="5"/>
        <v>0.18472222222222212</v>
      </c>
      <c r="L6" s="42">
        <f>(47/60)+3</f>
        <v>3.7833333333333332</v>
      </c>
      <c r="M6" s="42">
        <f t="shared" si="0"/>
        <v>-4.4400000000000004</v>
      </c>
      <c r="N6" s="42">
        <f t="shared" si="1"/>
        <v>-24.036090225563925</v>
      </c>
      <c r="O6" s="36"/>
      <c r="P6" s="36"/>
      <c r="Q6" s="36"/>
      <c r="R6" s="36"/>
      <c r="S6" s="47">
        <v>0.51944444444444504</v>
      </c>
      <c r="T6" s="42">
        <v>14.04</v>
      </c>
      <c r="U6" s="42">
        <v>10.43</v>
      </c>
      <c r="V6" s="47">
        <v>0.6694444444444444</v>
      </c>
      <c r="W6" s="36"/>
      <c r="X6" s="42">
        <v>6.79</v>
      </c>
      <c r="Y6" s="41">
        <f t="shared" si="2"/>
        <v>0.14999999999999936</v>
      </c>
      <c r="Z6" s="42">
        <f>36/60+3</f>
        <v>3.6</v>
      </c>
      <c r="AA6" s="36">
        <f t="shared" si="3"/>
        <v>-3.6399999999999997</v>
      </c>
      <c r="AB6" s="36">
        <f t="shared" si="4"/>
        <v>-1.0111111111111111</v>
      </c>
      <c r="AC6" s="36"/>
      <c r="AD6" s="36"/>
      <c r="AE6" s="36"/>
      <c r="AF6" s="36"/>
      <c r="AG6" s="36"/>
      <c r="AH6" s="36"/>
      <c r="AI6" s="36"/>
    </row>
    <row r="7" spans="1:35" x14ac:dyDescent="0.25">
      <c r="A7" s="36" t="s">
        <v>37</v>
      </c>
      <c r="B7" s="36" t="s">
        <v>38</v>
      </c>
      <c r="C7" s="40" t="s">
        <v>39</v>
      </c>
      <c r="D7" s="40" t="s">
        <v>215</v>
      </c>
      <c r="E7" s="41">
        <v>0.33402777777777781</v>
      </c>
      <c r="F7" s="51">
        <v>4.16</v>
      </c>
      <c r="G7" s="42">
        <v>10.885</v>
      </c>
      <c r="H7" s="41">
        <v>0.52013888888888882</v>
      </c>
      <c r="I7" s="36">
        <v>23.3</v>
      </c>
      <c r="J7" s="36">
        <v>10.24</v>
      </c>
      <c r="K7" s="47">
        <f t="shared" si="5"/>
        <v>0.18611111111111101</v>
      </c>
      <c r="L7" s="42">
        <f>48/60+3</f>
        <v>3.8</v>
      </c>
      <c r="M7" s="42">
        <f t="shared" si="0"/>
        <v>-0.64499999999999957</v>
      </c>
      <c r="N7" s="42">
        <f t="shared" si="1"/>
        <v>-3.4656716417910443</v>
      </c>
      <c r="O7" s="36"/>
      <c r="P7" s="36"/>
      <c r="Q7" s="36"/>
      <c r="R7" s="36"/>
      <c r="S7" s="47">
        <v>0.52013888888888904</v>
      </c>
      <c r="T7" s="42">
        <v>14.07</v>
      </c>
      <c r="U7" s="42">
        <v>10.35</v>
      </c>
      <c r="V7" s="47">
        <v>0.67083333333333339</v>
      </c>
      <c r="W7" s="36"/>
      <c r="X7" s="42">
        <v>9.5500000000000007</v>
      </c>
      <c r="Y7" s="41">
        <f t="shared" si="2"/>
        <v>0.15069444444444435</v>
      </c>
      <c r="Z7" s="42">
        <f>37/60+3</f>
        <v>3.6166666666666667</v>
      </c>
      <c r="AA7" s="36">
        <f t="shared" si="3"/>
        <v>-0.79999999999999893</v>
      </c>
      <c r="AB7" s="36">
        <f t="shared" si="4"/>
        <v>-0.22119815668202736</v>
      </c>
      <c r="AC7" s="36"/>
      <c r="AD7" s="36"/>
      <c r="AE7" s="36"/>
      <c r="AF7" s="36"/>
      <c r="AG7" s="36"/>
      <c r="AH7" s="36"/>
      <c r="AI7" s="36"/>
    </row>
    <row r="8" spans="1:35" x14ac:dyDescent="0.25">
      <c r="A8" s="36" t="s">
        <v>40</v>
      </c>
      <c r="B8" s="36" t="s">
        <v>38</v>
      </c>
      <c r="C8" s="40" t="s">
        <v>39</v>
      </c>
      <c r="D8" s="40" t="s">
        <v>215</v>
      </c>
      <c r="E8" s="41">
        <v>0.3347222222222222</v>
      </c>
      <c r="F8" s="51">
        <v>4.21</v>
      </c>
      <c r="G8" s="42">
        <v>10.79</v>
      </c>
      <c r="H8" s="41">
        <v>0.52083333333333337</v>
      </c>
      <c r="I8" s="36">
        <v>22.6</v>
      </c>
      <c r="J8" s="36">
        <v>9.9600000000000009</v>
      </c>
      <c r="K8" s="47">
        <f t="shared" si="5"/>
        <v>0.18611111111111117</v>
      </c>
      <c r="L8" s="42">
        <f>(47/60)+3</f>
        <v>3.7833333333333332</v>
      </c>
      <c r="M8" s="42">
        <f t="shared" si="0"/>
        <v>-0.82999999999999829</v>
      </c>
      <c r="N8" s="42">
        <f t="shared" si="1"/>
        <v>-4.4597014925373024</v>
      </c>
      <c r="O8" s="36"/>
      <c r="P8" s="36"/>
      <c r="Q8" s="36"/>
      <c r="R8" s="36"/>
      <c r="S8" s="47">
        <v>0.52083333333333404</v>
      </c>
      <c r="T8" s="42">
        <v>14.07</v>
      </c>
      <c r="U8" s="42">
        <v>10.29</v>
      </c>
      <c r="V8" s="47">
        <v>0.67152777777777783</v>
      </c>
      <c r="W8" s="36"/>
      <c r="X8" s="42">
        <v>9.52</v>
      </c>
      <c r="Y8" s="41">
        <f t="shared" si="2"/>
        <v>0.1506944444444438</v>
      </c>
      <c r="Z8" s="42">
        <f t="shared" ref="Z8:Z9" si="6">37/60+3</f>
        <v>3.6166666666666667</v>
      </c>
      <c r="AA8" s="36">
        <f t="shared" si="3"/>
        <v>-0.76999999999999957</v>
      </c>
      <c r="AB8" s="36">
        <f t="shared" si="4"/>
        <v>-0.21290322580645149</v>
      </c>
      <c r="AC8" s="36"/>
      <c r="AD8" s="36"/>
      <c r="AE8" s="36"/>
      <c r="AF8" s="36"/>
      <c r="AG8" s="36"/>
      <c r="AH8" s="36"/>
      <c r="AI8" s="36"/>
    </row>
    <row r="9" spans="1:35" x14ac:dyDescent="0.25">
      <c r="A9" s="36" t="s">
        <v>41</v>
      </c>
      <c r="B9" s="36" t="s">
        <v>42</v>
      </c>
      <c r="C9" s="40" t="s">
        <v>39</v>
      </c>
      <c r="D9" s="40" t="s">
        <v>215</v>
      </c>
      <c r="E9" s="41">
        <v>0.3347222222222222</v>
      </c>
      <c r="F9" s="51">
        <v>4.28</v>
      </c>
      <c r="G9" s="42">
        <v>10.74</v>
      </c>
      <c r="H9" s="41">
        <v>0.52152777777777781</v>
      </c>
      <c r="I9" s="36">
        <v>22.6</v>
      </c>
      <c r="J9" s="42">
        <v>10.039999999999999</v>
      </c>
      <c r="K9" s="47">
        <f t="shared" si="5"/>
        <v>0.18680555555555561</v>
      </c>
      <c r="L9" s="42">
        <f>(47/60)+3</f>
        <v>3.7833333333333332</v>
      </c>
      <c r="M9" s="42">
        <f t="shared" si="0"/>
        <v>-0.70000000000000107</v>
      </c>
      <c r="N9" s="42">
        <f t="shared" si="1"/>
        <v>-3.7472118959107852</v>
      </c>
      <c r="O9" s="36"/>
      <c r="P9" s="36"/>
      <c r="Q9" s="36"/>
      <c r="R9" s="36"/>
      <c r="S9" s="47">
        <v>0.52152777777777803</v>
      </c>
      <c r="T9" s="42">
        <v>14.1</v>
      </c>
      <c r="U9" s="42">
        <v>10.25</v>
      </c>
      <c r="V9" s="47">
        <v>0.67222222222222205</v>
      </c>
      <c r="W9" s="36"/>
      <c r="X9" s="42">
        <v>9.4499999999999993</v>
      </c>
      <c r="Y9" s="41">
        <f t="shared" si="2"/>
        <v>0.15069444444444402</v>
      </c>
      <c r="Z9" s="42">
        <f t="shared" si="6"/>
        <v>3.6166666666666667</v>
      </c>
      <c r="AA9" s="36">
        <f t="shared" si="3"/>
        <v>-0.80000000000000071</v>
      </c>
      <c r="AB9" s="36">
        <f t="shared" si="4"/>
        <v>-0.22119815668202786</v>
      </c>
      <c r="AC9" s="36"/>
      <c r="AD9" s="36"/>
      <c r="AE9" s="36"/>
      <c r="AF9" s="36"/>
      <c r="AG9" s="36"/>
      <c r="AH9" s="36"/>
      <c r="AI9" s="36"/>
    </row>
    <row r="10" spans="1:35" x14ac:dyDescent="0.25">
      <c r="A10" s="36" t="s">
        <v>43</v>
      </c>
      <c r="B10" s="36" t="s">
        <v>217</v>
      </c>
      <c r="C10" s="40" t="s">
        <v>31</v>
      </c>
      <c r="D10" s="40" t="s">
        <v>215</v>
      </c>
      <c r="E10" s="41">
        <v>0.3354166666666667</v>
      </c>
      <c r="F10" s="51">
        <v>4.2</v>
      </c>
      <c r="G10" s="42">
        <v>10.78</v>
      </c>
      <c r="H10" s="41">
        <v>0.52222222222222225</v>
      </c>
      <c r="I10" s="36">
        <v>22.3</v>
      </c>
      <c r="J10" s="42">
        <v>7.21</v>
      </c>
      <c r="K10" s="47">
        <f t="shared" si="5"/>
        <v>0.18680555555555556</v>
      </c>
      <c r="L10" s="42">
        <f t="shared" ref="L10" si="7">(47/60)+3</f>
        <v>3.7833333333333332</v>
      </c>
      <c r="M10" s="42">
        <f t="shared" si="0"/>
        <v>-3.5699999999999994</v>
      </c>
      <c r="N10" s="42">
        <f t="shared" si="1"/>
        <v>-19.11078066914498</v>
      </c>
      <c r="O10" s="36"/>
      <c r="P10" s="36"/>
      <c r="Q10" s="36"/>
      <c r="R10" s="36"/>
      <c r="S10" s="47">
        <v>0.52222222222222303</v>
      </c>
      <c r="T10" s="42">
        <v>14.12</v>
      </c>
      <c r="U10" s="42">
        <v>10.27</v>
      </c>
      <c r="V10" s="47">
        <v>0.67361111111111116</v>
      </c>
      <c r="W10" s="36"/>
      <c r="X10" s="42">
        <v>7.14</v>
      </c>
      <c r="Y10" s="41">
        <f t="shared" si="2"/>
        <v>0.15138888888888813</v>
      </c>
      <c r="Z10" s="42">
        <f>38/60+3</f>
        <v>3.6333333333333333</v>
      </c>
      <c r="AA10" s="36">
        <f t="shared" si="3"/>
        <v>-3.13</v>
      </c>
      <c r="AB10" s="36">
        <f t="shared" si="4"/>
        <v>-0.86146788990825685</v>
      </c>
      <c r="AC10" s="36"/>
      <c r="AD10" s="36"/>
      <c r="AE10" s="36"/>
      <c r="AF10" s="36"/>
      <c r="AG10" s="36"/>
      <c r="AH10" s="36"/>
      <c r="AI10" s="36"/>
    </row>
    <row r="11" spans="1:35" x14ac:dyDescent="0.25">
      <c r="A11" s="36" t="s">
        <v>45</v>
      </c>
      <c r="B11" s="36" t="s">
        <v>46</v>
      </c>
      <c r="C11" s="40" t="s">
        <v>39</v>
      </c>
      <c r="D11" s="40" t="s">
        <v>215</v>
      </c>
      <c r="E11" s="41">
        <v>0.33611111111111108</v>
      </c>
      <c r="F11" s="51">
        <v>4.32</v>
      </c>
      <c r="G11" s="42">
        <v>10.95</v>
      </c>
      <c r="H11" s="41">
        <v>0.5229166666666667</v>
      </c>
      <c r="I11" s="36">
        <v>22.7</v>
      </c>
      <c r="J11" s="36">
        <v>9.5399999999999991</v>
      </c>
      <c r="K11" s="47">
        <f t="shared" si="5"/>
        <v>0.18680555555555561</v>
      </c>
      <c r="L11" s="42">
        <f>46/60+3</f>
        <v>3.7666666666666666</v>
      </c>
      <c r="M11" s="42">
        <f t="shared" si="0"/>
        <v>-1.4100000000000001</v>
      </c>
      <c r="N11" s="42">
        <f t="shared" si="1"/>
        <v>-7.5479553903345709</v>
      </c>
      <c r="O11" s="36"/>
      <c r="P11" s="36"/>
      <c r="Q11" s="36"/>
      <c r="R11" s="36"/>
      <c r="S11" s="47">
        <v>0.52291666666666703</v>
      </c>
      <c r="T11" s="42">
        <v>14.15</v>
      </c>
      <c r="U11" s="42">
        <v>10.31</v>
      </c>
      <c r="V11" s="47">
        <v>0.6743055555555556</v>
      </c>
      <c r="W11" s="36"/>
      <c r="X11" s="42">
        <v>9.5</v>
      </c>
      <c r="Y11" s="41">
        <f t="shared" si="2"/>
        <v>0.15138888888888857</v>
      </c>
      <c r="Z11" s="42">
        <f t="shared" ref="Z11:Z14" si="8">38/60+3</f>
        <v>3.6333333333333333</v>
      </c>
      <c r="AA11" s="36">
        <f t="shared" si="3"/>
        <v>-0.8100000000000005</v>
      </c>
      <c r="AB11" s="36">
        <f t="shared" si="4"/>
        <v>-0.22293577981651391</v>
      </c>
      <c r="AC11" s="36"/>
      <c r="AD11" s="36"/>
      <c r="AE11" s="36"/>
      <c r="AF11" s="36"/>
      <c r="AG11" s="36"/>
      <c r="AH11" s="36"/>
      <c r="AI11" s="36"/>
    </row>
    <row r="12" spans="1:35" x14ac:dyDescent="0.25">
      <c r="A12" s="36" t="s">
        <v>47</v>
      </c>
      <c r="B12" s="36" t="s">
        <v>48</v>
      </c>
      <c r="C12" s="40" t="s">
        <v>31</v>
      </c>
      <c r="D12" s="40" t="s">
        <v>215</v>
      </c>
      <c r="E12" s="41">
        <v>0.33680555555555558</v>
      </c>
      <c r="F12" s="51">
        <v>4.45</v>
      </c>
      <c r="G12" s="42">
        <v>10.87</v>
      </c>
      <c r="H12" s="41">
        <v>0.5229166666666667</v>
      </c>
      <c r="I12" s="36">
        <v>23.1</v>
      </c>
      <c r="J12" s="36">
        <v>7.38</v>
      </c>
      <c r="K12" s="47">
        <f>H12-E12</f>
        <v>0.18611111111111112</v>
      </c>
      <c r="L12" s="42">
        <f>44/60+3</f>
        <v>3.7333333333333334</v>
      </c>
      <c r="M12" s="42">
        <f t="shared" si="0"/>
        <v>-3.4899999999999993</v>
      </c>
      <c r="N12" s="42">
        <f t="shared" si="1"/>
        <v>-18.752238805970144</v>
      </c>
      <c r="O12" s="36"/>
      <c r="P12" s="36"/>
      <c r="Q12" s="36"/>
      <c r="R12" s="36"/>
      <c r="S12" s="47">
        <v>0.52361111111111203</v>
      </c>
      <c r="T12" s="42">
        <v>14.18</v>
      </c>
      <c r="U12" s="42">
        <v>10.31</v>
      </c>
      <c r="V12" s="47">
        <v>0.67500000000000004</v>
      </c>
      <c r="W12" s="36"/>
      <c r="X12" s="42">
        <v>7.11</v>
      </c>
      <c r="Y12" s="41">
        <f t="shared" si="2"/>
        <v>0.15138888888888802</v>
      </c>
      <c r="Z12" s="42">
        <f t="shared" si="8"/>
        <v>3.6333333333333333</v>
      </c>
      <c r="AA12" s="36">
        <f t="shared" si="3"/>
        <v>-3.2</v>
      </c>
      <c r="AB12" s="36">
        <f t="shared" si="4"/>
        <v>-0.88073394495412849</v>
      </c>
      <c r="AC12" s="36"/>
      <c r="AD12" s="36"/>
      <c r="AE12" s="36"/>
      <c r="AF12" s="36"/>
      <c r="AG12" s="36"/>
      <c r="AH12" s="36"/>
      <c r="AI12" s="36"/>
    </row>
    <row r="13" spans="1:35" x14ac:dyDescent="0.25">
      <c r="A13" s="36" t="s">
        <v>49</v>
      </c>
      <c r="B13" s="36" t="s">
        <v>46</v>
      </c>
      <c r="C13" s="40" t="s">
        <v>31</v>
      </c>
      <c r="D13" s="40" t="s">
        <v>215</v>
      </c>
      <c r="E13" s="41">
        <v>0.33680555555555558</v>
      </c>
      <c r="F13" s="51">
        <v>4.46</v>
      </c>
      <c r="G13" s="42">
        <v>10.89</v>
      </c>
      <c r="H13" s="41">
        <v>0.52430555555555558</v>
      </c>
      <c r="I13" s="43">
        <v>23</v>
      </c>
      <c r="J13" s="36">
        <v>9.6300000000000008</v>
      </c>
      <c r="K13" s="47">
        <f t="shared" si="5"/>
        <v>0.1875</v>
      </c>
      <c r="L13" s="42">
        <f>43/60+3</f>
        <v>3.7166666666666668</v>
      </c>
      <c r="M13" s="42">
        <f t="shared" si="0"/>
        <v>-1.2599999999999998</v>
      </c>
      <c r="N13" s="42">
        <f t="shared" si="1"/>
        <v>-6.7199999999999989</v>
      </c>
      <c r="O13" s="36"/>
      <c r="P13" s="36"/>
      <c r="Q13" s="36"/>
      <c r="R13" s="36"/>
      <c r="S13" s="47">
        <v>0.52430555555555702</v>
      </c>
      <c r="T13" s="42">
        <v>14.2</v>
      </c>
      <c r="U13" s="42">
        <v>10.31</v>
      </c>
      <c r="V13" s="47">
        <v>0.67569444444444404</v>
      </c>
      <c r="W13" s="36"/>
      <c r="X13" s="42">
        <v>9.19</v>
      </c>
      <c r="Y13" s="41">
        <f t="shared" si="2"/>
        <v>0.15138888888888702</v>
      </c>
      <c r="Z13" s="42">
        <f t="shared" si="8"/>
        <v>3.6333333333333333</v>
      </c>
      <c r="AA13" s="36">
        <f t="shared" si="3"/>
        <v>-1.120000000000001</v>
      </c>
      <c r="AB13" s="36">
        <f t="shared" si="4"/>
        <v>-0.30825688073394525</v>
      </c>
      <c r="AC13" s="36"/>
      <c r="AD13" s="36"/>
      <c r="AE13" s="36"/>
      <c r="AF13" s="36"/>
      <c r="AG13" s="36"/>
      <c r="AH13" s="36"/>
      <c r="AI13" s="36"/>
    </row>
    <row r="14" spans="1:35" x14ac:dyDescent="0.25">
      <c r="A14" s="36" t="s">
        <v>50</v>
      </c>
      <c r="B14" s="36" t="s">
        <v>34</v>
      </c>
      <c r="C14" s="40" t="s">
        <v>31</v>
      </c>
      <c r="D14" s="40" t="s">
        <v>215</v>
      </c>
      <c r="E14" s="41">
        <v>0.33749999999999997</v>
      </c>
      <c r="F14" s="51">
        <v>4.46</v>
      </c>
      <c r="G14" s="42">
        <v>10.9</v>
      </c>
      <c r="H14" s="41">
        <v>0.52500000000000002</v>
      </c>
      <c r="I14" s="36">
        <v>22.6</v>
      </c>
      <c r="J14" s="36">
        <v>9.44</v>
      </c>
      <c r="K14" s="47">
        <f t="shared" si="5"/>
        <v>0.18750000000000006</v>
      </c>
      <c r="L14" s="42">
        <f>44/60+3</f>
        <v>3.7333333333333334</v>
      </c>
      <c r="M14" s="42">
        <f t="shared" si="0"/>
        <v>-1.4600000000000009</v>
      </c>
      <c r="N14" s="42">
        <f t="shared" si="1"/>
        <v>-7.7866666666666688</v>
      </c>
      <c r="O14" s="36"/>
      <c r="P14" s="36"/>
      <c r="Q14" s="36"/>
      <c r="R14" s="36"/>
      <c r="S14" s="47">
        <v>0.52500000000000102</v>
      </c>
      <c r="T14" s="42">
        <v>14.21</v>
      </c>
      <c r="U14" s="42">
        <v>10.34</v>
      </c>
      <c r="V14" s="47">
        <v>0.67638888888888904</v>
      </c>
      <c r="W14" s="36"/>
      <c r="X14" s="42">
        <v>9.0299999999999994</v>
      </c>
      <c r="Y14" s="41">
        <f t="shared" si="2"/>
        <v>0.15138888888888802</v>
      </c>
      <c r="Z14" s="42">
        <f t="shared" si="8"/>
        <v>3.6333333333333333</v>
      </c>
      <c r="AA14" s="36">
        <f t="shared" si="3"/>
        <v>-1.3100000000000005</v>
      </c>
      <c r="AB14" s="36">
        <f t="shared" si="4"/>
        <v>-0.36055045871559649</v>
      </c>
      <c r="AC14" s="36"/>
      <c r="AD14" s="36"/>
      <c r="AE14" s="36"/>
      <c r="AF14" s="36"/>
      <c r="AG14" s="36"/>
      <c r="AH14" s="36"/>
      <c r="AI14" s="36"/>
    </row>
    <row r="15" spans="1:35" x14ac:dyDescent="0.25">
      <c r="A15" s="36" t="s">
        <v>51</v>
      </c>
      <c r="B15" s="36" t="s">
        <v>34</v>
      </c>
      <c r="C15" s="40" t="s">
        <v>39</v>
      </c>
      <c r="D15" s="40" t="s">
        <v>215</v>
      </c>
      <c r="E15" s="41">
        <v>0.33749999999999997</v>
      </c>
      <c r="F15" s="51">
        <v>4.5</v>
      </c>
      <c r="G15" s="42">
        <v>10.91</v>
      </c>
      <c r="H15" s="41">
        <v>0.52569444444444446</v>
      </c>
      <c r="I15" s="36">
        <v>22.8</v>
      </c>
      <c r="J15" s="36">
        <v>9.81</v>
      </c>
      <c r="K15" s="47">
        <f t="shared" si="5"/>
        <v>0.1881944444444445</v>
      </c>
      <c r="L15" s="42">
        <f t="shared" ref="L15" si="9">45/60+3</f>
        <v>3.75</v>
      </c>
      <c r="M15" s="42">
        <f t="shared" si="0"/>
        <v>-1.0999999999999996</v>
      </c>
      <c r="N15" s="42">
        <f t="shared" si="1"/>
        <v>-5.8450184501844982</v>
      </c>
      <c r="O15" s="36"/>
      <c r="P15" s="36"/>
      <c r="Q15" s="36"/>
      <c r="R15" s="36"/>
      <c r="S15" s="47">
        <v>0.52569444444444602</v>
      </c>
      <c r="T15" s="42">
        <v>14.25</v>
      </c>
      <c r="U15" s="42">
        <v>10.37</v>
      </c>
      <c r="V15" s="47">
        <v>0.6777777777777777</v>
      </c>
      <c r="W15" s="36"/>
      <c r="X15" s="42">
        <v>9.42</v>
      </c>
      <c r="Y15" s="41">
        <f t="shared" si="2"/>
        <v>0.15208333333333168</v>
      </c>
      <c r="Z15" s="42">
        <f>39/60+3</f>
        <v>3.65</v>
      </c>
      <c r="AA15" s="36">
        <f t="shared" si="3"/>
        <v>-0.94999999999999929</v>
      </c>
      <c r="AB15" s="36">
        <f t="shared" si="4"/>
        <v>-0.26027397260273955</v>
      </c>
      <c r="AC15" s="36"/>
      <c r="AD15" s="36"/>
      <c r="AE15" s="36"/>
      <c r="AF15" s="36"/>
      <c r="AG15" s="36"/>
      <c r="AH15" s="36"/>
      <c r="AI15" s="36"/>
    </row>
    <row r="16" spans="1:35" x14ac:dyDescent="0.25">
      <c r="A16" s="36" t="s">
        <v>52</v>
      </c>
      <c r="B16" s="36" t="s">
        <v>218</v>
      </c>
      <c r="C16" s="40" t="s">
        <v>31</v>
      </c>
      <c r="D16" s="40" t="s">
        <v>215</v>
      </c>
      <c r="E16" s="41">
        <v>0.33819444444444446</v>
      </c>
      <c r="F16" s="51">
        <v>4.53</v>
      </c>
      <c r="G16" s="42">
        <v>10.89</v>
      </c>
      <c r="H16" s="41">
        <v>0.52638888888888891</v>
      </c>
      <c r="I16" s="36">
        <v>22.8</v>
      </c>
      <c r="J16" s="36">
        <v>9.2799999999999994</v>
      </c>
      <c r="K16" s="47">
        <f t="shared" si="5"/>
        <v>0.18819444444444444</v>
      </c>
      <c r="L16" s="42">
        <f>45/60+3</f>
        <v>3.75</v>
      </c>
      <c r="M16" s="42">
        <f t="shared" si="0"/>
        <v>-1.6100000000000012</v>
      </c>
      <c r="N16" s="42">
        <f t="shared" si="1"/>
        <v>-8.5549815498155048</v>
      </c>
      <c r="O16" s="36"/>
      <c r="P16" s="36"/>
      <c r="Q16" s="36"/>
      <c r="R16" s="36"/>
      <c r="S16" s="47">
        <v>0.52638888888889002</v>
      </c>
      <c r="T16" s="42">
        <v>14.25</v>
      </c>
      <c r="U16" s="42">
        <v>10.33</v>
      </c>
      <c r="V16" s="47">
        <v>0.67847222222222225</v>
      </c>
      <c r="W16" s="36"/>
      <c r="X16" s="42">
        <v>9.1199999999999992</v>
      </c>
      <c r="Y16" s="41">
        <f t="shared" si="2"/>
        <v>0.15208333333333224</v>
      </c>
      <c r="Z16" s="42">
        <f>39/60+3</f>
        <v>3.65</v>
      </c>
      <c r="AA16" s="36">
        <f t="shared" si="3"/>
        <v>-1.2100000000000009</v>
      </c>
      <c r="AB16" s="36">
        <f t="shared" si="4"/>
        <v>-0.33150684931506874</v>
      </c>
      <c r="AC16" s="36"/>
      <c r="AD16" s="36"/>
      <c r="AE16" s="36"/>
      <c r="AF16" s="36"/>
      <c r="AG16" s="36"/>
      <c r="AH16" s="36"/>
      <c r="AI16" s="36"/>
    </row>
    <row r="17" spans="1:35" x14ac:dyDescent="0.25">
      <c r="A17" s="36" t="s">
        <v>54</v>
      </c>
      <c r="B17" s="36" t="s">
        <v>46</v>
      </c>
      <c r="C17" s="40" t="s">
        <v>31</v>
      </c>
      <c r="D17" s="40" t="s">
        <v>215</v>
      </c>
      <c r="E17" s="41">
        <v>0.33819444444444446</v>
      </c>
      <c r="F17" s="51">
        <v>4.66</v>
      </c>
      <c r="G17" s="42">
        <v>10.87</v>
      </c>
      <c r="H17" s="41">
        <v>0.52708333333333335</v>
      </c>
      <c r="I17" s="36">
        <v>22.9</v>
      </c>
      <c r="J17" s="36">
        <v>9.32</v>
      </c>
      <c r="K17" s="47">
        <f t="shared" si="5"/>
        <v>0.18888888888888888</v>
      </c>
      <c r="L17" s="42">
        <f>47/60+3</f>
        <v>3.7833333333333332</v>
      </c>
      <c r="M17" s="42">
        <f t="shared" si="0"/>
        <v>-1.5499999999999989</v>
      </c>
      <c r="N17" s="42">
        <f t="shared" si="1"/>
        <v>-8.2058823529411704</v>
      </c>
      <c r="O17" s="36"/>
      <c r="P17" s="36"/>
      <c r="Q17" s="36"/>
      <c r="R17" s="36"/>
      <c r="S17" s="47">
        <v>0.52708333333333501</v>
      </c>
      <c r="T17" s="42">
        <v>14.29</v>
      </c>
      <c r="U17" s="42">
        <v>10.38</v>
      </c>
      <c r="V17" s="47">
        <v>0.67847222222222225</v>
      </c>
      <c r="W17" s="36"/>
      <c r="X17" s="42">
        <v>7.56</v>
      </c>
      <c r="Y17" s="41">
        <f t="shared" si="2"/>
        <v>0.15138888888888724</v>
      </c>
      <c r="Z17" s="42">
        <f t="shared" ref="Z17" si="10">38/60+3</f>
        <v>3.6333333333333333</v>
      </c>
      <c r="AA17" s="36">
        <f t="shared" si="3"/>
        <v>-2.8200000000000012</v>
      </c>
      <c r="AB17" s="36">
        <f t="shared" si="4"/>
        <v>-0.77614678899082601</v>
      </c>
      <c r="AC17" s="36"/>
      <c r="AD17" s="36"/>
      <c r="AE17" s="36"/>
      <c r="AF17" s="36"/>
      <c r="AG17" s="36"/>
      <c r="AH17" s="36"/>
      <c r="AI17" s="36"/>
    </row>
    <row r="18" spans="1:35" x14ac:dyDescent="0.25">
      <c r="A18" s="36" t="s">
        <v>55</v>
      </c>
      <c r="B18" s="36" t="s">
        <v>36</v>
      </c>
      <c r="C18" s="40" t="s">
        <v>39</v>
      </c>
      <c r="D18" s="40" t="s">
        <v>215</v>
      </c>
      <c r="E18" s="41">
        <v>0.33819444444444446</v>
      </c>
      <c r="F18" s="51">
        <v>4.87</v>
      </c>
      <c r="G18" s="42">
        <v>10.74</v>
      </c>
      <c r="H18" s="41">
        <v>0.52777777777777779</v>
      </c>
      <c r="I18" s="43">
        <v>23</v>
      </c>
      <c r="J18" s="36">
        <v>8.2100000000000009</v>
      </c>
      <c r="K18" s="47">
        <f t="shared" si="5"/>
        <v>0.18958333333333333</v>
      </c>
      <c r="L18" s="42">
        <f>47/60+3</f>
        <v>3.7833333333333332</v>
      </c>
      <c r="M18" s="42">
        <f t="shared" si="0"/>
        <v>-2.5299999999999994</v>
      </c>
      <c r="N18" s="42">
        <f t="shared" si="1"/>
        <v>-13.345054945054942</v>
      </c>
      <c r="O18" s="36"/>
      <c r="P18" s="36"/>
      <c r="Q18" s="36"/>
      <c r="R18" s="36"/>
      <c r="S18" s="47">
        <v>0.52777777777777901</v>
      </c>
      <c r="T18" s="42">
        <v>14.3</v>
      </c>
      <c r="U18" s="42">
        <v>10.32</v>
      </c>
      <c r="V18" s="47">
        <v>0.67986111111111114</v>
      </c>
      <c r="W18" s="36"/>
      <c r="X18" s="42">
        <v>9.06</v>
      </c>
      <c r="Y18" s="41">
        <f t="shared" si="2"/>
        <v>0.15208333333333213</v>
      </c>
      <c r="Z18" s="42">
        <f>39/60+3</f>
        <v>3.65</v>
      </c>
      <c r="AA18" s="36">
        <f t="shared" si="3"/>
        <v>-1.2599999999999998</v>
      </c>
      <c r="AB18" s="36">
        <f t="shared" si="4"/>
        <v>-0.34520547945205476</v>
      </c>
      <c r="AC18" s="36"/>
      <c r="AD18" s="36"/>
      <c r="AE18" s="36"/>
      <c r="AF18" s="36"/>
      <c r="AG18" s="36"/>
      <c r="AH18" s="36"/>
      <c r="AI18" s="36"/>
    </row>
    <row r="19" spans="1:35" x14ac:dyDescent="0.25">
      <c r="A19" s="36" t="s">
        <v>56</v>
      </c>
      <c r="B19" s="36" t="s">
        <v>217</v>
      </c>
      <c r="C19" s="40" t="s">
        <v>39</v>
      </c>
      <c r="D19" s="40" t="s">
        <v>215</v>
      </c>
      <c r="E19" s="41">
        <v>0.33888888888888885</v>
      </c>
      <c r="F19" s="51">
        <v>4.91</v>
      </c>
      <c r="G19" s="42">
        <v>10.88</v>
      </c>
      <c r="H19" s="41">
        <v>0.52847222222222223</v>
      </c>
      <c r="I19" s="43">
        <v>23.3</v>
      </c>
      <c r="J19" s="42">
        <v>9.5</v>
      </c>
      <c r="K19" s="47">
        <f t="shared" si="5"/>
        <v>0.18958333333333338</v>
      </c>
      <c r="L19" s="42">
        <f>3+(51/60)</f>
        <v>3.85</v>
      </c>
      <c r="M19" s="42">
        <f t="shared" si="0"/>
        <v>-1.3800000000000008</v>
      </c>
      <c r="N19" s="42">
        <f t="shared" si="1"/>
        <v>-7.2791208791208817</v>
      </c>
      <c r="O19" s="36"/>
      <c r="P19" s="36"/>
      <c r="Q19" s="36"/>
      <c r="R19" s="36"/>
      <c r="S19" s="47">
        <v>0.52847222222222401</v>
      </c>
      <c r="T19" s="42">
        <v>14.37</v>
      </c>
      <c r="U19" s="42">
        <v>10.32</v>
      </c>
      <c r="V19" s="47">
        <v>0.68055555555555547</v>
      </c>
      <c r="W19" s="36"/>
      <c r="X19" s="42">
        <v>7.77</v>
      </c>
      <c r="Y19" s="41">
        <f t="shared" si="2"/>
        <v>0.15208333333333146</v>
      </c>
      <c r="Z19" s="42">
        <f>39/60+3</f>
        <v>3.65</v>
      </c>
      <c r="AA19" s="36">
        <f t="shared" si="3"/>
        <v>-2.5500000000000007</v>
      </c>
      <c r="AB19" s="36">
        <f t="shared" si="4"/>
        <v>-0.69863013698630161</v>
      </c>
      <c r="AC19" s="36"/>
      <c r="AD19" s="36"/>
      <c r="AE19" s="36"/>
      <c r="AF19" s="36"/>
      <c r="AG19" s="36"/>
      <c r="AH19" s="36"/>
      <c r="AI19" s="36"/>
    </row>
    <row r="20" spans="1:35" x14ac:dyDescent="0.25">
      <c r="A20" s="36" t="s">
        <v>57</v>
      </c>
      <c r="B20" s="36" t="s">
        <v>217</v>
      </c>
      <c r="C20" s="40" t="s">
        <v>31</v>
      </c>
      <c r="D20" s="40" t="s">
        <v>215</v>
      </c>
      <c r="E20" s="41">
        <v>0.33888888888888885</v>
      </c>
      <c r="F20" s="51">
        <v>5</v>
      </c>
      <c r="G20" s="42">
        <v>10.82</v>
      </c>
      <c r="H20" s="41">
        <v>0.52986111111111112</v>
      </c>
      <c r="I20" s="43">
        <v>23</v>
      </c>
      <c r="J20" s="36">
        <v>7.7969999999999997</v>
      </c>
      <c r="K20" s="47">
        <f t="shared" si="5"/>
        <v>0.19097222222222227</v>
      </c>
      <c r="L20" s="42">
        <f>3+(51/60)</f>
        <v>3.85</v>
      </c>
      <c r="M20" s="42">
        <f t="shared" si="0"/>
        <v>-3.0230000000000006</v>
      </c>
      <c r="N20" s="42">
        <f t="shared" si="1"/>
        <v>-15.829527272727272</v>
      </c>
      <c r="O20" s="36"/>
      <c r="P20" s="36"/>
      <c r="Q20" s="36"/>
      <c r="R20" s="36"/>
      <c r="S20" s="47">
        <v>0.52916666666666667</v>
      </c>
      <c r="T20" s="42">
        <v>14.42</v>
      </c>
      <c r="U20" s="42">
        <v>10.28</v>
      </c>
      <c r="V20" s="47">
        <v>0.68333333333333324</v>
      </c>
      <c r="W20" s="36"/>
      <c r="X20" s="42">
        <v>6.66</v>
      </c>
      <c r="Y20" s="41">
        <f t="shared" si="2"/>
        <v>0.15416666666666656</v>
      </c>
      <c r="Z20" s="42">
        <f>42/60+3</f>
        <v>3.7</v>
      </c>
      <c r="AA20" s="36">
        <f t="shared" si="3"/>
        <v>-3.6199999999999992</v>
      </c>
      <c r="AB20" s="36">
        <f t="shared" si="4"/>
        <v>-0.97837837837837816</v>
      </c>
      <c r="AC20" s="36"/>
      <c r="AD20" s="36"/>
      <c r="AE20" s="36"/>
      <c r="AF20" s="36"/>
      <c r="AG20" s="36"/>
      <c r="AH20" s="36"/>
      <c r="AI20" s="36"/>
    </row>
    <row r="21" spans="1:35" x14ac:dyDescent="0.25">
      <c r="A21" s="36" t="s">
        <v>58</v>
      </c>
      <c r="B21" s="36" t="s">
        <v>36</v>
      </c>
      <c r="C21" s="40" t="s">
        <v>31</v>
      </c>
      <c r="D21" s="40" t="s">
        <v>215</v>
      </c>
      <c r="E21" s="41">
        <v>0.33958333333333335</v>
      </c>
      <c r="F21" s="52">
        <v>5.13</v>
      </c>
      <c r="G21" s="42">
        <v>10.73</v>
      </c>
      <c r="H21" s="41">
        <v>0.53125</v>
      </c>
      <c r="I21" s="36">
        <v>23.6</v>
      </c>
      <c r="J21" s="36">
        <v>6.56</v>
      </c>
      <c r="K21" s="47">
        <f t="shared" si="5"/>
        <v>0.19166666666666665</v>
      </c>
      <c r="L21" s="42">
        <f>3+(53/60)</f>
        <v>3.8833333333333333</v>
      </c>
      <c r="M21" s="42">
        <f t="shared" si="0"/>
        <v>-4.1700000000000008</v>
      </c>
      <c r="N21" s="42">
        <f t="shared" si="1"/>
        <v>-21.756521739130442</v>
      </c>
      <c r="O21" s="36"/>
      <c r="P21" s="36"/>
      <c r="Q21" s="36"/>
      <c r="R21" s="36"/>
      <c r="S21" s="47">
        <v>0.53055555555555556</v>
      </c>
      <c r="T21" s="42">
        <v>14.44</v>
      </c>
      <c r="U21" s="42">
        <v>10.3</v>
      </c>
      <c r="V21" s="47">
        <v>0.68402777777777779</v>
      </c>
      <c r="W21" s="36"/>
      <c r="X21" s="42">
        <v>8.15</v>
      </c>
      <c r="Y21" s="41">
        <f t="shared" si="2"/>
        <v>0.15347222222222223</v>
      </c>
      <c r="Z21" s="42">
        <f>41/60+3</f>
        <v>3.6833333333333336</v>
      </c>
      <c r="AA21" s="36">
        <f t="shared" si="3"/>
        <v>-2.1500000000000004</v>
      </c>
      <c r="AB21" s="36">
        <f t="shared" si="4"/>
        <v>-0.58371040723981904</v>
      </c>
      <c r="AC21" s="36"/>
      <c r="AD21" s="36"/>
      <c r="AE21" s="36"/>
      <c r="AF21" s="36"/>
      <c r="AG21" s="36"/>
      <c r="AH21" s="36"/>
      <c r="AI21" s="36"/>
    </row>
    <row r="22" spans="1:35" x14ac:dyDescent="0.25">
      <c r="A22" s="36" t="s">
        <v>59</v>
      </c>
      <c r="B22" s="36" t="s">
        <v>216</v>
      </c>
      <c r="C22" s="40" t="s">
        <v>31</v>
      </c>
      <c r="D22" s="40" t="s">
        <v>215</v>
      </c>
      <c r="E22" s="41">
        <v>0.34027777777777773</v>
      </c>
      <c r="F22" s="52">
        <v>5.13</v>
      </c>
      <c r="G22" s="42">
        <v>10.72</v>
      </c>
      <c r="H22" s="41">
        <v>0.53194444444444444</v>
      </c>
      <c r="I22" s="36">
        <v>23.6</v>
      </c>
      <c r="J22" s="36">
        <v>8.5500000000000007</v>
      </c>
      <c r="K22" s="47">
        <f t="shared" si="5"/>
        <v>0.19166666666666671</v>
      </c>
      <c r="L22" s="42">
        <f>3+(53/60)</f>
        <v>3.8833333333333333</v>
      </c>
      <c r="M22" s="42">
        <f t="shared" si="0"/>
        <v>-2.17</v>
      </c>
      <c r="N22" s="42">
        <f t="shared" si="1"/>
        <v>-11.32173913043478</v>
      </c>
      <c r="O22" s="36"/>
      <c r="P22" s="36"/>
      <c r="Q22" s="36"/>
      <c r="R22" s="36"/>
      <c r="S22" s="47">
        <v>0.53125</v>
      </c>
      <c r="T22" s="42">
        <v>14.45</v>
      </c>
      <c r="U22" s="42">
        <v>10.31</v>
      </c>
      <c r="V22" s="47">
        <v>0.68472222222222223</v>
      </c>
      <c r="W22" s="36"/>
      <c r="X22" s="42">
        <v>8.44</v>
      </c>
      <c r="Y22" s="41">
        <f t="shared" si="2"/>
        <v>0.15347222222222223</v>
      </c>
      <c r="Z22" s="42">
        <f>41/60+3</f>
        <v>3.6833333333333336</v>
      </c>
      <c r="AA22" s="36">
        <f t="shared" si="3"/>
        <v>-1.870000000000001</v>
      </c>
      <c r="AB22" s="36">
        <f t="shared" si="4"/>
        <v>-0.50769230769230789</v>
      </c>
      <c r="AC22" s="36"/>
      <c r="AD22" s="36"/>
      <c r="AE22" s="36"/>
      <c r="AF22" s="36"/>
      <c r="AG22" s="36"/>
      <c r="AH22" s="36"/>
      <c r="AI22" s="36"/>
    </row>
    <row r="23" spans="1:35" x14ac:dyDescent="0.25">
      <c r="A23" s="36" t="s">
        <v>61</v>
      </c>
      <c r="B23" s="36" t="s">
        <v>216</v>
      </c>
      <c r="C23" s="40" t="s">
        <v>39</v>
      </c>
      <c r="D23" s="40" t="s">
        <v>215</v>
      </c>
      <c r="E23" s="41">
        <v>0.34027777777777773</v>
      </c>
      <c r="F23" s="52">
        <v>5.1100000000000003</v>
      </c>
      <c r="G23" s="42">
        <v>10.77</v>
      </c>
      <c r="H23" s="41">
        <v>0.53263888888888888</v>
      </c>
      <c r="I23" s="36">
        <v>23.5</v>
      </c>
      <c r="J23" s="36">
        <v>8.86</v>
      </c>
      <c r="K23" s="47">
        <f t="shared" si="5"/>
        <v>0.19236111111111115</v>
      </c>
      <c r="L23" s="42">
        <f>3+(54/60)</f>
        <v>3.9</v>
      </c>
      <c r="M23" s="42">
        <f t="shared" si="0"/>
        <v>-1.9100000000000001</v>
      </c>
      <c r="N23" s="42">
        <f t="shared" si="1"/>
        <v>-9.9292418772563167</v>
      </c>
      <c r="O23" s="36"/>
      <c r="P23" s="36"/>
      <c r="Q23" s="36"/>
      <c r="R23" s="36"/>
      <c r="S23" s="47">
        <v>0.531944444444444</v>
      </c>
      <c r="T23" s="42">
        <v>14.49</v>
      </c>
      <c r="U23" s="42">
        <v>10.3</v>
      </c>
      <c r="V23" s="47">
        <v>0.68611111111111101</v>
      </c>
      <c r="W23" s="36"/>
      <c r="X23" s="42">
        <v>8.75</v>
      </c>
      <c r="Y23" s="41">
        <f t="shared" si="2"/>
        <v>0.15416666666666701</v>
      </c>
      <c r="Z23" s="42">
        <f>42/60+3</f>
        <v>3.7</v>
      </c>
      <c r="AA23" s="36">
        <f t="shared" si="3"/>
        <v>-1.5500000000000007</v>
      </c>
      <c r="AB23" s="36">
        <f t="shared" si="4"/>
        <v>-0.41891891891891908</v>
      </c>
      <c r="AC23" s="36"/>
      <c r="AD23" s="36"/>
      <c r="AE23" s="36"/>
      <c r="AF23" s="36"/>
      <c r="AG23" s="36"/>
      <c r="AH23" s="36"/>
      <c r="AI23" s="36"/>
    </row>
    <row r="24" spans="1:35" x14ac:dyDescent="0.25">
      <c r="A24" s="36" t="s">
        <v>62</v>
      </c>
      <c r="B24" s="36" t="s">
        <v>42</v>
      </c>
      <c r="C24" s="40" t="s">
        <v>31</v>
      </c>
      <c r="D24" s="40" t="s">
        <v>215</v>
      </c>
      <c r="E24" s="41">
        <v>0.34097222222222223</v>
      </c>
      <c r="F24" s="52">
        <v>5.1100000000000003</v>
      </c>
      <c r="G24" s="42">
        <v>10.77</v>
      </c>
      <c r="H24" s="41">
        <v>0.53263888888888888</v>
      </c>
      <c r="I24" s="36">
        <v>23.6</v>
      </c>
      <c r="J24" s="36">
        <v>9.39</v>
      </c>
      <c r="K24" s="47">
        <f t="shared" si="5"/>
        <v>0.19166666666666665</v>
      </c>
      <c r="L24" s="42">
        <f>3+(54/60)</f>
        <v>3.9</v>
      </c>
      <c r="M24" s="42">
        <f t="shared" si="0"/>
        <v>-1.379999999999999</v>
      </c>
      <c r="N24" s="42">
        <f t="shared" si="1"/>
        <v>-7.1999999999999957</v>
      </c>
      <c r="O24" s="36"/>
      <c r="P24" s="36"/>
      <c r="Q24" s="36"/>
      <c r="R24" s="36"/>
      <c r="S24" s="47">
        <v>0.53263888888888899</v>
      </c>
      <c r="T24" s="42">
        <v>14.49</v>
      </c>
      <c r="U24" s="42">
        <v>10.24</v>
      </c>
      <c r="V24" s="47">
        <v>0.68680555555555556</v>
      </c>
      <c r="W24" s="36"/>
      <c r="X24" s="42">
        <v>7.73</v>
      </c>
      <c r="Y24" s="41">
        <f t="shared" si="2"/>
        <v>0.15416666666666656</v>
      </c>
      <c r="Z24" s="42">
        <f t="shared" ref="Z24" si="11">42/60+3</f>
        <v>3.7</v>
      </c>
      <c r="AA24" s="36">
        <f t="shared" si="3"/>
        <v>-2.5099999999999998</v>
      </c>
      <c r="AB24" s="36">
        <f t="shared" si="4"/>
        <v>-0.67837837837837833</v>
      </c>
      <c r="AC24" s="36"/>
      <c r="AD24" s="36"/>
      <c r="AE24" s="36"/>
      <c r="AF24" s="36"/>
      <c r="AG24" s="36"/>
      <c r="AH24" s="36"/>
      <c r="AI24" s="36"/>
    </row>
    <row r="25" spans="1:35" x14ac:dyDescent="0.25">
      <c r="A25" s="36" t="s">
        <v>63</v>
      </c>
      <c r="B25" s="36" t="s">
        <v>36</v>
      </c>
      <c r="C25" s="40" t="s">
        <v>39</v>
      </c>
      <c r="D25" s="40" t="s">
        <v>215</v>
      </c>
      <c r="E25" s="41">
        <v>0.34097222222222223</v>
      </c>
      <c r="F25" s="52">
        <v>5.16</v>
      </c>
      <c r="G25" s="42">
        <v>10.69</v>
      </c>
      <c r="H25" s="41">
        <v>0.53333333333333333</v>
      </c>
      <c r="I25" s="36">
        <v>23.7</v>
      </c>
      <c r="J25" s="36">
        <v>8.48</v>
      </c>
      <c r="K25" s="47">
        <f>H25-E25</f>
        <v>0.19236111111111109</v>
      </c>
      <c r="L25" s="42">
        <f>3+(54/60)</f>
        <v>3.9</v>
      </c>
      <c r="M25" s="42">
        <f t="shared" si="0"/>
        <v>-2.2099999999999991</v>
      </c>
      <c r="N25" s="42">
        <f t="shared" si="1"/>
        <v>-11.488808664259924</v>
      </c>
      <c r="O25" s="36"/>
      <c r="P25" s="36"/>
      <c r="Q25" s="36"/>
      <c r="R25" s="36"/>
      <c r="S25" s="47">
        <v>0.53333333333333299</v>
      </c>
      <c r="T25" s="42">
        <v>14.45</v>
      </c>
      <c r="U25" s="42">
        <v>10.25</v>
      </c>
      <c r="V25" s="47">
        <v>0.68819444444444444</v>
      </c>
      <c r="W25" s="36"/>
      <c r="X25" s="42">
        <v>9.52</v>
      </c>
      <c r="Y25" s="41">
        <f t="shared" si="2"/>
        <v>0.15486111111111145</v>
      </c>
      <c r="Z25" s="42">
        <f>43/60+3</f>
        <v>3.7166666666666668</v>
      </c>
      <c r="AA25" s="36">
        <f t="shared" si="3"/>
        <v>-0.73000000000000043</v>
      </c>
      <c r="AB25" s="36">
        <f t="shared" si="4"/>
        <v>-0.19641255605381178</v>
      </c>
      <c r="AC25" s="36"/>
      <c r="AD25" s="36"/>
      <c r="AE25" s="36"/>
      <c r="AF25" s="36"/>
      <c r="AG25" s="36"/>
      <c r="AH25" s="36"/>
      <c r="AI25" s="36"/>
    </row>
    <row r="26" spans="1:35" x14ac:dyDescent="0.25">
      <c r="A26" s="36" t="s">
        <v>64</v>
      </c>
      <c r="B26" s="36" t="s">
        <v>38</v>
      </c>
      <c r="C26" s="40" t="s">
        <v>39</v>
      </c>
      <c r="D26" s="40" t="s">
        <v>215</v>
      </c>
      <c r="E26" s="41">
        <v>0.34097222222222223</v>
      </c>
      <c r="F26" s="52">
        <v>5.34</v>
      </c>
      <c r="G26" s="42">
        <v>10.61</v>
      </c>
      <c r="H26" s="41">
        <v>0.53402777777777777</v>
      </c>
      <c r="I26" s="36">
        <v>23.8</v>
      </c>
      <c r="J26" s="36">
        <v>9.65</v>
      </c>
      <c r="K26" s="47">
        <f>H26-E26</f>
        <v>0.19305555555555554</v>
      </c>
      <c r="L26" s="42">
        <f>3+(55/60)</f>
        <v>3.9166666666666665</v>
      </c>
      <c r="M26" s="42">
        <f>J26-G26</f>
        <v>-0.95999999999999908</v>
      </c>
      <c r="N26" s="42">
        <f t="shared" si="1"/>
        <v>-4.9726618705035932</v>
      </c>
      <c r="O26" s="36"/>
      <c r="P26" s="36"/>
      <c r="Q26" s="36"/>
      <c r="R26" s="36"/>
      <c r="S26" s="47">
        <v>0.53402777777777799</v>
      </c>
      <c r="T26" s="42">
        <v>14.55</v>
      </c>
      <c r="U26" s="42">
        <v>10.27</v>
      </c>
      <c r="V26" s="47">
        <v>0.68888888888888899</v>
      </c>
      <c r="W26" s="36"/>
      <c r="X26" s="42">
        <v>8.92</v>
      </c>
      <c r="Y26" s="41">
        <f t="shared" si="2"/>
        <v>0.15486111111111101</v>
      </c>
      <c r="Z26" s="42">
        <f t="shared" ref="Z26:Z27" si="12">43/60+3</f>
        <v>3.7166666666666668</v>
      </c>
      <c r="AA26" s="36">
        <f t="shared" si="3"/>
        <v>-1.3499999999999996</v>
      </c>
      <c r="AB26" s="36">
        <f t="shared" si="4"/>
        <v>-0.36322869955156939</v>
      </c>
      <c r="AC26" s="36"/>
      <c r="AD26" s="36"/>
      <c r="AE26" s="36"/>
      <c r="AF26" s="36"/>
      <c r="AG26" s="36"/>
      <c r="AH26" s="36"/>
      <c r="AI26" s="36"/>
    </row>
    <row r="27" spans="1:35" x14ac:dyDescent="0.25">
      <c r="A27" s="36" t="s">
        <v>65</v>
      </c>
      <c r="B27" s="36" t="s">
        <v>219</v>
      </c>
      <c r="C27" s="44" t="s">
        <v>39</v>
      </c>
      <c r="D27" s="40" t="s">
        <v>215</v>
      </c>
      <c r="E27" s="47">
        <v>0.34236111111111112</v>
      </c>
      <c r="F27" s="52">
        <v>5.37</v>
      </c>
      <c r="G27" s="42">
        <v>10.6</v>
      </c>
      <c r="H27" s="41">
        <v>0.53472222222222199</v>
      </c>
      <c r="I27" s="36">
        <v>23.3</v>
      </c>
      <c r="J27" s="36">
        <v>9.1300000000000008</v>
      </c>
      <c r="K27" s="47">
        <f t="shared" si="5"/>
        <v>0.19236111111111087</v>
      </c>
      <c r="L27" s="42">
        <f t="shared" ref="L27:L90" si="13">3+(55/60)</f>
        <v>3.9166666666666665</v>
      </c>
      <c r="M27" s="42">
        <f>J27-G27</f>
        <v>-1.4699999999999989</v>
      </c>
      <c r="N27" s="42">
        <f t="shared" si="1"/>
        <v>-7.6418772563176933</v>
      </c>
      <c r="O27" s="36"/>
      <c r="P27" s="36"/>
      <c r="Q27" s="36"/>
      <c r="R27" s="36"/>
      <c r="S27" s="47">
        <v>0.53472222222222199</v>
      </c>
      <c r="T27" s="42">
        <v>14.57</v>
      </c>
      <c r="U27" s="42">
        <v>10.25</v>
      </c>
      <c r="V27" s="47">
        <v>0.68958333333333333</v>
      </c>
      <c r="W27" s="36"/>
      <c r="X27" s="42">
        <v>6.72</v>
      </c>
      <c r="Y27" s="41">
        <f t="shared" si="2"/>
        <v>0.15486111111111134</v>
      </c>
      <c r="Z27" s="42">
        <f t="shared" si="12"/>
        <v>3.7166666666666668</v>
      </c>
      <c r="AA27" s="36">
        <f t="shared" si="3"/>
        <v>-3.5300000000000002</v>
      </c>
      <c r="AB27" s="36">
        <f t="shared" si="4"/>
        <v>-0.94977578475336322</v>
      </c>
      <c r="AC27" s="36"/>
      <c r="AD27" s="36"/>
      <c r="AE27" s="36"/>
      <c r="AF27" s="36"/>
      <c r="AG27" s="36"/>
      <c r="AH27" s="36"/>
      <c r="AI27" s="36"/>
    </row>
    <row r="28" spans="1:35" x14ac:dyDescent="0.25">
      <c r="A28" s="36" t="s">
        <v>67</v>
      </c>
      <c r="B28" s="36" t="s">
        <v>219</v>
      </c>
      <c r="C28" s="44" t="s">
        <v>31</v>
      </c>
      <c r="D28" s="40" t="s">
        <v>215</v>
      </c>
      <c r="E28" s="47">
        <v>0.34375</v>
      </c>
      <c r="F28" s="52">
        <v>5.45</v>
      </c>
      <c r="G28" s="36">
        <v>10.61</v>
      </c>
      <c r="H28" s="41">
        <v>0.53541666666666698</v>
      </c>
      <c r="I28" s="36">
        <v>23.8</v>
      </c>
      <c r="J28" s="36">
        <v>7.47</v>
      </c>
      <c r="K28" s="47">
        <f t="shared" si="5"/>
        <v>0.19166666666666698</v>
      </c>
      <c r="L28" s="42">
        <f t="shared" si="13"/>
        <v>3.9166666666666665</v>
      </c>
      <c r="M28" s="42">
        <f>J28-G28</f>
        <v>-3.1399999999999997</v>
      </c>
      <c r="N28" s="42">
        <f t="shared" si="1"/>
        <v>-16.382608695652145</v>
      </c>
      <c r="O28" s="36"/>
      <c r="P28" s="36"/>
      <c r="Q28" s="36"/>
      <c r="R28" s="36"/>
      <c r="S28" s="47">
        <v>0.53541666666666698</v>
      </c>
      <c r="T28" s="42">
        <v>14.59</v>
      </c>
      <c r="U28" s="42">
        <v>10.26</v>
      </c>
      <c r="V28" s="47">
        <v>0.69097222222222221</v>
      </c>
      <c r="W28" s="36"/>
      <c r="X28" s="42">
        <v>9.39</v>
      </c>
      <c r="Y28" s="41">
        <f t="shared" si="2"/>
        <v>0.15555555555555522</v>
      </c>
      <c r="Z28" s="42">
        <f>44/60+3</f>
        <v>3.7333333333333334</v>
      </c>
      <c r="AA28" s="36">
        <f t="shared" si="3"/>
        <v>-0.86999999999999922</v>
      </c>
      <c r="AB28" s="36">
        <f t="shared" si="4"/>
        <v>-0.23303571428571407</v>
      </c>
      <c r="AC28" s="36"/>
      <c r="AD28" s="36"/>
      <c r="AE28" s="36"/>
      <c r="AF28" s="36"/>
      <c r="AG28" s="36"/>
      <c r="AH28" s="36"/>
      <c r="AI28" s="36"/>
    </row>
    <row r="29" spans="1:35" x14ac:dyDescent="0.25">
      <c r="A29" s="36" t="s">
        <v>68</v>
      </c>
      <c r="B29" s="36" t="s">
        <v>69</v>
      </c>
      <c r="C29" s="44" t="s">
        <v>39</v>
      </c>
      <c r="D29" s="40" t="s">
        <v>215</v>
      </c>
      <c r="E29" s="47">
        <v>0.3444444444444445</v>
      </c>
      <c r="F29" s="52">
        <v>5.47</v>
      </c>
      <c r="G29" s="36">
        <v>10.58</v>
      </c>
      <c r="H29" s="41">
        <v>0.53611111111111098</v>
      </c>
      <c r="I29" s="36">
        <v>23.3</v>
      </c>
      <c r="J29" s="36">
        <v>9.94</v>
      </c>
      <c r="K29" s="47">
        <f t="shared" si="5"/>
        <v>0.19166666666666649</v>
      </c>
      <c r="L29" s="42">
        <f t="shared" si="13"/>
        <v>3.9166666666666665</v>
      </c>
      <c r="M29" s="42">
        <f t="shared" si="0"/>
        <v>-0.64000000000000057</v>
      </c>
      <c r="N29" s="42">
        <f t="shared" si="1"/>
        <v>-3.3391304347826147</v>
      </c>
      <c r="O29" s="36"/>
      <c r="P29" s="36"/>
      <c r="Q29" s="36"/>
      <c r="R29" s="36"/>
      <c r="S29" s="47">
        <v>0.53611111111111098</v>
      </c>
      <c r="T29" s="42">
        <v>14.59</v>
      </c>
      <c r="U29" s="42">
        <v>10.24</v>
      </c>
      <c r="V29" s="47">
        <v>0.69166666666666676</v>
      </c>
      <c r="W29" s="36"/>
      <c r="X29" s="42">
        <v>9.39</v>
      </c>
      <c r="Y29" s="41">
        <f t="shared" si="2"/>
        <v>0.15555555555555578</v>
      </c>
      <c r="Z29" s="42">
        <f t="shared" ref="Z29:Z30" si="14">44/60+3</f>
        <v>3.7333333333333334</v>
      </c>
      <c r="AA29" s="36">
        <f t="shared" si="3"/>
        <v>-0.84999999999999964</v>
      </c>
      <c r="AB29" s="36">
        <f t="shared" si="4"/>
        <v>-0.22767857142857134</v>
      </c>
      <c r="AC29" s="36"/>
      <c r="AD29" s="36"/>
      <c r="AE29" s="36"/>
      <c r="AF29" s="36"/>
      <c r="AG29" s="36"/>
      <c r="AH29" s="36"/>
      <c r="AI29" s="36"/>
    </row>
    <row r="30" spans="1:35" x14ac:dyDescent="0.25">
      <c r="A30" s="36" t="s">
        <v>70</v>
      </c>
      <c r="B30" s="36" t="s">
        <v>38</v>
      </c>
      <c r="C30" s="44" t="s">
        <v>39</v>
      </c>
      <c r="D30" s="40" t="s">
        <v>215</v>
      </c>
      <c r="E30" s="34">
        <v>0.3444444444444445</v>
      </c>
      <c r="F30" s="52">
        <v>5.58</v>
      </c>
      <c r="G30" s="36">
        <v>10.55</v>
      </c>
      <c r="H30" s="41">
        <v>0.53749999999999998</v>
      </c>
      <c r="I30" s="36">
        <v>23.3</v>
      </c>
      <c r="J30" s="36">
        <v>9.9700000000000006</v>
      </c>
      <c r="K30" s="47">
        <f t="shared" si="5"/>
        <v>0.19305555555555548</v>
      </c>
      <c r="L30" s="42">
        <f t="shared" si="13"/>
        <v>3.9166666666666665</v>
      </c>
      <c r="M30" s="42">
        <f t="shared" si="0"/>
        <v>-0.58000000000000007</v>
      </c>
      <c r="N30" s="42">
        <f t="shared" si="1"/>
        <v>-3.0043165467625914</v>
      </c>
      <c r="O30" s="36"/>
      <c r="P30" s="36"/>
      <c r="Q30" s="36"/>
      <c r="R30" s="36"/>
      <c r="S30" s="47">
        <v>0.53680555555555598</v>
      </c>
      <c r="T30" s="42">
        <v>14.6</v>
      </c>
      <c r="U30" s="42">
        <v>10.27</v>
      </c>
      <c r="V30" s="47">
        <v>0.69236111111111109</v>
      </c>
      <c r="W30" s="36"/>
      <c r="X30" s="42">
        <v>9.0399999999999991</v>
      </c>
      <c r="Y30" s="41">
        <f t="shared" si="2"/>
        <v>0.15555555555555511</v>
      </c>
      <c r="Z30" s="42">
        <f t="shared" si="14"/>
        <v>3.7333333333333334</v>
      </c>
      <c r="AA30" s="36">
        <f t="shared" si="3"/>
        <v>-1.2300000000000004</v>
      </c>
      <c r="AB30" s="36">
        <f t="shared" si="4"/>
        <v>-0.32946428571428582</v>
      </c>
      <c r="AC30" s="36"/>
      <c r="AD30" s="36"/>
      <c r="AE30" s="36"/>
      <c r="AF30" s="36"/>
      <c r="AG30" s="36"/>
      <c r="AH30" s="36"/>
      <c r="AI30" s="36"/>
    </row>
    <row r="31" spans="1:35" x14ac:dyDescent="0.25">
      <c r="A31" s="36" t="s">
        <v>71</v>
      </c>
      <c r="B31" s="36" t="s">
        <v>46</v>
      </c>
      <c r="C31" s="44" t="s">
        <v>31</v>
      </c>
      <c r="D31" s="40" t="s">
        <v>215</v>
      </c>
      <c r="E31" s="47">
        <v>0.34513888888888888</v>
      </c>
      <c r="F31" s="52">
        <v>5.65</v>
      </c>
      <c r="G31" s="36">
        <v>10.52</v>
      </c>
      <c r="H31" s="41">
        <v>0.53819444444444442</v>
      </c>
      <c r="I31" s="36">
        <v>23.4</v>
      </c>
      <c r="J31" s="36">
        <v>9.49</v>
      </c>
      <c r="K31" s="47">
        <f t="shared" si="5"/>
        <v>0.19305555555555554</v>
      </c>
      <c r="L31" s="42">
        <f t="shared" si="13"/>
        <v>3.9166666666666665</v>
      </c>
      <c r="M31" s="42">
        <f t="shared" si="0"/>
        <v>-1.0299999999999994</v>
      </c>
      <c r="N31" s="42">
        <f t="shared" si="1"/>
        <v>-5.3352517985611483</v>
      </c>
      <c r="O31" s="36"/>
      <c r="P31" s="36"/>
      <c r="Q31" s="36"/>
      <c r="R31" s="36"/>
      <c r="S31" s="47">
        <v>0.53749999999999998</v>
      </c>
      <c r="T31" s="42">
        <v>14.68</v>
      </c>
      <c r="U31" s="42">
        <v>10.27</v>
      </c>
      <c r="V31" s="47">
        <v>0.69374999999999998</v>
      </c>
      <c r="W31" s="36"/>
      <c r="X31" s="42">
        <v>6.53</v>
      </c>
      <c r="Y31" s="41">
        <f t="shared" si="2"/>
        <v>0.15625</v>
      </c>
      <c r="Z31" s="42">
        <f>45/60+3</f>
        <v>3.75</v>
      </c>
      <c r="AA31" s="36">
        <f t="shared" si="3"/>
        <v>-3.7399999999999993</v>
      </c>
      <c r="AB31" s="36">
        <f t="shared" si="4"/>
        <v>-0.99733333333333318</v>
      </c>
      <c r="AC31" s="36"/>
      <c r="AD31" s="36"/>
      <c r="AE31" s="36"/>
      <c r="AF31" s="36"/>
      <c r="AG31" s="36"/>
      <c r="AH31" s="36"/>
      <c r="AI31" s="36"/>
    </row>
    <row r="32" spans="1:35" x14ac:dyDescent="0.25">
      <c r="A32" s="36" t="s">
        <v>72</v>
      </c>
      <c r="B32" s="36" t="s">
        <v>69</v>
      </c>
      <c r="C32" s="44" t="s">
        <v>31</v>
      </c>
      <c r="D32" s="40" t="s">
        <v>215</v>
      </c>
      <c r="E32" s="47">
        <v>0.34513888888888888</v>
      </c>
      <c r="F32" s="52">
        <v>5.65</v>
      </c>
      <c r="G32" s="36">
        <v>10.53</v>
      </c>
      <c r="H32" s="41">
        <v>0.53888888888888886</v>
      </c>
      <c r="I32" s="36">
        <v>23.5</v>
      </c>
      <c r="J32" s="36">
        <v>6.92</v>
      </c>
      <c r="K32" s="47">
        <f t="shared" si="5"/>
        <v>0.19374999999999998</v>
      </c>
      <c r="L32" s="42">
        <f t="shared" si="13"/>
        <v>3.9166666666666665</v>
      </c>
      <c r="M32" s="42">
        <f t="shared" si="0"/>
        <v>-3.6099999999999994</v>
      </c>
      <c r="N32" s="42">
        <f t="shared" si="1"/>
        <v>-18.63225806451613</v>
      </c>
      <c r="O32" s="36"/>
      <c r="P32" s="36"/>
      <c r="Q32" s="36"/>
      <c r="R32" s="36"/>
      <c r="S32" s="47">
        <v>0.53819444444444398</v>
      </c>
      <c r="T32" s="42">
        <v>14.64</v>
      </c>
      <c r="U32" s="42">
        <v>10.27</v>
      </c>
      <c r="V32" s="47">
        <v>0.69444444444444453</v>
      </c>
      <c r="W32" s="36"/>
      <c r="X32" s="42">
        <v>8.6</v>
      </c>
      <c r="Y32" s="41">
        <f t="shared" si="2"/>
        <v>0.15625000000000056</v>
      </c>
      <c r="Z32" s="42">
        <f t="shared" ref="Z32:Z33" si="15">45/60+3</f>
        <v>3.75</v>
      </c>
      <c r="AA32" s="36">
        <f t="shared" si="3"/>
        <v>-1.67</v>
      </c>
      <c r="AB32" s="36">
        <f t="shared" si="4"/>
        <v>-0.4453333333333333</v>
      </c>
      <c r="AC32" s="36"/>
      <c r="AD32" s="36"/>
      <c r="AE32" s="36"/>
      <c r="AF32" s="36"/>
      <c r="AG32" s="36"/>
      <c r="AH32" s="36"/>
      <c r="AI32" s="36"/>
    </row>
    <row r="33" spans="1:28" x14ac:dyDescent="0.25">
      <c r="A33" s="36" t="s">
        <v>73</v>
      </c>
      <c r="B33" s="36" t="s">
        <v>219</v>
      </c>
      <c r="C33" s="46" t="s">
        <v>39</v>
      </c>
      <c r="D33" s="40" t="s">
        <v>215</v>
      </c>
      <c r="E33" s="47">
        <v>0.34513888888888888</v>
      </c>
      <c r="F33" s="52">
        <v>5.64</v>
      </c>
      <c r="G33" s="36">
        <v>10.52</v>
      </c>
      <c r="H33" s="41">
        <v>0.5395833333333333</v>
      </c>
      <c r="I33" s="36">
        <v>23.1</v>
      </c>
      <c r="J33" s="36">
        <v>8.8699999999999992</v>
      </c>
      <c r="K33" s="47">
        <f t="shared" si="5"/>
        <v>0.19444444444444442</v>
      </c>
      <c r="L33" s="42">
        <f t="shared" si="13"/>
        <v>3.9166666666666665</v>
      </c>
      <c r="M33" s="42">
        <f t="shared" si="0"/>
        <v>-1.6500000000000004</v>
      </c>
      <c r="N33" s="42">
        <f t="shared" si="1"/>
        <v>-8.4857142857142893</v>
      </c>
      <c r="S33" s="47">
        <v>0.53888888888888897</v>
      </c>
      <c r="T33" s="54">
        <v>14.68</v>
      </c>
      <c r="U33" s="54">
        <v>10.25</v>
      </c>
      <c r="V33" s="47">
        <v>0.69513888888888897</v>
      </c>
      <c r="X33" s="42">
        <v>6.97</v>
      </c>
      <c r="Y33" s="41">
        <f t="shared" si="2"/>
        <v>0.15625</v>
      </c>
      <c r="Z33" s="42">
        <f t="shared" si="15"/>
        <v>3.75</v>
      </c>
      <c r="AA33" s="36">
        <f t="shared" si="3"/>
        <v>-3.2800000000000002</v>
      </c>
      <c r="AB33" s="36">
        <f t="shared" si="4"/>
        <v>-0.8746666666666667</v>
      </c>
    </row>
    <row r="34" spans="1:28" x14ac:dyDescent="0.25">
      <c r="A34" s="36" t="s">
        <v>74</v>
      </c>
      <c r="B34" t="s">
        <v>69</v>
      </c>
      <c r="C34" s="46" t="s">
        <v>31</v>
      </c>
      <c r="D34" s="40" t="s">
        <v>215</v>
      </c>
      <c r="E34" s="48">
        <v>0.34583333333333338</v>
      </c>
      <c r="F34" s="11">
        <v>5.95</v>
      </c>
      <c r="G34" s="36">
        <v>10.37</v>
      </c>
      <c r="H34" s="41">
        <v>0.5395833333333333</v>
      </c>
      <c r="I34" s="36">
        <v>23.1</v>
      </c>
      <c r="J34" s="36">
        <v>7.53</v>
      </c>
      <c r="K34" s="47">
        <f t="shared" si="5"/>
        <v>0.19374999999999992</v>
      </c>
      <c r="L34" s="42">
        <f t="shared" si="13"/>
        <v>3.9166666666666665</v>
      </c>
      <c r="M34" s="42">
        <f t="shared" si="0"/>
        <v>-2.839999999999999</v>
      </c>
      <c r="N34" s="42">
        <f t="shared" si="1"/>
        <v>-14.658064516129032</v>
      </c>
      <c r="S34" s="47">
        <v>0.53958333333333297</v>
      </c>
      <c r="T34" s="54">
        <v>14.74</v>
      </c>
      <c r="U34" s="54">
        <v>10.25</v>
      </c>
      <c r="V34" s="48">
        <v>0.69652777777777775</v>
      </c>
      <c r="X34" s="54">
        <v>6.78</v>
      </c>
      <c r="Y34" s="41">
        <f t="shared" si="2"/>
        <v>0.15694444444444478</v>
      </c>
      <c r="Z34" s="42">
        <f>46/60+3</f>
        <v>3.7666666666666666</v>
      </c>
      <c r="AA34" s="36">
        <f t="shared" si="3"/>
        <v>-3.4699999999999998</v>
      </c>
      <c r="AB34" s="36">
        <f t="shared" si="4"/>
        <v>-0.92123893805309731</v>
      </c>
    </row>
    <row r="35" spans="1:28" x14ac:dyDescent="0.25">
      <c r="A35" s="36" t="s">
        <v>75</v>
      </c>
      <c r="B35" s="36" t="s">
        <v>219</v>
      </c>
      <c r="C35" s="46" t="s">
        <v>31</v>
      </c>
      <c r="D35" s="40" t="s">
        <v>215</v>
      </c>
      <c r="E35" s="48">
        <v>0.34652777777777777</v>
      </c>
      <c r="F35" s="11">
        <v>6.06</v>
      </c>
      <c r="G35" s="36">
        <v>10.37</v>
      </c>
      <c r="H35" s="41">
        <v>0.54027777777777775</v>
      </c>
      <c r="I35" s="36">
        <v>22.9</v>
      </c>
      <c r="J35" s="36">
        <v>7.35</v>
      </c>
      <c r="K35" s="47">
        <f t="shared" si="5"/>
        <v>0.19374999999999998</v>
      </c>
      <c r="L35" s="42">
        <f t="shared" si="13"/>
        <v>3.9166666666666665</v>
      </c>
      <c r="M35" s="42">
        <f t="shared" si="0"/>
        <v>-3.0199999999999996</v>
      </c>
      <c r="N35" s="42">
        <f t="shared" si="1"/>
        <v>-15.587096774193547</v>
      </c>
      <c r="S35" s="47">
        <v>0.54027777777777797</v>
      </c>
      <c r="T35" s="54">
        <v>14.74</v>
      </c>
      <c r="U35" s="54">
        <v>10.24</v>
      </c>
      <c r="V35" s="48">
        <v>0.6972222222222223</v>
      </c>
      <c r="X35" s="54">
        <v>9.09</v>
      </c>
      <c r="Y35" s="41">
        <f t="shared" si="2"/>
        <v>0.15694444444444433</v>
      </c>
      <c r="Z35" s="42">
        <f t="shared" ref="Z35:Z36" si="16">46/60+3</f>
        <v>3.7666666666666666</v>
      </c>
      <c r="AA35" s="36">
        <f t="shared" si="3"/>
        <v>-1.1500000000000004</v>
      </c>
      <c r="AB35" s="36">
        <f t="shared" si="4"/>
        <v>-0.30530973451327442</v>
      </c>
    </row>
    <row r="36" spans="1:28" x14ac:dyDescent="0.25">
      <c r="A36" s="36" t="s">
        <v>76</v>
      </c>
      <c r="B36" t="s">
        <v>53</v>
      </c>
      <c r="C36" s="46" t="s">
        <v>39</v>
      </c>
      <c r="D36" s="40" t="s">
        <v>215</v>
      </c>
      <c r="E36" s="48">
        <v>0.34652777777777777</v>
      </c>
      <c r="F36" s="11">
        <v>5.99</v>
      </c>
      <c r="G36" s="42">
        <v>10.4</v>
      </c>
      <c r="H36" s="41">
        <v>0.54097222222222219</v>
      </c>
      <c r="I36" s="43">
        <v>23</v>
      </c>
      <c r="J36" s="36">
        <v>9.52</v>
      </c>
      <c r="K36" s="47">
        <f t="shared" si="5"/>
        <v>0.19444444444444442</v>
      </c>
      <c r="L36" s="42">
        <f t="shared" si="13"/>
        <v>3.9166666666666665</v>
      </c>
      <c r="M36" s="42">
        <f t="shared" si="0"/>
        <v>-0.88000000000000078</v>
      </c>
      <c r="N36" s="42">
        <f t="shared" si="1"/>
        <v>-4.5257142857142902</v>
      </c>
      <c r="S36" s="47">
        <v>0.54097222222222197</v>
      </c>
      <c r="T36" s="54">
        <v>14.74</v>
      </c>
      <c r="U36" s="54">
        <v>10.23</v>
      </c>
      <c r="V36" s="48">
        <v>0.69791666666666696</v>
      </c>
      <c r="X36" s="54">
        <v>6.39</v>
      </c>
      <c r="Y36" s="41">
        <f t="shared" si="2"/>
        <v>0.156944444444445</v>
      </c>
      <c r="Z36" s="42">
        <f t="shared" si="16"/>
        <v>3.7666666666666666</v>
      </c>
      <c r="AA36" s="36">
        <f t="shared" si="3"/>
        <v>-3.8400000000000007</v>
      </c>
      <c r="AB36" s="36">
        <f t="shared" si="4"/>
        <v>-1.0194690265486728</v>
      </c>
    </row>
    <row r="37" spans="1:28" x14ac:dyDescent="0.25">
      <c r="A37" s="36" t="s">
        <v>77</v>
      </c>
      <c r="B37" t="s">
        <v>36</v>
      </c>
      <c r="C37" s="46" t="s">
        <v>31</v>
      </c>
      <c r="D37" s="40" t="s">
        <v>215</v>
      </c>
      <c r="E37" s="48">
        <v>0.34652777777777777</v>
      </c>
      <c r="F37" s="53">
        <v>6.05</v>
      </c>
      <c r="G37" s="36">
        <v>10.36</v>
      </c>
      <c r="H37" s="41">
        <v>0.54166666666666663</v>
      </c>
      <c r="I37" s="43">
        <v>23.5</v>
      </c>
      <c r="J37" s="36">
        <v>6.94</v>
      </c>
      <c r="K37" s="47">
        <f t="shared" si="5"/>
        <v>0.19513888888888886</v>
      </c>
      <c r="L37" s="42">
        <f t="shared" si="13"/>
        <v>3.9166666666666665</v>
      </c>
      <c r="M37" s="42">
        <f t="shared" si="0"/>
        <v>-3.419999999999999</v>
      </c>
      <c r="N37" s="42">
        <f t="shared" si="1"/>
        <v>-17.525978647686831</v>
      </c>
      <c r="S37" s="47">
        <v>0.54166666666666696</v>
      </c>
      <c r="T37" s="54">
        <v>14.77</v>
      </c>
      <c r="U37" s="54">
        <v>10.199999999999999</v>
      </c>
      <c r="V37" s="48">
        <v>0.69930555555555562</v>
      </c>
      <c r="X37" s="54">
        <v>9.17</v>
      </c>
      <c r="Y37" s="41">
        <f t="shared" si="2"/>
        <v>0.15763888888888866</v>
      </c>
      <c r="Z37" s="42">
        <f>37/60+3</f>
        <v>3.6166666666666667</v>
      </c>
      <c r="AA37" s="36">
        <f t="shared" si="3"/>
        <v>-1.0299999999999994</v>
      </c>
      <c r="AB37" s="36">
        <f t="shared" si="4"/>
        <v>-0.2847926267281104</v>
      </c>
    </row>
    <row r="38" spans="1:28" x14ac:dyDescent="0.25">
      <c r="A38" s="36" t="s">
        <v>78</v>
      </c>
      <c r="B38" t="s">
        <v>48</v>
      </c>
      <c r="C38" s="46" t="s">
        <v>31</v>
      </c>
      <c r="D38" s="40" t="s">
        <v>215</v>
      </c>
      <c r="E38" s="48">
        <v>0.34722222222222227</v>
      </c>
      <c r="F38" s="53">
        <v>6.04</v>
      </c>
      <c r="G38" s="42">
        <v>10.4</v>
      </c>
      <c r="H38" s="41">
        <v>0.54305555555555551</v>
      </c>
      <c r="I38" s="43">
        <v>23.7</v>
      </c>
      <c r="J38" s="36">
        <v>7.16</v>
      </c>
      <c r="K38" s="47">
        <f>H38-E38</f>
        <v>0.19583333333333325</v>
      </c>
      <c r="L38" s="42">
        <f t="shared" si="13"/>
        <v>3.9166666666666665</v>
      </c>
      <c r="M38" s="42">
        <f t="shared" si="0"/>
        <v>-3.24</v>
      </c>
      <c r="N38" s="42">
        <f t="shared" si="1"/>
        <v>-16.544680851063838</v>
      </c>
      <c r="S38" s="47">
        <v>0.54236111111111096</v>
      </c>
      <c r="T38" s="54">
        <v>14.79</v>
      </c>
      <c r="U38" s="54">
        <v>10.220000000000001</v>
      </c>
      <c r="V38" s="48">
        <v>0.70000000000000007</v>
      </c>
      <c r="X38" s="54">
        <v>8.5</v>
      </c>
      <c r="Y38" s="41">
        <f t="shared" si="2"/>
        <v>0.15763888888888911</v>
      </c>
      <c r="Z38" s="42">
        <f t="shared" ref="Z38:Z44" si="17">37/60+3</f>
        <v>3.6166666666666667</v>
      </c>
      <c r="AA38" s="36">
        <f t="shared" si="3"/>
        <v>-1.7200000000000006</v>
      </c>
      <c r="AB38" s="36">
        <f t="shared" si="4"/>
        <v>-0.47557603686635963</v>
      </c>
    </row>
    <row r="39" spans="1:28" x14ac:dyDescent="0.25">
      <c r="A39" s="36" t="s">
        <v>79</v>
      </c>
      <c r="B39" t="s">
        <v>69</v>
      </c>
      <c r="C39" s="46" t="s">
        <v>39</v>
      </c>
      <c r="D39" s="40" t="s">
        <v>215</v>
      </c>
      <c r="E39" s="48">
        <v>0.34791666666666665</v>
      </c>
      <c r="F39" s="53">
        <v>6.1</v>
      </c>
      <c r="G39" s="36">
        <v>10.36</v>
      </c>
      <c r="H39" s="41">
        <v>0.54375000000000007</v>
      </c>
      <c r="I39" s="43">
        <v>23.1</v>
      </c>
      <c r="J39" s="36">
        <v>9.5399999999999991</v>
      </c>
      <c r="K39" s="47">
        <f t="shared" si="5"/>
        <v>0.19583333333333341</v>
      </c>
      <c r="L39" s="42">
        <f t="shared" si="13"/>
        <v>3.9166666666666665</v>
      </c>
      <c r="M39" s="42">
        <f t="shared" si="0"/>
        <v>-0.82000000000000028</v>
      </c>
      <c r="N39" s="42">
        <f t="shared" si="1"/>
        <v>-4.1872340425531913</v>
      </c>
      <c r="S39" s="47">
        <v>0.54305555555555596</v>
      </c>
      <c r="T39" s="54">
        <v>14.79</v>
      </c>
      <c r="U39" s="54">
        <v>10.220000000000001</v>
      </c>
      <c r="V39" s="48">
        <v>0.7006944444444444</v>
      </c>
      <c r="X39" s="54">
        <v>8.91</v>
      </c>
      <c r="Y39" s="41">
        <f t="shared" si="2"/>
        <v>0.15763888888888844</v>
      </c>
      <c r="Z39" s="42">
        <f t="shared" si="17"/>
        <v>3.6166666666666667</v>
      </c>
      <c r="AA39" s="36">
        <f t="shared" si="3"/>
        <v>-1.3100000000000005</v>
      </c>
      <c r="AB39" s="36">
        <f t="shared" si="4"/>
        <v>-0.36221198156682038</v>
      </c>
    </row>
    <row r="40" spans="1:28" x14ac:dyDescent="0.25">
      <c r="A40" s="36" t="s">
        <v>80</v>
      </c>
      <c r="B40" t="s">
        <v>48</v>
      </c>
      <c r="C40" s="46" t="s">
        <v>39</v>
      </c>
      <c r="D40" s="40" t="s">
        <v>215</v>
      </c>
      <c r="E40" s="48">
        <v>0.34791666666666665</v>
      </c>
      <c r="F40" s="53">
        <v>6.14</v>
      </c>
      <c r="G40" s="42">
        <v>10.33</v>
      </c>
      <c r="H40" s="41">
        <v>0.5444444444444444</v>
      </c>
      <c r="I40" s="43">
        <v>22.7</v>
      </c>
      <c r="J40" s="36">
        <v>9.09</v>
      </c>
      <c r="K40" s="47">
        <f t="shared" si="5"/>
        <v>0.19652777777777775</v>
      </c>
      <c r="L40" s="42">
        <f t="shared" si="13"/>
        <v>3.9166666666666665</v>
      </c>
      <c r="M40" s="42">
        <f t="shared" si="0"/>
        <v>-1.2400000000000002</v>
      </c>
      <c r="N40" s="42">
        <f t="shared" si="1"/>
        <v>-6.3095406360424047</v>
      </c>
      <c r="S40" s="47">
        <v>0.54374999999999996</v>
      </c>
      <c r="T40" s="54">
        <v>14.84</v>
      </c>
      <c r="U40" s="54">
        <v>10.16</v>
      </c>
      <c r="V40" s="48">
        <v>0.70208333333333339</v>
      </c>
      <c r="X40" s="54">
        <v>8.8000000000000007</v>
      </c>
      <c r="Y40" s="41">
        <f t="shared" si="2"/>
        <v>0.15833333333333344</v>
      </c>
      <c r="Z40" s="42">
        <f>38/60+3</f>
        <v>3.6333333333333333</v>
      </c>
      <c r="AA40" s="36">
        <f t="shared" si="3"/>
        <v>-1.3599999999999994</v>
      </c>
      <c r="AB40" s="36">
        <f t="shared" si="4"/>
        <v>-0.37431192660550444</v>
      </c>
    </row>
    <row r="41" spans="1:28" x14ac:dyDescent="0.25">
      <c r="A41" s="36" t="s">
        <v>81</v>
      </c>
      <c r="B41" t="s">
        <v>60</v>
      </c>
      <c r="C41" s="46" t="s">
        <v>31</v>
      </c>
      <c r="D41" s="40" t="s">
        <v>215</v>
      </c>
      <c r="E41" s="48">
        <v>0.34861111111111115</v>
      </c>
      <c r="F41" s="53">
        <v>6.41</v>
      </c>
      <c r="G41" s="36">
        <v>10.27</v>
      </c>
      <c r="H41" s="41">
        <v>0.54513888888888895</v>
      </c>
      <c r="I41" s="43">
        <v>23.1</v>
      </c>
      <c r="J41" s="36">
        <v>9.34</v>
      </c>
      <c r="K41" s="47">
        <f t="shared" si="5"/>
        <v>0.1965277777777778</v>
      </c>
      <c r="L41" s="42">
        <f t="shared" si="13"/>
        <v>3.9166666666666665</v>
      </c>
      <c r="M41" s="42">
        <f t="shared" si="0"/>
        <v>-0.92999999999999972</v>
      </c>
      <c r="N41" s="42">
        <f t="shared" si="1"/>
        <v>-4.7321554770318004</v>
      </c>
      <c r="S41" s="47">
        <v>0.54444444444444395</v>
      </c>
      <c r="T41" s="54">
        <v>14.88</v>
      </c>
      <c r="U41" s="54">
        <v>10.15</v>
      </c>
      <c r="V41" s="48">
        <v>0.70208333333333339</v>
      </c>
      <c r="X41" s="54">
        <v>8.82</v>
      </c>
      <c r="Y41" s="41">
        <f t="shared" si="2"/>
        <v>0.15763888888888944</v>
      </c>
      <c r="Z41" s="42">
        <f t="shared" si="17"/>
        <v>3.6166666666666667</v>
      </c>
      <c r="AA41" s="36">
        <f t="shared" si="3"/>
        <v>-1.33</v>
      </c>
      <c r="AB41" s="36">
        <f t="shared" si="4"/>
        <v>-0.36774193548387096</v>
      </c>
    </row>
    <row r="42" spans="1:28" x14ac:dyDescent="0.25">
      <c r="A42" s="36" t="s">
        <v>82</v>
      </c>
      <c r="B42" t="s">
        <v>34</v>
      </c>
      <c r="C42" s="46" t="s">
        <v>31</v>
      </c>
      <c r="D42" s="40" t="s">
        <v>215</v>
      </c>
      <c r="E42" s="48">
        <v>0.34861111111111115</v>
      </c>
      <c r="F42" s="53">
        <v>6.4</v>
      </c>
      <c r="G42" s="42">
        <v>10.28</v>
      </c>
      <c r="H42" s="41">
        <v>0.54583333333333328</v>
      </c>
      <c r="I42" s="43">
        <v>23.4</v>
      </c>
      <c r="J42" s="36">
        <v>9.19</v>
      </c>
      <c r="K42" s="47">
        <f t="shared" si="5"/>
        <v>0.19722222222222213</v>
      </c>
      <c r="L42" s="42">
        <f t="shared" si="13"/>
        <v>3.9166666666666665</v>
      </c>
      <c r="M42" s="42">
        <f t="shared" si="0"/>
        <v>-1.0899999999999999</v>
      </c>
      <c r="N42" s="42">
        <f t="shared" si="1"/>
        <v>-5.5267605633802832</v>
      </c>
      <c r="S42" s="47">
        <v>0.54513888888888895</v>
      </c>
      <c r="T42" s="54">
        <v>14.87</v>
      </c>
      <c r="U42" s="54">
        <v>10.17</v>
      </c>
      <c r="V42" s="48">
        <v>0.70277777777777783</v>
      </c>
      <c r="X42" s="54">
        <v>6.6</v>
      </c>
      <c r="Y42" s="41">
        <f t="shared" si="2"/>
        <v>0.15763888888888888</v>
      </c>
      <c r="Z42" s="42">
        <f t="shared" si="17"/>
        <v>3.6166666666666667</v>
      </c>
      <c r="AA42" s="36">
        <f t="shared" si="3"/>
        <v>-3.5700000000000003</v>
      </c>
      <c r="AB42" s="36">
        <f t="shared" si="4"/>
        <v>-0.98709677419354847</v>
      </c>
    </row>
    <row r="43" spans="1:28" x14ac:dyDescent="0.25">
      <c r="A43" s="36" t="s">
        <v>83</v>
      </c>
      <c r="B43" t="s">
        <v>42</v>
      </c>
      <c r="C43" s="46" t="s">
        <v>31</v>
      </c>
      <c r="D43" s="40" t="s">
        <v>215</v>
      </c>
      <c r="E43" s="48">
        <v>0.35000000000000003</v>
      </c>
      <c r="F43" s="53">
        <v>6.27</v>
      </c>
      <c r="G43" s="36">
        <v>10.34</v>
      </c>
      <c r="H43" s="41">
        <v>0.54652777777777783</v>
      </c>
      <c r="I43" s="43">
        <v>23.5</v>
      </c>
      <c r="J43" s="36">
        <v>9.1300000000000008</v>
      </c>
      <c r="K43" s="47">
        <f t="shared" si="5"/>
        <v>0.1965277777777778</v>
      </c>
      <c r="L43" s="42">
        <f t="shared" si="13"/>
        <v>3.9166666666666665</v>
      </c>
      <c r="M43" s="42">
        <f t="shared" si="0"/>
        <v>-1.2099999999999991</v>
      </c>
      <c r="N43" s="42">
        <f t="shared" si="1"/>
        <v>-6.156890459363952</v>
      </c>
      <c r="S43" s="47">
        <v>0.54583333333333295</v>
      </c>
      <c r="T43" s="54">
        <v>14.92</v>
      </c>
      <c r="U43" s="54">
        <v>10.17</v>
      </c>
      <c r="V43" s="48">
        <v>0.70347222222222205</v>
      </c>
      <c r="X43" s="54">
        <v>9.1</v>
      </c>
      <c r="Y43" s="41">
        <f t="shared" si="2"/>
        <v>0.15763888888888911</v>
      </c>
      <c r="Z43" s="42">
        <f t="shared" si="17"/>
        <v>3.6166666666666667</v>
      </c>
      <c r="AA43" s="36">
        <f t="shared" si="3"/>
        <v>-1.0700000000000003</v>
      </c>
      <c r="AB43" s="36">
        <f t="shared" si="4"/>
        <v>-0.29585253456221206</v>
      </c>
    </row>
    <row r="44" spans="1:28" x14ac:dyDescent="0.25">
      <c r="A44" s="36" t="s">
        <v>84</v>
      </c>
      <c r="B44" t="s">
        <v>69</v>
      </c>
      <c r="C44" s="46" t="s">
        <v>31</v>
      </c>
      <c r="D44" s="40" t="s">
        <v>215</v>
      </c>
      <c r="E44" s="48">
        <v>0.35000000000000003</v>
      </c>
      <c r="F44" s="53">
        <v>6.37</v>
      </c>
      <c r="G44" s="42">
        <v>10.32</v>
      </c>
      <c r="H44" s="41">
        <v>0.54722222222222217</v>
      </c>
      <c r="I44" s="43">
        <v>23</v>
      </c>
      <c r="J44" s="36">
        <v>6.79</v>
      </c>
      <c r="K44" s="47">
        <f t="shared" si="5"/>
        <v>0.19722222222222213</v>
      </c>
      <c r="L44" s="42">
        <f t="shared" si="13"/>
        <v>3.9166666666666665</v>
      </c>
      <c r="M44" s="42">
        <f t="shared" si="0"/>
        <v>-3.5300000000000002</v>
      </c>
      <c r="N44" s="42">
        <f t="shared" si="1"/>
        <v>-17.898591549295784</v>
      </c>
      <c r="S44" s="47">
        <v>0.54652777777777795</v>
      </c>
      <c r="T44" s="54">
        <v>14.94</v>
      </c>
      <c r="U44" s="54">
        <v>10.17</v>
      </c>
      <c r="V44" s="48">
        <v>0.70416666666666705</v>
      </c>
      <c r="X44" s="54">
        <v>9.2799999999999994</v>
      </c>
      <c r="Y44" s="41">
        <f t="shared" si="2"/>
        <v>0.15763888888888911</v>
      </c>
      <c r="Z44" s="42">
        <f t="shared" si="17"/>
        <v>3.6166666666666667</v>
      </c>
      <c r="AA44" s="36">
        <f t="shared" si="3"/>
        <v>-0.89000000000000057</v>
      </c>
      <c r="AB44" s="36">
        <f t="shared" si="4"/>
        <v>-0.24608294930875591</v>
      </c>
    </row>
    <row r="45" spans="1:28" x14ac:dyDescent="0.25">
      <c r="A45" s="36" t="s">
        <v>85</v>
      </c>
      <c r="B45" t="s">
        <v>46</v>
      </c>
      <c r="C45" s="46" t="s">
        <v>31</v>
      </c>
      <c r="D45" s="40" t="s">
        <v>215</v>
      </c>
      <c r="E45" s="48">
        <v>0.35000000000000003</v>
      </c>
      <c r="F45" s="53">
        <v>6.42</v>
      </c>
      <c r="G45" s="42">
        <v>10.3</v>
      </c>
      <c r="H45" s="41">
        <v>0.54791666666666672</v>
      </c>
      <c r="I45" s="36">
        <v>23.1</v>
      </c>
      <c r="J45" s="36">
        <v>9.34</v>
      </c>
      <c r="K45" s="47">
        <f t="shared" si="5"/>
        <v>0.19791666666666669</v>
      </c>
      <c r="L45" s="42">
        <f t="shared" si="13"/>
        <v>3.9166666666666665</v>
      </c>
      <c r="M45" s="42">
        <f t="shared" si="0"/>
        <v>-0.96000000000000085</v>
      </c>
      <c r="N45" s="42">
        <f t="shared" si="1"/>
        <v>-4.8505263157894776</v>
      </c>
      <c r="S45" s="47">
        <v>0.54722222222222205</v>
      </c>
      <c r="T45" s="54">
        <v>14.98</v>
      </c>
      <c r="U45" s="54">
        <v>10.17</v>
      </c>
      <c r="V45" s="48">
        <v>0.7055555555555556</v>
      </c>
      <c r="X45" s="54">
        <v>6.75</v>
      </c>
      <c r="Y45" s="41">
        <f t="shared" si="2"/>
        <v>0.15833333333333355</v>
      </c>
      <c r="Z45" s="42">
        <f>38/60+3</f>
        <v>3.6333333333333333</v>
      </c>
      <c r="AA45" s="36">
        <f t="shared" si="3"/>
        <v>-3.42</v>
      </c>
      <c r="AB45" s="36">
        <f t="shared" si="4"/>
        <v>-0.94128440366972477</v>
      </c>
    </row>
    <row r="46" spans="1:28" x14ac:dyDescent="0.25">
      <c r="A46" s="36" t="s">
        <v>86</v>
      </c>
      <c r="B46" t="s">
        <v>217</v>
      </c>
      <c r="C46" s="46" t="s">
        <v>39</v>
      </c>
      <c r="D46" s="40" t="s">
        <v>215</v>
      </c>
      <c r="E46" s="48">
        <v>0.35069444444444442</v>
      </c>
      <c r="F46" s="53">
        <v>6.51</v>
      </c>
      <c r="G46" s="42">
        <v>10.27</v>
      </c>
      <c r="H46" s="41">
        <v>0.54861111111111105</v>
      </c>
      <c r="I46" s="36">
        <v>23.1</v>
      </c>
      <c r="J46" s="36">
        <v>10.15</v>
      </c>
      <c r="K46" s="47">
        <f t="shared" si="5"/>
        <v>0.19791666666666663</v>
      </c>
      <c r="L46" s="42">
        <f t="shared" si="13"/>
        <v>3.9166666666666665</v>
      </c>
      <c r="M46" s="42">
        <f t="shared" si="0"/>
        <v>-0.11999999999999922</v>
      </c>
      <c r="N46" s="42">
        <f t="shared" si="1"/>
        <v>-0.60631578947368037</v>
      </c>
      <c r="S46" s="47">
        <v>0.54791666666666705</v>
      </c>
      <c r="T46" s="54">
        <v>15.01</v>
      </c>
      <c r="U46" s="54">
        <v>10.17</v>
      </c>
      <c r="V46" s="48">
        <v>0.70624999999999993</v>
      </c>
      <c r="X46" s="54">
        <v>6.51</v>
      </c>
      <c r="Y46" s="41">
        <f t="shared" si="2"/>
        <v>0.15833333333333288</v>
      </c>
      <c r="Z46" s="42">
        <f t="shared" ref="Z46:Z48" si="18">38/60+3</f>
        <v>3.6333333333333333</v>
      </c>
      <c r="AA46" s="36">
        <f t="shared" si="3"/>
        <v>-3.66</v>
      </c>
      <c r="AB46" s="36">
        <f t="shared" si="4"/>
        <v>-1.0073394495412844</v>
      </c>
    </row>
    <row r="47" spans="1:28" x14ac:dyDescent="0.25">
      <c r="A47" s="36" t="s">
        <v>87</v>
      </c>
      <c r="B47" t="s">
        <v>69</v>
      </c>
      <c r="C47" s="46" t="s">
        <v>31</v>
      </c>
      <c r="D47" s="40" t="s">
        <v>215</v>
      </c>
      <c r="E47" s="48">
        <v>0.35069444444444442</v>
      </c>
      <c r="F47" s="11">
        <v>6.48</v>
      </c>
      <c r="G47" s="42">
        <v>10.31</v>
      </c>
      <c r="H47" s="41">
        <v>0.5493055555555556</v>
      </c>
      <c r="I47" s="36">
        <v>23.7</v>
      </c>
      <c r="J47" s="36">
        <v>6.63</v>
      </c>
      <c r="K47" s="47">
        <f>H47-E47</f>
        <v>0.19861111111111118</v>
      </c>
      <c r="L47" s="42">
        <f t="shared" si="13"/>
        <v>3.9166666666666665</v>
      </c>
      <c r="M47" s="42">
        <f t="shared" si="0"/>
        <v>-3.6800000000000006</v>
      </c>
      <c r="N47" s="42">
        <f t="shared" si="1"/>
        <v>-18.528671328671326</v>
      </c>
      <c r="S47" s="47">
        <v>0.54861111111111105</v>
      </c>
      <c r="T47" s="54">
        <v>15.09</v>
      </c>
      <c r="U47" s="54">
        <v>10.14</v>
      </c>
      <c r="V47" s="48">
        <v>0.70694444444444438</v>
      </c>
      <c r="X47" s="54">
        <v>9.3800000000000008</v>
      </c>
      <c r="Y47" s="41">
        <f t="shared" si="2"/>
        <v>0.15833333333333333</v>
      </c>
      <c r="Z47" s="42">
        <f t="shared" si="18"/>
        <v>3.6333333333333333</v>
      </c>
      <c r="AA47" s="36">
        <f t="shared" si="3"/>
        <v>-0.75999999999999979</v>
      </c>
      <c r="AB47" s="36">
        <f t="shared" si="4"/>
        <v>-0.20917431192660546</v>
      </c>
    </row>
    <row r="48" spans="1:28" x14ac:dyDescent="0.25">
      <c r="A48" s="36" t="s">
        <v>88</v>
      </c>
      <c r="B48" t="s">
        <v>38</v>
      </c>
      <c r="C48" s="46" t="s">
        <v>31</v>
      </c>
      <c r="D48" s="40" t="s">
        <v>215</v>
      </c>
      <c r="E48" s="48">
        <v>0.35138888888888892</v>
      </c>
      <c r="F48" s="11">
        <v>6.68</v>
      </c>
      <c r="G48" s="42">
        <v>10.220000000000001</v>
      </c>
      <c r="H48" s="34">
        <v>0.5493055555555556</v>
      </c>
      <c r="I48" s="36">
        <v>23.9</v>
      </c>
      <c r="J48" s="36">
        <v>6.25</v>
      </c>
      <c r="K48" s="47">
        <f t="shared" si="5"/>
        <v>0.19791666666666669</v>
      </c>
      <c r="L48" s="42">
        <f t="shared" si="13"/>
        <v>3.9166666666666665</v>
      </c>
      <c r="M48" s="42">
        <f t="shared" si="0"/>
        <v>-3.9700000000000006</v>
      </c>
      <c r="N48" s="42">
        <f t="shared" si="1"/>
        <v>-20.058947368421055</v>
      </c>
      <c r="S48" s="47">
        <v>0.54930555555555505</v>
      </c>
      <c r="T48" s="54">
        <v>15.1</v>
      </c>
      <c r="U48" s="54">
        <v>10.130000000000001</v>
      </c>
      <c r="V48" s="48">
        <v>0.70763888888888893</v>
      </c>
      <c r="X48" s="54">
        <v>8.64</v>
      </c>
      <c r="Y48" s="41">
        <f t="shared" si="2"/>
        <v>0.15833333333333388</v>
      </c>
      <c r="Z48" s="42">
        <f t="shared" si="18"/>
        <v>3.6333333333333333</v>
      </c>
      <c r="AA48" s="36">
        <f t="shared" si="3"/>
        <v>-1.4900000000000002</v>
      </c>
      <c r="AB48" s="36">
        <f t="shared" si="4"/>
        <v>-0.41009174311926611</v>
      </c>
    </row>
    <row r="49" spans="1:28" x14ac:dyDescent="0.25">
      <c r="A49" s="36" t="s">
        <v>89</v>
      </c>
      <c r="B49" t="s">
        <v>30</v>
      </c>
      <c r="C49" s="46" t="s">
        <v>39</v>
      </c>
      <c r="D49" s="40" t="s">
        <v>215</v>
      </c>
      <c r="E49" s="48">
        <v>0.35138888888888892</v>
      </c>
      <c r="F49" s="11">
        <v>6.75</v>
      </c>
      <c r="G49" s="42">
        <v>10.23</v>
      </c>
      <c r="H49" s="41">
        <v>0.55069444444444449</v>
      </c>
      <c r="I49" s="36">
        <v>23.6</v>
      </c>
      <c r="J49" s="36">
        <v>9.5</v>
      </c>
      <c r="K49" s="47">
        <f t="shared" si="5"/>
        <v>0.19930555555555557</v>
      </c>
      <c r="L49" s="42">
        <f t="shared" si="13"/>
        <v>3.9166666666666665</v>
      </c>
      <c r="M49" s="42">
        <f t="shared" si="0"/>
        <v>-0.73000000000000043</v>
      </c>
      <c r="N49" s="42">
        <f t="shared" si="1"/>
        <v>-3.662717770034845</v>
      </c>
      <c r="S49" s="47">
        <v>0.55000000000000004</v>
      </c>
      <c r="T49" s="54">
        <v>15.2</v>
      </c>
      <c r="U49" s="54">
        <v>10.119999999999999</v>
      </c>
      <c r="V49" s="48">
        <v>0.7090277777777777</v>
      </c>
      <c r="X49" s="54">
        <v>9.5</v>
      </c>
      <c r="Y49" s="41">
        <f t="shared" si="2"/>
        <v>0.15902777777777766</v>
      </c>
      <c r="Z49" s="42">
        <f>49/60+3</f>
        <v>3.8166666666666664</v>
      </c>
      <c r="AA49" s="36">
        <f t="shared" si="3"/>
        <v>-0.61999999999999922</v>
      </c>
      <c r="AB49" s="36">
        <f t="shared" si="4"/>
        <v>-0.16244541484716138</v>
      </c>
    </row>
    <row r="50" spans="1:28" x14ac:dyDescent="0.25">
      <c r="A50" s="36" t="s">
        <v>90</v>
      </c>
      <c r="B50" t="s">
        <v>219</v>
      </c>
      <c r="C50" s="46" t="s">
        <v>39</v>
      </c>
      <c r="D50" s="40" t="s">
        <v>222</v>
      </c>
      <c r="E50" s="48">
        <v>0.35138888888888892</v>
      </c>
      <c r="F50" s="11">
        <v>6.81</v>
      </c>
      <c r="G50" s="42">
        <v>10.17</v>
      </c>
      <c r="H50" s="41">
        <v>0.55138888888888882</v>
      </c>
      <c r="I50" s="36">
        <v>23.5</v>
      </c>
      <c r="J50" s="36">
        <v>8.93</v>
      </c>
      <c r="K50" s="47">
        <f t="shared" si="5"/>
        <v>0.1999999999999999</v>
      </c>
      <c r="L50" s="42">
        <f t="shared" si="13"/>
        <v>3.9166666666666665</v>
      </c>
      <c r="M50" s="42">
        <f t="shared" si="0"/>
        <v>-1.2400000000000002</v>
      </c>
      <c r="N50" s="42">
        <f t="shared" si="1"/>
        <v>-6.2000000000000037</v>
      </c>
      <c r="S50" s="47">
        <v>0.55069444444444404</v>
      </c>
      <c r="T50" s="54">
        <v>15.19</v>
      </c>
      <c r="U50" s="54">
        <v>10.15</v>
      </c>
      <c r="V50" s="48">
        <v>0.7104166666666667</v>
      </c>
      <c r="X50" s="54">
        <v>8.9600000000000009</v>
      </c>
      <c r="Y50" s="41">
        <f t="shared" si="2"/>
        <v>0.15972222222222265</v>
      </c>
      <c r="Z50" s="42">
        <f>50/60+3</f>
        <v>3.8333333333333335</v>
      </c>
      <c r="AA50" s="36">
        <f t="shared" si="3"/>
        <v>-1.1899999999999995</v>
      </c>
      <c r="AB50" s="36">
        <f t="shared" si="4"/>
        <v>-0.3104347826086955</v>
      </c>
    </row>
    <row r="51" spans="1:28" x14ac:dyDescent="0.25">
      <c r="A51" s="36" t="s">
        <v>91</v>
      </c>
      <c r="B51" t="s">
        <v>30</v>
      </c>
      <c r="C51" s="46" t="s">
        <v>39</v>
      </c>
      <c r="D51" s="40" t="s">
        <v>215</v>
      </c>
      <c r="E51" s="48">
        <v>0.3520833333333333</v>
      </c>
      <c r="F51" s="11">
        <v>6.71</v>
      </c>
      <c r="G51" s="42">
        <v>10.25</v>
      </c>
      <c r="H51" s="41">
        <v>0.55208333333333337</v>
      </c>
      <c r="I51" s="36">
        <v>23.6</v>
      </c>
      <c r="J51" s="36">
        <v>9.76</v>
      </c>
      <c r="K51" s="47">
        <f t="shared" si="5"/>
        <v>0.20000000000000007</v>
      </c>
      <c r="L51" s="42">
        <f t="shared" si="13"/>
        <v>3.9166666666666665</v>
      </c>
      <c r="M51" s="42">
        <f t="shared" si="0"/>
        <v>-0.49000000000000021</v>
      </c>
      <c r="N51" s="42">
        <f t="shared" si="1"/>
        <v>-2.4500000000000002</v>
      </c>
      <c r="S51" s="47">
        <v>0.55138888888888904</v>
      </c>
      <c r="T51" s="54">
        <v>15.21</v>
      </c>
      <c r="U51" s="54">
        <v>10.11</v>
      </c>
      <c r="V51" s="48">
        <v>0.71111111111111114</v>
      </c>
      <c r="X51" s="54">
        <v>8.68</v>
      </c>
      <c r="Y51" s="41">
        <f t="shared" si="2"/>
        <v>0.1597222222222221</v>
      </c>
      <c r="Z51" s="42">
        <f t="shared" ref="Z51:Z52" si="19">50/60+3</f>
        <v>3.8333333333333335</v>
      </c>
      <c r="AA51" s="36">
        <f t="shared" si="3"/>
        <v>-1.4299999999999997</v>
      </c>
      <c r="AB51" s="36">
        <f t="shared" si="4"/>
        <v>-0.37304347826086948</v>
      </c>
    </row>
    <row r="52" spans="1:28" x14ac:dyDescent="0.25">
      <c r="A52" s="36" t="s">
        <v>92</v>
      </c>
      <c r="B52" t="s">
        <v>216</v>
      </c>
      <c r="C52" s="46" t="s">
        <v>39</v>
      </c>
      <c r="D52" s="40" t="s">
        <v>215</v>
      </c>
      <c r="E52" s="48">
        <v>0.3527777777777778</v>
      </c>
      <c r="F52" s="11">
        <v>6.75</v>
      </c>
      <c r="G52" s="42">
        <v>10.28</v>
      </c>
      <c r="H52" s="41">
        <v>0.55277777777777781</v>
      </c>
      <c r="I52" s="36">
        <v>23.8</v>
      </c>
      <c r="J52" s="36">
        <v>9.41</v>
      </c>
      <c r="K52" s="47">
        <f t="shared" si="5"/>
        <v>0.2</v>
      </c>
      <c r="L52" s="42">
        <f t="shared" si="13"/>
        <v>3.9166666666666665</v>
      </c>
      <c r="M52" s="42">
        <f t="shared" si="0"/>
        <v>-0.86999999999999922</v>
      </c>
      <c r="N52" s="42">
        <f t="shared" si="1"/>
        <v>-4.3499999999999961</v>
      </c>
      <c r="S52" s="47">
        <v>0.55208333333333304</v>
      </c>
      <c r="T52" s="54">
        <v>15.19</v>
      </c>
      <c r="U52" s="54">
        <v>10.16</v>
      </c>
      <c r="V52" s="48">
        <v>0.71180555555555602</v>
      </c>
      <c r="X52" s="54">
        <v>7.15</v>
      </c>
      <c r="Y52" s="41">
        <f t="shared" si="2"/>
        <v>0.15972222222222299</v>
      </c>
      <c r="Z52" s="42">
        <f t="shared" si="19"/>
        <v>3.8333333333333335</v>
      </c>
      <c r="AA52" s="36">
        <f t="shared" si="3"/>
        <v>-3.01</v>
      </c>
      <c r="AB52" s="36">
        <f t="shared" si="4"/>
        <v>-0.78521739130434776</v>
      </c>
    </row>
    <row r="53" spans="1:28" x14ac:dyDescent="0.25">
      <c r="A53" s="36" t="s">
        <v>93</v>
      </c>
      <c r="B53" t="s">
        <v>218</v>
      </c>
      <c r="C53" s="46" t="s">
        <v>31</v>
      </c>
      <c r="D53" s="40" t="s">
        <v>215</v>
      </c>
      <c r="E53" s="48">
        <v>0.35347222222222219</v>
      </c>
      <c r="F53" s="53">
        <v>6.9</v>
      </c>
      <c r="G53" s="42">
        <v>10.199999999999999</v>
      </c>
      <c r="H53" s="41">
        <v>0.55347222222222225</v>
      </c>
      <c r="I53" s="36">
        <v>23.9</v>
      </c>
      <c r="J53" s="36">
        <v>8.82</v>
      </c>
      <c r="K53" s="47">
        <f t="shared" si="5"/>
        <v>0.20000000000000007</v>
      </c>
      <c r="L53" s="42">
        <f t="shared" si="13"/>
        <v>3.9166666666666665</v>
      </c>
      <c r="M53" s="42">
        <f t="shared" si="0"/>
        <v>-1.379999999999999</v>
      </c>
      <c r="N53" s="42">
        <f t="shared" si="1"/>
        <v>-6.8999999999999924</v>
      </c>
      <c r="S53" s="47">
        <v>0.55277777777777803</v>
      </c>
      <c r="T53" s="54">
        <v>15.29</v>
      </c>
      <c r="U53" s="54">
        <v>10.14</v>
      </c>
      <c r="V53" s="48">
        <v>0.71319444444444446</v>
      </c>
      <c r="X53" s="54">
        <v>8.9600000000000009</v>
      </c>
      <c r="Y53" s="41">
        <f t="shared" si="2"/>
        <v>0.16041666666666643</v>
      </c>
      <c r="Z53" s="42">
        <f>51/60+3</f>
        <v>3.85</v>
      </c>
      <c r="AA53" s="36">
        <f t="shared" si="3"/>
        <v>-1.1799999999999997</v>
      </c>
      <c r="AB53" s="36">
        <f t="shared" si="4"/>
        <v>-0.30649350649350643</v>
      </c>
    </row>
    <row r="54" spans="1:28" x14ac:dyDescent="0.25">
      <c r="A54" s="36" t="s">
        <v>94</v>
      </c>
      <c r="B54" t="s">
        <v>38</v>
      </c>
      <c r="C54" s="46" t="s">
        <v>31</v>
      </c>
      <c r="D54" s="40" t="s">
        <v>215</v>
      </c>
      <c r="E54" s="48">
        <v>0.35347222222222219</v>
      </c>
      <c r="F54" s="53">
        <v>6.96</v>
      </c>
      <c r="G54" s="42">
        <v>10.220000000000001</v>
      </c>
      <c r="H54" s="41">
        <v>0.5541666666666667</v>
      </c>
      <c r="I54" s="36">
        <v>23.7</v>
      </c>
      <c r="J54" s="36">
        <v>7.04</v>
      </c>
      <c r="K54" s="47">
        <f t="shared" si="5"/>
        <v>0.20069444444444451</v>
      </c>
      <c r="L54" s="42">
        <f t="shared" si="13"/>
        <v>3.9166666666666665</v>
      </c>
      <c r="M54" s="42">
        <f t="shared" si="0"/>
        <v>-3.1800000000000006</v>
      </c>
      <c r="N54" s="42">
        <f t="shared" si="1"/>
        <v>-15.844982698961935</v>
      </c>
      <c r="S54" s="47">
        <v>0.55347222222222203</v>
      </c>
      <c r="T54" s="54">
        <v>15.31</v>
      </c>
      <c r="U54" s="54">
        <v>10.130000000000001</v>
      </c>
      <c r="V54" s="48">
        <v>0.71388888888888891</v>
      </c>
      <c r="X54" s="54">
        <v>9.4</v>
      </c>
      <c r="Y54" s="41">
        <f t="shared" si="2"/>
        <v>0.16041666666666687</v>
      </c>
      <c r="Z54" s="42">
        <f>51/60+3</f>
        <v>3.85</v>
      </c>
      <c r="AA54" s="36">
        <f t="shared" si="3"/>
        <v>-0.73000000000000043</v>
      </c>
      <c r="AB54" s="36">
        <f t="shared" si="4"/>
        <v>-0.18961038961038973</v>
      </c>
    </row>
    <row r="55" spans="1:28" x14ac:dyDescent="0.25">
      <c r="A55" s="36" t="s">
        <v>95</v>
      </c>
      <c r="B55" t="s">
        <v>217</v>
      </c>
      <c r="C55" s="46" t="s">
        <v>39</v>
      </c>
      <c r="D55" s="40" t="s">
        <v>215</v>
      </c>
      <c r="E55" s="48">
        <v>0.35416666666666669</v>
      </c>
      <c r="F55" s="53">
        <v>7.08</v>
      </c>
      <c r="G55" s="36">
        <v>10.18</v>
      </c>
      <c r="H55" s="41">
        <v>0.55486111111111114</v>
      </c>
      <c r="I55" s="36">
        <v>23.6</v>
      </c>
      <c r="J55" s="36">
        <v>9.15</v>
      </c>
      <c r="K55" s="47">
        <f t="shared" si="5"/>
        <v>0.20069444444444445</v>
      </c>
      <c r="L55" s="42">
        <f t="shared" si="13"/>
        <v>3.9166666666666665</v>
      </c>
      <c r="M55" s="42">
        <f t="shared" si="0"/>
        <v>-1.0299999999999994</v>
      </c>
      <c r="N55" s="42">
        <f t="shared" si="1"/>
        <v>-5.1321799307958447</v>
      </c>
      <c r="S55" s="47">
        <v>0.55416666666666703</v>
      </c>
      <c r="T55" s="54">
        <v>15.29</v>
      </c>
      <c r="U55" s="54">
        <v>10.130000000000001</v>
      </c>
      <c r="V55" s="48">
        <v>0.71527777777777779</v>
      </c>
      <c r="X55" s="54">
        <v>9.4499999999999993</v>
      </c>
      <c r="Y55" s="41">
        <f t="shared" si="2"/>
        <v>0.16111111111111076</v>
      </c>
      <c r="Z55" s="42">
        <f>52/60+3</f>
        <v>3.8666666666666667</v>
      </c>
      <c r="AA55" s="36">
        <f t="shared" si="3"/>
        <v>-0.68000000000000149</v>
      </c>
      <c r="AB55" s="36">
        <f t="shared" si="4"/>
        <v>-0.17586206896551762</v>
      </c>
    </row>
    <row r="56" spans="1:28" x14ac:dyDescent="0.25">
      <c r="A56" s="36" t="s">
        <v>96</v>
      </c>
      <c r="B56" t="s">
        <v>42</v>
      </c>
      <c r="C56" s="46" t="s">
        <v>97</v>
      </c>
      <c r="D56" s="40" t="s">
        <v>215</v>
      </c>
      <c r="E56" s="48">
        <v>0.35416666666666669</v>
      </c>
      <c r="F56" s="53">
        <v>7.18</v>
      </c>
      <c r="G56" s="42">
        <v>10.199999999999999</v>
      </c>
      <c r="H56" s="41">
        <v>0.55555555555555558</v>
      </c>
      <c r="I56" s="36">
        <v>23.5</v>
      </c>
      <c r="J56" s="36">
        <v>9.58</v>
      </c>
      <c r="K56" s="47">
        <f t="shared" si="5"/>
        <v>0.2013888888888889</v>
      </c>
      <c r="L56" s="42">
        <f t="shared" si="13"/>
        <v>3.9166666666666665</v>
      </c>
      <c r="M56" s="42">
        <f t="shared" si="0"/>
        <v>-0.61999999999999922</v>
      </c>
      <c r="N56" s="42">
        <f t="shared" si="1"/>
        <v>-3.0786206896551684</v>
      </c>
      <c r="S56" s="47">
        <v>0.55486111111111103</v>
      </c>
      <c r="T56" s="54">
        <v>15.39</v>
      </c>
      <c r="U56" s="54">
        <v>10.18</v>
      </c>
      <c r="V56" s="48">
        <v>0.71597222222222223</v>
      </c>
      <c r="X56" s="54">
        <v>8.66</v>
      </c>
      <c r="Y56" s="41">
        <f t="shared" si="2"/>
        <v>0.1611111111111112</v>
      </c>
      <c r="Z56" s="42">
        <f>52/60+3</f>
        <v>3.8666666666666667</v>
      </c>
      <c r="AA56" s="36">
        <f t="shared" si="3"/>
        <v>-1.5199999999999996</v>
      </c>
      <c r="AB56" s="36">
        <f t="shared" si="4"/>
        <v>-0.39310344827586197</v>
      </c>
    </row>
    <row r="57" spans="1:28" x14ac:dyDescent="0.25">
      <c r="A57" s="36" t="s">
        <v>98</v>
      </c>
      <c r="B57" t="s">
        <v>69</v>
      </c>
      <c r="C57" s="46" t="s">
        <v>39</v>
      </c>
      <c r="D57" s="40" t="s">
        <v>215</v>
      </c>
      <c r="E57" s="48">
        <v>0.35486111111111113</v>
      </c>
      <c r="F57" s="53">
        <v>7.19</v>
      </c>
      <c r="G57" s="36">
        <v>10.26</v>
      </c>
      <c r="H57" s="41">
        <v>0.55625000000000002</v>
      </c>
      <c r="I57" s="36">
        <v>23.7</v>
      </c>
      <c r="J57" s="36">
        <v>10.11</v>
      </c>
      <c r="K57" s="47">
        <f t="shared" si="5"/>
        <v>0.2013888888888889</v>
      </c>
      <c r="L57" s="42">
        <f t="shared" si="13"/>
        <v>3.9166666666666665</v>
      </c>
      <c r="M57" s="42">
        <f t="shared" si="0"/>
        <v>-0.15000000000000036</v>
      </c>
      <c r="N57" s="42">
        <f t="shared" si="1"/>
        <v>-0.74482758620689826</v>
      </c>
      <c r="S57" s="47">
        <v>0.55555555555555503</v>
      </c>
      <c r="T57" s="54">
        <v>15.44</v>
      </c>
      <c r="U57" s="54">
        <v>10.17</v>
      </c>
      <c r="V57" s="48">
        <v>0.71736111111111101</v>
      </c>
      <c r="X57" s="54">
        <v>9.5500000000000007</v>
      </c>
      <c r="Y57" s="41">
        <f t="shared" si="2"/>
        <v>0.16180555555555598</v>
      </c>
      <c r="Z57" s="42">
        <f>53/60+3</f>
        <v>3.8833333333333333</v>
      </c>
      <c r="AA57" s="36">
        <f t="shared" si="3"/>
        <v>-0.61999999999999922</v>
      </c>
      <c r="AB57" s="36">
        <f t="shared" si="4"/>
        <v>-0.15965665236051482</v>
      </c>
    </row>
    <row r="58" spans="1:28" x14ac:dyDescent="0.25">
      <c r="A58" s="36" t="s">
        <v>99</v>
      </c>
      <c r="B58" t="s">
        <v>34</v>
      </c>
      <c r="C58" s="46" t="s">
        <v>31</v>
      </c>
      <c r="D58" s="40" t="s">
        <v>215</v>
      </c>
      <c r="E58" s="48">
        <v>0.35486111111111113</v>
      </c>
      <c r="F58" s="53">
        <v>7.2</v>
      </c>
      <c r="G58" s="42">
        <v>10.220000000000001</v>
      </c>
      <c r="H58" s="41">
        <v>0.55694444444444446</v>
      </c>
      <c r="I58" s="36">
        <v>23.8</v>
      </c>
      <c r="J58" s="36">
        <v>9.02</v>
      </c>
      <c r="K58" s="47">
        <f t="shared" si="5"/>
        <v>0.20208333333333334</v>
      </c>
      <c r="L58" s="42">
        <f t="shared" si="13"/>
        <v>3.9166666666666665</v>
      </c>
      <c r="M58" s="42">
        <f t="shared" si="0"/>
        <v>-1.2000000000000011</v>
      </c>
      <c r="N58" s="42">
        <f t="shared" si="1"/>
        <v>-5.9381443298969128</v>
      </c>
      <c r="S58" s="47">
        <v>0.55625000000000002</v>
      </c>
      <c r="T58" s="54">
        <v>15.5</v>
      </c>
      <c r="U58" s="54">
        <v>10.15</v>
      </c>
      <c r="V58" s="48">
        <v>0.71805555555555556</v>
      </c>
      <c r="X58" s="54">
        <v>8.89</v>
      </c>
      <c r="Y58" s="41">
        <f t="shared" si="2"/>
        <v>0.16180555555555554</v>
      </c>
      <c r="Z58" s="42">
        <f t="shared" ref="Z58:Z62" si="20">53/60+3</f>
        <v>3.8833333333333333</v>
      </c>
      <c r="AA58" s="36">
        <f t="shared" si="3"/>
        <v>-1.2599999999999998</v>
      </c>
      <c r="AB58" s="36">
        <f t="shared" si="4"/>
        <v>-0.32446351931330469</v>
      </c>
    </row>
    <row r="59" spans="1:28" x14ac:dyDescent="0.25">
      <c r="A59" s="36" t="s">
        <v>100</v>
      </c>
      <c r="B59" t="s">
        <v>30</v>
      </c>
      <c r="C59" s="46" t="s">
        <v>39</v>
      </c>
      <c r="D59" s="40" t="s">
        <v>215</v>
      </c>
      <c r="E59" s="48">
        <v>0.35555555555555557</v>
      </c>
      <c r="F59" s="53">
        <v>7.32</v>
      </c>
      <c r="G59" s="36">
        <v>10.19</v>
      </c>
      <c r="H59" s="41">
        <v>0.55763888888888891</v>
      </c>
      <c r="I59" s="36">
        <v>23.4</v>
      </c>
      <c r="J59" s="36">
        <v>9.73</v>
      </c>
      <c r="K59" s="47">
        <f>H59-E59</f>
        <v>0.20208333333333334</v>
      </c>
      <c r="L59" s="42">
        <f t="shared" si="13"/>
        <v>3.9166666666666665</v>
      </c>
      <c r="M59" s="42">
        <f t="shared" si="0"/>
        <v>-0.45999999999999908</v>
      </c>
      <c r="N59" s="42">
        <f t="shared" si="1"/>
        <v>-2.2762886597938099</v>
      </c>
      <c r="S59" s="47">
        <v>0.55694444444444402</v>
      </c>
      <c r="T59" s="54">
        <v>15.47</v>
      </c>
      <c r="U59" s="54">
        <v>10.17</v>
      </c>
      <c r="V59" s="48">
        <v>0.71875</v>
      </c>
      <c r="X59" s="54">
        <v>8.77</v>
      </c>
      <c r="Y59" s="41">
        <f t="shared" si="2"/>
        <v>0.16180555555555598</v>
      </c>
      <c r="Z59" s="42">
        <f t="shared" si="20"/>
        <v>3.8833333333333333</v>
      </c>
      <c r="AA59" s="36">
        <f t="shared" si="3"/>
        <v>-1.4000000000000004</v>
      </c>
      <c r="AB59" s="36">
        <f t="shared" si="4"/>
        <v>-0.36051502145922754</v>
      </c>
    </row>
    <row r="60" spans="1:28" x14ac:dyDescent="0.25">
      <c r="A60" s="36" t="s">
        <v>101</v>
      </c>
      <c r="B60" t="s">
        <v>217</v>
      </c>
      <c r="C60" s="46" t="s">
        <v>39</v>
      </c>
      <c r="D60" s="40" t="s">
        <v>215</v>
      </c>
      <c r="E60" s="48">
        <v>0.35555555555555557</v>
      </c>
      <c r="F60" s="53">
        <v>7.34</v>
      </c>
      <c r="G60" s="42">
        <v>10.23</v>
      </c>
      <c r="H60" s="41">
        <v>0.55833333333333335</v>
      </c>
      <c r="I60" s="36">
        <v>23.3</v>
      </c>
      <c r="J60" s="36">
        <v>9.76</v>
      </c>
      <c r="K60" s="47">
        <f t="shared" si="5"/>
        <v>0.20277777777777778</v>
      </c>
      <c r="L60" s="42">
        <f t="shared" si="13"/>
        <v>3.9166666666666665</v>
      </c>
      <c r="M60" s="42">
        <f t="shared" si="0"/>
        <v>-0.47000000000000064</v>
      </c>
      <c r="N60" s="42">
        <f t="shared" si="1"/>
        <v>-2.3178082191780853</v>
      </c>
      <c r="S60" s="47">
        <v>0.55763888888888902</v>
      </c>
      <c r="T60" s="54">
        <v>15.5</v>
      </c>
      <c r="U60" s="54">
        <v>10.16</v>
      </c>
      <c r="V60" s="48">
        <v>0.72013888888888899</v>
      </c>
      <c r="X60" s="54">
        <v>9.5500000000000007</v>
      </c>
      <c r="Y60" s="41">
        <f t="shared" si="2"/>
        <v>0.16249999999999998</v>
      </c>
      <c r="Z60" s="42">
        <f>54/60+3</f>
        <v>3.9</v>
      </c>
      <c r="AA60" s="36">
        <f t="shared" si="3"/>
        <v>-0.60999999999999943</v>
      </c>
      <c r="AB60" s="36">
        <f t="shared" si="4"/>
        <v>-0.15641025641025627</v>
      </c>
    </row>
    <row r="61" spans="1:28" x14ac:dyDescent="0.25">
      <c r="A61" s="36" t="s">
        <v>102</v>
      </c>
      <c r="B61" t="s">
        <v>216</v>
      </c>
      <c r="C61" s="46" t="s">
        <v>39</v>
      </c>
      <c r="D61" s="40" t="s">
        <v>215</v>
      </c>
      <c r="E61" s="48">
        <v>0.35555555555555601</v>
      </c>
      <c r="F61" s="11">
        <v>7.34</v>
      </c>
      <c r="G61" s="36">
        <v>10.23</v>
      </c>
      <c r="H61" s="41">
        <v>0.55902777777777779</v>
      </c>
      <c r="I61" s="36">
        <v>23.6</v>
      </c>
      <c r="J61" s="36">
        <v>8.86</v>
      </c>
      <c r="K61" s="47">
        <f t="shared" si="5"/>
        <v>0.20347222222222178</v>
      </c>
      <c r="L61" s="42">
        <f t="shared" si="13"/>
        <v>3.9166666666666665</v>
      </c>
      <c r="M61" s="42">
        <f t="shared" si="0"/>
        <v>-1.370000000000001</v>
      </c>
      <c r="N61" s="42">
        <f t="shared" si="1"/>
        <v>-6.7331058020478016</v>
      </c>
      <c r="S61" s="48">
        <v>0.55902777777777779</v>
      </c>
      <c r="T61" s="54">
        <v>15.6</v>
      </c>
      <c r="U61" s="54">
        <v>10.17</v>
      </c>
      <c r="V61" s="48">
        <v>0.72083333333333333</v>
      </c>
      <c r="X61" s="54">
        <v>8.89</v>
      </c>
      <c r="Y61" s="41">
        <f t="shared" si="2"/>
        <v>0.16180555555555554</v>
      </c>
      <c r="Z61" s="42">
        <f t="shared" si="20"/>
        <v>3.8833333333333333</v>
      </c>
      <c r="AA61" s="36">
        <f t="shared" si="3"/>
        <v>-1.2799999999999994</v>
      </c>
      <c r="AB61" s="36">
        <f t="shared" si="4"/>
        <v>-0.32961373390557924</v>
      </c>
    </row>
    <row r="62" spans="1:28" x14ac:dyDescent="0.25">
      <c r="A62" s="36" t="s">
        <v>103</v>
      </c>
      <c r="B62" t="s">
        <v>36</v>
      </c>
      <c r="C62" s="46" t="s">
        <v>31</v>
      </c>
      <c r="D62" s="40" t="s">
        <v>215</v>
      </c>
      <c r="E62" s="48">
        <v>0.35625000000000001</v>
      </c>
      <c r="F62" s="11">
        <v>7.37</v>
      </c>
      <c r="G62" s="42">
        <v>10.25</v>
      </c>
      <c r="H62" s="41">
        <v>0.55972222222222223</v>
      </c>
      <c r="I62" s="43">
        <v>24</v>
      </c>
      <c r="J62" s="36">
        <v>6.23</v>
      </c>
      <c r="K62" s="47">
        <f t="shared" si="5"/>
        <v>0.20347222222222222</v>
      </c>
      <c r="L62" s="42">
        <f t="shared" si="13"/>
        <v>3.9166666666666665</v>
      </c>
      <c r="M62" s="42">
        <f t="shared" si="0"/>
        <v>-4.0199999999999996</v>
      </c>
      <c r="N62" s="42">
        <f t="shared" si="1"/>
        <v>-19.756996587030716</v>
      </c>
      <c r="S62" s="48">
        <v>0.55972222222222223</v>
      </c>
      <c r="T62" s="54">
        <v>15.65</v>
      </c>
      <c r="U62" s="54">
        <v>10.14</v>
      </c>
      <c r="V62" s="48">
        <v>0.72152777777777777</v>
      </c>
      <c r="X62" s="54">
        <v>8.77</v>
      </c>
      <c r="Y62" s="41">
        <f t="shared" si="2"/>
        <v>0.16180555555555554</v>
      </c>
      <c r="Z62" s="42">
        <f t="shared" si="20"/>
        <v>3.8833333333333333</v>
      </c>
      <c r="AA62" s="36">
        <f t="shared" si="3"/>
        <v>-1.370000000000001</v>
      </c>
      <c r="AB62" s="36">
        <f t="shared" si="4"/>
        <v>-0.35278969957081568</v>
      </c>
    </row>
    <row r="63" spans="1:28" x14ac:dyDescent="0.25">
      <c r="A63" s="36" t="s">
        <v>104</v>
      </c>
      <c r="B63" t="s">
        <v>48</v>
      </c>
      <c r="C63" s="46" t="s">
        <v>31</v>
      </c>
      <c r="D63" s="40" t="s">
        <v>215</v>
      </c>
      <c r="E63" s="48">
        <v>0.35625000000000001</v>
      </c>
      <c r="F63" s="11">
        <v>7.35</v>
      </c>
      <c r="G63" s="36">
        <v>10.26</v>
      </c>
      <c r="H63" s="41">
        <v>0.56041666666666667</v>
      </c>
      <c r="I63" s="43">
        <v>24</v>
      </c>
      <c r="J63" s="36">
        <v>6.35</v>
      </c>
      <c r="K63" s="47">
        <f t="shared" si="5"/>
        <v>0.20416666666666666</v>
      </c>
      <c r="L63" s="42">
        <f t="shared" si="13"/>
        <v>3.9166666666666665</v>
      </c>
      <c r="M63" s="42">
        <f t="shared" si="0"/>
        <v>-3.91</v>
      </c>
      <c r="N63" s="42">
        <f t="shared" si="1"/>
        <v>-19.151020408163266</v>
      </c>
      <c r="S63" s="48">
        <v>0.56041666666666701</v>
      </c>
      <c r="T63" s="54">
        <v>15.9</v>
      </c>
      <c r="U63" s="54">
        <v>10.11</v>
      </c>
      <c r="V63" s="48">
        <v>0.72291666666666676</v>
      </c>
      <c r="X63" s="54">
        <v>5.85</v>
      </c>
      <c r="Y63" s="41">
        <f t="shared" si="2"/>
        <v>0.16249999999999976</v>
      </c>
      <c r="Z63" s="42">
        <f>54/60+3</f>
        <v>3.9</v>
      </c>
      <c r="AA63" s="36">
        <f t="shared" si="3"/>
        <v>-4.26</v>
      </c>
      <c r="AB63" s="36">
        <f t="shared" si="4"/>
        <v>-1.0923076923076922</v>
      </c>
    </row>
    <row r="64" spans="1:28" x14ac:dyDescent="0.25">
      <c r="A64" s="36" t="s">
        <v>105</v>
      </c>
      <c r="B64" t="s">
        <v>38</v>
      </c>
      <c r="C64" s="46" t="s">
        <v>31</v>
      </c>
      <c r="D64" s="40" t="s">
        <v>221</v>
      </c>
      <c r="E64" s="48">
        <v>0.35694444444444445</v>
      </c>
      <c r="F64" s="11">
        <v>7.52</v>
      </c>
      <c r="G64" s="42">
        <v>10.28</v>
      </c>
      <c r="H64" s="41">
        <v>0.56111111111111112</v>
      </c>
      <c r="I64" s="43">
        <v>23.8</v>
      </c>
      <c r="J64" s="36">
        <v>6.98</v>
      </c>
      <c r="K64" s="47">
        <f t="shared" si="5"/>
        <v>0.20416666666666666</v>
      </c>
      <c r="L64" s="42">
        <f t="shared" si="13"/>
        <v>3.9166666666666665</v>
      </c>
      <c r="M64" s="42">
        <f t="shared" si="0"/>
        <v>-3.2999999999999989</v>
      </c>
      <c r="N64" s="42">
        <f t="shared" si="1"/>
        <v>-16.163265306122444</v>
      </c>
      <c r="S64" s="48">
        <v>0.56041666666666667</v>
      </c>
      <c r="T64" s="54">
        <v>15.92</v>
      </c>
      <c r="U64" s="54">
        <v>10.15</v>
      </c>
      <c r="V64" s="48">
        <v>0.72361111111111109</v>
      </c>
      <c r="X64" s="54">
        <v>6.27</v>
      </c>
      <c r="Y64" s="41">
        <f t="shared" si="2"/>
        <v>0.16319444444444442</v>
      </c>
      <c r="Z64" s="42">
        <f>55/60+3</f>
        <v>3.9166666666666665</v>
      </c>
      <c r="AA64" s="36">
        <f t="shared" si="3"/>
        <v>-3.8800000000000008</v>
      </c>
      <c r="AB64" s="36">
        <f t="shared" si="4"/>
        <v>-0.9906382978723407</v>
      </c>
    </row>
    <row r="65" spans="1:28" x14ac:dyDescent="0.25">
      <c r="A65" s="36" t="s">
        <v>106</v>
      </c>
      <c r="B65" t="s">
        <v>219</v>
      </c>
      <c r="C65" s="46" t="s">
        <v>31</v>
      </c>
      <c r="D65" s="40" t="s">
        <v>215</v>
      </c>
      <c r="E65" s="48">
        <v>0.35694444444444445</v>
      </c>
      <c r="F65" s="11">
        <v>7.58</v>
      </c>
      <c r="G65" s="36">
        <v>10.25</v>
      </c>
      <c r="H65" s="41">
        <v>0.56180555555555556</v>
      </c>
      <c r="I65" s="43">
        <v>23.1</v>
      </c>
      <c r="J65" s="36">
        <v>7.04</v>
      </c>
      <c r="K65" s="47">
        <f t="shared" si="5"/>
        <v>0.2048611111111111</v>
      </c>
      <c r="L65" s="42">
        <f t="shared" si="13"/>
        <v>3.9166666666666665</v>
      </c>
      <c r="M65" s="42">
        <f t="shared" si="0"/>
        <v>-3.21</v>
      </c>
      <c r="N65" s="42">
        <f t="shared" si="1"/>
        <v>-15.669152542372881</v>
      </c>
      <c r="S65" s="48">
        <v>0.56111111111111112</v>
      </c>
      <c r="T65" s="54">
        <v>15.96</v>
      </c>
      <c r="U65" s="54">
        <v>10.09</v>
      </c>
      <c r="V65" s="48">
        <v>0.72430555555555554</v>
      </c>
      <c r="X65" s="54">
        <v>7.08</v>
      </c>
      <c r="Y65" s="41">
        <f t="shared" si="2"/>
        <v>0.16319444444444442</v>
      </c>
      <c r="Z65" s="42">
        <f>55/60+3</f>
        <v>3.9166666666666665</v>
      </c>
      <c r="AA65" s="36">
        <f t="shared" si="3"/>
        <v>-3.01</v>
      </c>
      <c r="AB65" s="36">
        <f t="shared" si="4"/>
        <v>-0.76851063829787236</v>
      </c>
    </row>
    <row r="66" spans="1:28" x14ac:dyDescent="0.25">
      <c r="A66" s="36" t="s">
        <v>107</v>
      </c>
      <c r="B66" t="s">
        <v>34</v>
      </c>
      <c r="C66" s="46" t="s">
        <v>39</v>
      </c>
      <c r="D66" s="40" t="s">
        <v>215</v>
      </c>
      <c r="E66" s="48">
        <v>0.3576388888888889</v>
      </c>
      <c r="F66" s="11">
        <v>7.61</v>
      </c>
      <c r="G66" s="42">
        <v>10.27</v>
      </c>
      <c r="H66" s="41">
        <v>0.5625</v>
      </c>
      <c r="I66" s="43">
        <v>23.3</v>
      </c>
      <c r="J66" s="36">
        <v>9.31</v>
      </c>
      <c r="K66" s="47">
        <f t="shared" si="5"/>
        <v>0.2048611111111111</v>
      </c>
      <c r="L66" s="42">
        <f t="shared" si="13"/>
        <v>3.9166666666666665</v>
      </c>
      <c r="M66" s="42">
        <f t="shared" si="0"/>
        <v>-0.95999999999999908</v>
      </c>
      <c r="N66" s="42">
        <f t="shared" si="1"/>
        <v>-4.6861016949152496</v>
      </c>
      <c r="S66" s="48">
        <v>0.561805555555556</v>
      </c>
      <c r="T66" s="54">
        <v>16</v>
      </c>
      <c r="U66" s="54">
        <v>10.09</v>
      </c>
      <c r="V66" s="48">
        <v>0.72569444444444453</v>
      </c>
      <c r="X66" s="54">
        <v>7.33</v>
      </c>
      <c r="Y66" s="41">
        <f t="shared" si="2"/>
        <v>0.16388888888888853</v>
      </c>
      <c r="Z66" s="42">
        <f t="shared" ref="Z66:Z68" si="21">56/60+3</f>
        <v>3.9333333333333336</v>
      </c>
      <c r="AA66" s="36">
        <f t="shared" si="3"/>
        <v>-2.76</v>
      </c>
      <c r="AB66" s="36">
        <f t="shared" si="4"/>
        <v>-0.70169491525423722</v>
      </c>
    </row>
    <row r="67" spans="1:28" x14ac:dyDescent="0.25">
      <c r="A67" s="36" t="s">
        <v>108</v>
      </c>
      <c r="B67" t="s">
        <v>42</v>
      </c>
      <c r="C67" s="46" t="s">
        <v>97</v>
      </c>
      <c r="D67" s="40" t="s">
        <v>215</v>
      </c>
      <c r="E67" s="48">
        <v>0.35833333333333334</v>
      </c>
      <c r="F67" s="11">
        <v>7.48</v>
      </c>
      <c r="G67" s="36">
        <v>10.32</v>
      </c>
      <c r="H67" s="41">
        <v>0.56319444444444444</v>
      </c>
      <c r="I67" s="43">
        <v>23.4</v>
      </c>
      <c r="J67" s="36">
        <v>9.57</v>
      </c>
      <c r="K67" s="47">
        <f t="shared" si="5"/>
        <v>0.2048611111111111</v>
      </c>
      <c r="L67" s="42">
        <f t="shared" si="13"/>
        <v>3.9166666666666665</v>
      </c>
      <c r="M67" s="42">
        <f t="shared" si="0"/>
        <v>-0.75</v>
      </c>
      <c r="N67" s="42">
        <f t="shared" si="1"/>
        <v>-3.6610169491525424</v>
      </c>
      <c r="S67" s="48">
        <v>0.5625</v>
      </c>
      <c r="T67" s="54">
        <v>15.97</v>
      </c>
      <c r="U67" s="54">
        <v>10.06</v>
      </c>
      <c r="V67" s="48">
        <v>0.72638888888888886</v>
      </c>
      <c r="X67" s="54">
        <v>9.1300000000000008</v>
      </c>
      <c r="Y67" s="41">
        <f t="shared" si="2"/>
        <v>0.16388888888888886</v>
      </c>
      <c r="Z67" s="42">
        <f t="shared" si="21"/>
        <v>3.9333333333333336</v>
      </c>
      <c r="AA67" s="36">
        <f t="shared" si="3"/>
        <v>-0.92999999999999972</v>
      </c>
      <c r="AB67" s="36">
        <f t="shared" si="4"/>
        <v>-0.2364406779661016</v>
      </c>
    </row>
    <row r="68" spans="1:28" x14ac:dyDescent="0.25">
      <c r="A68" s="36" t="s">
        <v>109</v>
      </c>
      <c r="B68" t="s">
        <v>42</v>
      </c>
      <c r="C68" s="46" t="s">
        <v>31</v>
      </c>
      <c r="D68" s="40" t="s">
        <v>215</v>
      </c>
      <c r="E68" s="48">
        <v>0.35833333333333334</v>
      </c>
      <c r="F68" s="11">
        <v>7.54</v>
      </c>
      <c r="G68" s="42">
        <v>10.34</v>
      </c>
      <c r="H68" s="41">
        <v>0.56388888888888888</v>
      </c>
      <c r="I68" s="43">
        <v>23.8</v>
      </c>
      <c r="J68" s="36">
        <v>9.1300000000000008</v>
      </c>
      <c r="K68" s="47">
        <f t="shared" ref="K68:K77" si="22">H68-E68</f>
        <v>0.20555555555555555</v>
      </c>
      <c r="L68" s="42">
        <f t="shared" si="13"/>
        <v>3.9166666666666665</v>
      </c>
      <c r="M68" s="42">
        <f t="shared" ref="M68:M127" si="23">J68-G68</f>
        <v>-1.2099999999999991</v>
      </c>
      <c r="N68" s="42">
        <f t="shared" ref="N68:N127" si="24">M68/K68</f>
        <v>-5.8864864864864819</v>
      </c>
      <c r="S68" s="48">
        <v>0.563194444444444</v>
      </c>
      <c r="T68" s="54">
        <v>16.100000000000001</v>
      </c>
      <c r="U68" s="54">
        <v>10.07</v>
      </c>
      <c r="V68" s="48">
        <v>0.7270833333333333</v>
      </c>
      <c r="X68" s="54">
        <v>9.41</v>
      </c>
      <c r="Y68" s="41">
        <f t="shared" ref="Y68:Y128" si="25">V68-S68</f>
        <v>0.16388888888888931</v>
      </c>
      <c r="Z68" s="42">
        <f t="shared" si="21"/>
        <v>3.9333333333333336</v>
      </c>
      <c r="AA68" s="36">
        <f t="shared" ref="AA68:AA128" si="26">X68-U68</f>
        <v>-0.66000000000000014</v>
      </c>
      <c r="AB68" s="36">
        <f t="shared" ref="AB68:AB128" si="27">AA68/Z68</f>
        <v>-0.16779661016949154</v>
      </c>
    </row>
    <row r="69" spans="1:28" x14ac:dyDescent="0.25">
      <c r="A69" s="36" t="s">
        <v>110</v>
      </c>
      <c r="B69" t="s">
        <v>217</v>
      </c>
      <c r="C69" s="46" t="s">
        <v>39</v>
      </c>
      <c r="D69" s="40" t="s">
        <v>215</v>
      </c>
      <c r="E69" s="48">
        <v>0.35833333333333334</v>
      </c>
      <c r="F69" s="11">
        <v>7.53</v>
      </c>
      <c r="G69" s="36">
        <v>10.45</v>
      </c>
      <c r="H69" s="41">
        <v>0.56388888888888888</v>
      </c>
      <c r="I69" s="43">
        <v>23.3</v>
      </c>
      <c r="J69" s="36">
        <v>9.1300000000000008</v>
      </c>
      <c r="K69" s="47">
        <f t="shared" si="22"/>
        <v>0.20555555555555555</v>
      </c>
      <c r="L69" s="42">
        <f t="shared" si="13"/>
        <v>3.9166666666666665</v>
      </c>
      <c r="M69" s="42">
        <f t="shared" si="23"/>
        <v>-1.3199999999999985</v>
      </c>
      <c r="N69" s="42">
        <f t="shared" si="24"/>
        <v>-6.4216216216216147</v>
      </c>
      <c r="S69" s="48">
        <v>0.56388888888888899</v>
      </c>
      <c r="T69" s="54">
        <v>16.149999999999999</v>
      </c>
      <c r="U69" s="54">
        <v>10.1</v>
      </c>
      <c r="V69" s="48">
        <v>0.72777777777777775</v>
      </c>
      <c r="X69" s="54">
        <v>8.98</v>
      </c>
      <c r="Y69" s="41">
        <f t="shared" si="25"/>
        <v>0.16388888888888875</v>
      </c>
      <c r="Z69" s="42">
        <f>56/60+3</f>
        <v>3.9333333333333336</v>
      </c>
      <c r="AA69" s="36">
        <f t="shared" si="26"/>
        <v>-1.1199999999999992</v>
      </c>
      <c r="AB69" s="36">
        <f t="shared" si="27"/>
        <v>-0.28474576271186419</v>
      </c>
    </row>
    <row r="70" spans="1:28" x14ac:dyDescent="0.25">
      <c r="A70" s="36" t="s">
        <v>111</v>
      </c>
      <c r="B70" t="s">
        <v>218</v>
      </c>
      <c r="C70" s="46" t="s">
        <v>39</v>
      </c>
      <c r="D70" s="40" t="s">
        <v>215</v>
      </c>
      <c r="E70" s="48">
        <v>0.35902777777777778</v>
      </c>
      <c r="F70" s="11">
        <v>7.55</v>
      </c>
      <c r="G70" s="42">
        <v>10.59</v>
      </c>
      <c r="H70" s="41">
        <v>0.56458333333333333</v>
      </c>
      <c r="I70" s="43">
        <v>23.4</v>
      </c>
      <c r="J70" s="36">
        <v>8.9499999999999993</v>
      </c>
      <c r="K70" s="47">
        <f t="shared" si="22"/>
        <v>0.20555555555555555</v>
      </c>
      <c r="L70" s="42">
        <f t="shared" si="13"/>
        <v>3.9166666666666665</v>
      </c>
      <c r="M70" s="42">
        <f t="shared" si="23"/>
        <v>-1.6400000000000006</v>
      </c>
      <c r="N70" s="42">
        <f t="shared" si="24"/>
        <v>-7.9783783783783813</v>
      </c>
      <c r="S70" s="48">
        <v>0.56458333333333299</v>
      </c>
      <c r="T70" s="54">
        <v>16.02</v>
      </c>
      <c r="U70" s="54">
        <v>10.11</v>
      </c>
      <c r="V70" s="48">
        <v>0.72916666666666663</v>
      </c>
      <c r="X70" s="54">
        <v>9.0299999999999994</v>
      </c>
      <c r="Y70" s="41">
        <f t="shared" si="25"/>
        <v>0.16458333333333364</v>
      </c>
      <c r="Z70" s="42">
        <f t="shared" ref="Z70:Z71" si="28">57/60+3</f>
        <v>3.95</v>
      </c>
      <c r="AA70" s="36">
        <f t="shared" si="26"/>
        <v>-1.08</v>
      </c>
      <c r="AB70" s="36">
        <f t="shared" si="27"/>
        <v>-0.27341772151898736</v>
      </c>
    </row>
    <row r="71" spans="1:28" x14ac:dyDescent="0.25">
      <c r="A71" s="36" t="s">
        <v>112</v>
      </c>
      <c r="B71" t="s">
        <v>36</v>
      </c>
      <c r="C71" s="46" t="s">
        <v>39</v>
      </c>
      <c r="D71" s="40" t="s">
        <v>215</v>
      </c>
      <c r="E71" s="48">
        <v>0.35902777777777778</v>
      </c>
      <c r="F71" s="11">
        <v>7.61</v>
      </c>
      <c r="G71" s="36">
        <v>10.51</v>
      </c>
      <c r="H71" s="41">
        <v>0.56527777777777777</v>
      </c>
      <c r="I71" s="43">
        <v>23.4</v>
      </c>
      <c r="J71" s="36">
        <v>8.26</v>
      </c>
      <c r="K71" s="47">
        <f t="shared" si="22"/>
        <v>0.20624999999999999</v>
      </c>
      <c r="L71" s="42">
        <f t="shared" si="13"/>
        <v>3.9166666666666665</v>
      </c>
      <c r="M71" s="42">
        <f t="shared" si="23"/>
        <v>-2.25</v>
      </c>
      <c r="N71" s="42">
        <f t="shared" si="24"/>
        <v>-10.90909090909091</v>
      </c>
      <c r="S71" s="48">
        <v>0.56527777777777799</v>
      </c>
      <c r="T71" s="54">
        <v>16.46</v>
      </c>
      <c r="U71" s="54">
        <v>10.119999999999999</v>
      </c>
      <c r="V71" s="48">
        <v>0.72986111111111107</v>
      </c>
      <c r="X71" s="54">
        <v>8.91</v>
      </c>
      <c r="Y71" s="41">
        <f t="shared" si="25"/>
        <v>0.16458333333333308</v>
      </c>
      <c r="Z71" s="42">
        <f t="shared" si="28"/>
        <v>3.95</v>
      </c>
      <c r="AA71" s="36">
        <f t="shared" si="26"/>
        <v>-1.2099999999999991</v>
      </c>
      <c r="AB71" s="36">
        <f t="shared" si="27"/>
        <v>-0.30632911392405038</v>
      </c>
    </row>
    <row r="72" spans="1:28" x14ac:dyDescent="0.25">
      <c r="A72" s="36" t="s">
        <v>113</v>
      </c>
      <c r="B72" t="s">
        <v>38</v>
      </c>
      <c r="C72" s="46" t="s">
        <v>39</v>
      </c>
      <c r="D72" s="40" t="s">
        <v>215</v>
      </c>
      <c r="E72" s="48">
        <v>0.35902777777777778</v>
      </c>
      <c r="F72" s="11">
        <v>7.71</v>
      </c>
      <c r="G72" s="42">
        <v>10.5</v>
      </c>
      <c r="H72" s="41">
        <v>0.56597222222222221</v>
      </c>
      <c r="I72" s="43">
        <v>24</v>
      </c>
      <c r="J72" s="36">
        <v>9.5299999999999994</v>
      </c>
      <c r="K72" s="47">
        <f t="shared" si="22"/>
        <v>0.20694444444444443</v>
      </c>
      <c r="L72" s="42">
        <f t="shared" si="13"/>
        <v>3.9166666666666665</v>
      </c>
      <c r="M72" s="42">
        <f t="shared" si="23"/>
        <v>-0.97000000000000064</v>
      </c>
      <c r="N72" s="42">
        <f t="shared" si="24"/>
        <v>-4.6872483221476546</v>
      </c>
      <c r="S72" s="48">
        <v>0.56597222222222199</v>
      </c>
      <c r="T72" s="54">
        <v>16.34</v>
      </c>
      <c r="U72" s="54">
        <v>10</v>
      </c>
      <c r="V72" s="48">
        <v>0.73055555555555562</v>
      </c>
      <c r="X72" s="54">
        <v>8.1199999999999992</v>
      </c>
      <c r="Y72" s="41">
        <f t="shared" si="25"/>
        <v>0.16458333333333364</v>
      </c>
      <c r="Z72" s="42">
        <f>57/60+3</f>
        <v>3.95</v>
      </c>
      <c r="AA72" s="36">
        <f t="shared" si="26"/>
        <v>-1.8800000000000008</v>
      </c>
      <c r="AB72" s="36">
        <f t="shared" si="27"/>
        <v>-0.47594936708860774</v>
      </c>
    </row>
    <row r="73" spans="1:28" x14ac:dyDescent="0.25">
      <c r="A73" s="36" t="s">
        <v>114</v>
      </c>
      <c r="B73" t="s">
        <v>216</v>
      </c>
      <c r="C73" s="46" t="s">
        <v>31</v>
      </c>
      <c r="D73" s="40" t="s">
        <v>215</v>
      </c>
      <c r="E73" s="48">
        <v>0.35972222222222222</v>
      </c>
      <c r="F73" s="53">
        <v>7.8</v>
      </c>
      <c r="G73" s="36">
        <v>10.56</v>
      </c>
      <c r="H73" s="41">
        <v>0.56666666666666665</v>
      </c>
      <c r="I73" s="36">
        <v>24.3</v>
      </c>
      <c r="J73" s="36">
        <v>7.45</v>
      </c>
      <c r="K73" s="47">
        <f t="shared" si="22"/>
        <v>0.20694444444444443</v>
      </c>
      <c r="L73" s="42">
        <f t="shared" si="13"/>
        <v>3.9166666666666665</v>
      </c>
      <c r="M73" s="42">
        <f t="shared" si="23"/>
        <v>-3.1100000000000003</v>
      </c>
      <c r="N73" s="42">
        <f t="shared" si="24"/>
        <v>-15.02818791946309</v>
      </c>
      <c r="S73" s="48">
        <v>0.56597222222222221</v>
      </c>
      <c r="T73" s="54">
        <v>16.39</v>
      </c>
      <c r="U73" s="54">
        <v>10.050000000000001</v>
      </c>
      <c r="V73" s="48">
        <v>0.7319444444444444</v>
      </c>
      <c r="X73" s="54">
        <v>9.33</v>
      </c>
      <c r="Y73" s="41">
        <f t="shared" si="25"/>
        <v>0.16597222222222219</v>
      </c>
      <c r="Z73" s="42">
        <f t="shared" ref="Z73:Z75" si="29">59/60+3</f>
        <v>3.9833333333333334</v>
      </c>
      <c r="AA73" s="36">
        <f t="shared" si="26"/>
        <v>-0.72000000000000064</v>
      </c>
      <c r="AB73" s="36">
        <f t="shared" si="27"/>
        <v>-0.18075313807531396</v>
      </c>
    </row>
    <row r="74" spans="1:28" x14ac:dyDescent="0.25">
      <c r="A74" s="36" t="s">
        <v>115</v>
      </c>
      <c r="B74" t="s">
        <v>38</v>
      </c>
      <c r="C74" s="46" t="s">
        <v>31</v>
      </c>
      <c r="D74" s="40" t="s">
        <v>215</v>
      </c>
      <c r="E74" s="48">
        <v>0.35972222222222222</v>
      </c>
      <c r="F74" s="11">
        <v>7.86</v>
      </c>
      <c r="G74" s="42">
        <v>10.56</v>
      </c>
      <c r="H74" s="41">
        <v>0.56736111111111109</v>
      </c>
      <c r="I74" s="43">
        <v>24</v>
      </c>
      <c r="J74" s="36">
        <v>8.57</v>
      </c>
      <c r="K74" s="47">
        <f t="shared" si="22"/>
        <v>0.20763888888888887</v>
      </c>
      <c r="L74" s="42">
        <f t="shared" si="13"/>
        <v>3.9166666666666665</v>
      </c>
      <c r="M74" s="42">
        <f t="shared" si="23"/>
        <v>-1.9900000000000002</v>
      </c>
      <c r="N74" s="42">
        <f t="shared" si="24"/>
        <v>-9.5839464882943162</v>
      </c>
      <c r="S74" s="48">
        <v>0.56666666666666665</v>
      </c>
      <c r="T74" s="54">
        <v>16.39</v>
      </c>
      <c r="U74" s="54">
        <v>10.08</v>
      </c>
      <c r="V74" s="48">
        <v>0.73263888888888884</v>
      </c>
      <c r="X74" s="54">
        <v>7.55</v>
      </c>
      <c r="Y74" s="41">
        <f t="shared" si="25"/>
        <v>0.16597222222222219</v>
      </c>
      <c r="Z74" s="42">
        <f t="shared" si="29"/>
        <v>3.9833333333333334</v>
      </c>
      <c r="AA74" s="36">
        <f t="shared" si="26"/>
        <v>-2.5300000000000002</v>
      </c>
      <c r="AB74" s="36">
        <f t="shared" si="27"/>
        <v>-0.63514644351464444</v>
      </c>
    </row>
    <row r="75" spans="1:28" x14ac:dyDescent="0.25">
      <c r="A75" s="36" t="s">
        <v>116</v>
      </c>
      <c r="B75" t="s">
        <v>30</v>
      </c>
      <c r="C75" s="46" t="s">
        <v>31</v>
      </c>
      <c r="D75" s="40" t="s">
        <v>215</v>
      </c>
      <c r="E75" s="48">
        <v>0.36041666666666666</v>
      </c>
      <c r="F75" s="11">
        <v>7.85</v>
      </c>
      <c r="G75" s="36">
        <v>10.58</v>
      </c>
      <c r="H75" s="41">
        <v>0.56805555555555554</v>
      </c>
      <c r="I75" s="43">
        <v>24</v>
      </c>
      <c r="J75" s="36">
        <v>9.1999999999999993</v>
      </c>
      <c r="K75" s="47">
        <f t="shared" si="22"/>
        <v>0.20763888888888887</v>
      </c>
      <c r="L75" s="42">
        <f t="shared" si="13"/>
        <v>3.9166666666666665</v>
      </c>
      <c r="M75" s="42">
        <f t="shared" si="23"/>
        <v>-1.3800000000000008</v>
      </c>
      <c r="N75" s="42">
        <f t="shared" si="24"/>
        <v>-6.6461538461538501</v>
      </c>
      <c r="S75" s="48">
        <v>0.56736111111111098</v>
      </c>
      <c r="T75" s="54">
        <v>16.53</v>
      </c>
      <c r="U75" s="54">
        <v>10.029999999999999</v>
      </c>
      <c r="V75" s="48">
        <v>0.73333333333333339</v>
      </c>
      <c r="X75" s="54">
        <v>8.07</v>
      </c>
      <c r="Y75" s="41">
        <f t="shared" si="25"/>
        <v>0.16597222222222241</v>
      </c>
      <c r="Z75" s="42">
        <f t="shared" si="29"/>
        <v>3.9833333333333334</v>
      </c>
      <c r="AA75" s="36">
        <f t="shared" si="26"/>
        <v>-1.9599999999999991</v>
      </c>
      <c r="AB75" s="36">
        <f t="shared" si="27"/>
        <v>-0.49205020920502068</v>
      </c>
    </row>
    <row r="76" spans="1:28" x14ac:dyDescent="0.25">
      <c r="A76" s="36" t="s">
        <v>117</v>
      </c>
      <c r="B76" t="s">
        <v>34</v>
      </c>
      <c r="C76" s="46" t="s">
        <v>31</v>
      </c>
      <c r="D76" s="40" t="s">
        <v>215</v>
      </c>
      <c r="E76" s="48">
        <v>0.3611111111111111</v>
      </c>
      <c r="F76" s="11">
        <v>7.86</v>
      </c>
      <c r="G76" s="42">
        <v>10.52</v>
      </c>
      <c r="H76" s="41">
        <v>0.56874999999999998</v>
      </c>
      <c r="I76" s="43">
        <v>24</v>
      </c>
      <c r="J76" s="36">
        <v>8.89</v>
      </c>
      <c r="K76" s="47">
        <f t="shared" si="22"/>
        <v>0.20763888888888887</v>
      </c>
      <c r="L76" s="42">
        <f t="shared" si="13"/>
        <v>3.9166666666666665</v>
      </c>
      <c r="M76" s="42">
        <f t="shared" si="23"/>
        <v>-1.629999999999999</v>
      </c>
      <c r="N76" s="42">
        <f t="shared" si="24"/>
        <v>-7.8501672240802636</v>
      </c>
      <c r="S76" s="48">
        <v>0.56805555555555598</v>
      </c>
      <c r="T76" s="54">
        <v>16.62</v>
      </c>
      <c r="U76" s="54">
        <v>9.98</v>
      </c>
      <c r="V76" s="48">
        <v>0.73402777777777783</v>
      </c>
      <c r="X76" s="54">
        <v>9.18</v>
      </c>
      <c r="Y76" s="41">
        <f t="shared" si="25"/>
        <v>0.16597222222222185</v>
      </c>
      <c r="Z76" s="42">
        <f>59/60+3</f>
        <v>3.9833333333333334</v>
      </c>
      <c r="AA76" s="36">
        <f t="shared" si="26"/>
        <v>-0.80000000000000071</v>
      </c>
      <c r="AB76" s="36">
        <f t="shared" si="27"/>
        <v>-0.20083682008368217</v>
      </c>
    </row>
    <row r="77" spans="1:28" x14ac:dyDescent="0.25">
      <c r="A77" s="36" t="s">
        <v>118</v>
      </c>
      <c r="B77" t="s">
        <v>218</v>
      </c>
      <c r="C77" s="46" t="s">
        <v>31</v>
      </c>
      <c r="D77" s="40" t="s">
        <v>215</v>
      </c>
      <c r="E77" s="48">
        <v>0.3611111111111111</v>
      </c>
      <c r="F77" s="11">
        <v>7.96</v>
      </c>
      <c r="G77" s="36">
        <v>10.48</v>
      </c>
      <c r="H77" s="41">
        <v>0.56944444444444442</v>
      </c>
      <c r="I77" s="43">
        <v>24.2</v>
      </c>
      <c r="J77" s="36">
        <v>7.94</v>
      </c>
      <c r="K77" s="47">
        <f t="shared" si="22"/>
        <v>0.20833333333333331</v>
      </c>
      <c r="L77" s="42">
        <f t="shared" si="13"/>
        <v>3.9166666666666665</v>
      </c>
      <c r="M77" s="42">
        <f t="shared" si="23"/>
        <v>-2.54</v>
      </c>
      <c r="N77" s="42">
        <f t="shared" si="24"/>
        <v>-12.192000000000002</v>
      </c>
      <c r="S77" s="48">
        <v>0.56874999999999998</v>
      </c>
      <c r="T77" s="54">
        <v>16.8</v>
      </c>
      <c r="U77" s="54">
        <v>9.9700000000000006</v>
      </c>
      <c r="V77" s="48">
        <v>0.73541666666666661</v>
      </c>
      <c r="X77" s="54">
        <v>8.64</v>
      </c>
      <c r="Y77" s="41">
        <f t="shared" si="25"/>
        <v>0.16666666666666663</v>
      </c>
      <c r="Z77" s="42">
        <f>0/60+4</f>
        <v>4</v>
      </c>
      <c r="AA77" s="36">
        <f t="shared" si="26"/>
        <v>-1.33</v>
      </c>
      <c r="AB77" s="36">
        <f t="shared" si="27"/>
        <v>-0.33250000000000002</v>
      </c>
    </row>
    <row r="78" spans="1:28" x14ac:dyDescent="0.25">
      <c r="A78" s="36" t="s">
        <v>119</v>
      </c>
      <c r="B78" t="s">
        <v>218</v>
      </c>
      <c r="C78" s="46" t="s">
        <v>31</v>
      </c>
      <c r="D78" s="40" t="s">
        <v>215</v>
      </c>
      <c r="E78" s="48">
        <v>0.36388888888888887</v>
      </c>
      <c r="F78" s="11">
        <v>8.08</v>
      </c>
      <c r="G78" s="42">
        <v>10.49</v>
      </c>
      <c r="H78" s="41">
        <v>0.57152777777777775</v>
      </c>
      <c r="I78" s="43">
        <v>23.5</v>
      </c>
      <c r="J78" s="36">
        <v>8.32</v>
      </c>
      <c r="K78" s="47">
        <f t="shared" ref="K78:K110" si="30">H78-E78</f>
        <v>0.20763888888888887</v>
      </c>
      <c r="L78" s="42">
        <f t="shared" si="13"/>
        <v>3.9166666666666665</v>
      </c>
      <c r="M78" s="42">
        <f t="shared" si="23"/>
        <v>-2.17</v>
      </c>
      <c r="N78" s="42">
        <f t="shared" si="24"/>
        <v>-10.450836120401338</v>
      </c>
      <c r="S78" s="48">
        <v>0.56944444444444398</v>
      </c>
      <c r="T78" s="54">
        <v>16.809999999999999</v>
      </c>
      <c r="U78" s="54">
        <v>9.98</v>
      </c>
      <c r="V78" s="48">
        <v>0.73611111111111116</v>
      </c>
      <c r="X78" s="54">
        <v>8</v>
      </c>
      <c r="Y78" s="41">
        <f t="shared" si="25"/>
        <v>0.16666666666666718</v>
      </c>
      <c r="Z78" s="42">
        <f>0/60+4</f>
        <v>4</v>
      </c>
      <c r="AA78" s="36">
        <f t="shared" si="26"/>
        <v>-1.9800000000000004</v>
      </c>
      <c r="AB78" s="36">
        <f t="shared" si="27"/>
        <v>-0.49500000000000011</v>
      </c>
    </row>
    <row r="79" spans="1:28" x14ac:dyDescent="0.25">
      <c r="A79" s="36" t="s">
        <v>120</v>
      </c>
      <c r="B79" t="s">
        <v>48</v>
      </c>
      <c r="C79" s="46" t="s">
        <v>39</v>
      </c>
      <c r="D79" s="40" t="s">
        <v>215</v>
      </c>
      <c r="E79" s="48">
        <v>0.36388888888888887</v>
      </c>
      <c r="F79" s="11">
        <v>8.08</v>
      </c>
      <c r="G79" s="42">
        <v>10.5</v>
      </c>
      <c r="H79" s="41">
        <v>0.57222222222222219</v>
      </c>
      <c r="I79" s="43">
        <v>23.1</v>
      </c>
      <c r="J79" s="36">
        <v>8.9</v>
      </c>
      <c r="K79" s="47">
        <f t="shared" si="30"/>
        <v>0.20833333333333331</v>
      </c>
      <c r="L79" s="42">
        <f t="shared" si="13"/>
        <v>3.9166666666666665</v>
      </c>
      <c r="M79" s="42">
        <f t="shared" si="23"/>
        <v>-1.5999999999999996</v>
      </c>
      <c r="N79" s="42">
        <f t="shared" si="24"/>
        <v>-7.6799999999999988</v>
      </c>
      <c r="S79" s="48">
        <v>0.57222222222222219</v>
      </c>
      <c r="T79" s="54">
        <v>16.8</v>
      </c>
      <c r="U79" s="54">
        <v>9.99</v>
      </c>
      <c r="V79" s="48">
        <v>0.73749999999999993</v>
      </c>
      <c r="X79" s="54">
        <v>7.77</v>
      </c>
      <c r="Y79" s="41">
        <f t="shared" si="25"/>
        <v>0.16527777777777775</v>
      </c>
      <c r="Z79" s="42">
        <f>58/60+3</f>
        <v>3.9666666666666668</v>
      </c>
      <c r="AA79" s="36">
        <f t="shared" si="26"/>
        <v>-2.2200000000000006</v>
      </c>
      <c r="AB79" s="36">
        <f t="shared" si="27"/>
        <v>-0.55966386554621861</v>
      </c>
    </row>
    <row r="80" spans="1:28" x14ac:dyDescent="0.25">
      <c r="A80" s="36" t="s">
        <v>121</v>
      </c>
      <c r="B80" t="s">
        <v>218</v>
      </c>
      <c r="C80" s="46" t="s">
        <v>31</v>
      </c>
      <c r="D80" s="40" t="s">
        <v>215</v>
      </c>
      <c r="E80" s="48">
        <v>0.36388888888888887</v>
      </c>
      <c r="F80" s="11">
        <v>8.09</v>
      </c>
      <c r="G80" s="42">
        <v>10.51</v>
      </c>
      <c r="H80" s="41">
        <v>0.57291666666666663</v>
      </c>
      <c r="I80" s="43">
        <v>23.4</v>
      </c>
      <c r="J80" s="36">
        <v>8.2799999999999994</v>
      </c>
      <c r="K80" s="47">
        <f t="shared" si="30"/>
        <v>0.20902777777777776</v>
      </c>
      <c r="L80" s="42">
        <f t="shared" si="13"/>
        <v>3.9166666666666665</v>
      </c>
      <c r="M80" s="42">
        <f t="shared" si="23"/>
        <v>-2.2300000000000004</v>
      </c>
      <c r="N80" s="42">
        <f t="shared" si="24"/>
        <v>-10.668438538205983</v>
      </c>
      <c r="S80" s="48">
        <v>0.57291666666666663</v>
      </c>
      <c r="T80" s="54">
        <v>16.809999999999999</v>
      </c>
      <c r="U80" s="54">
        <v>9.89</v>
      </c>
      <c r="V80" s="48">
        <v>0.73819444444444438</v>
      </c>
      <c r="X80" s="54">
        <v>8.34</v>
      </c>
      <c r="Y80" s="41">
        <f t="shared" si="25"/>
        <v>0.16527777777777775</v>
      </c>
      <c r="Z80" s="42">
        <f t="shared" ref="Z80:Z81" si="31">58/60+3</f>
        <v>3.9666666666666668</v>
      </c>
      <c r="AA80" s="36">
        <f t="shared" si="26"/>
        <v>-1.5500000000000007</v>
      </c>
      <c r="AB80" s="36">
        <f t="shared" si="27"/>
        <v>-0.39075630252100857</v>
      </c>
    </row>
    <row r="81" spans="1:28" x14ac:dyDescent="0.25">
      <c r="A81" s="36" t="s">
        <v>122</v>
      </c>
      <c r="B81" t="s">
        <v>46</v>
      </c>
      <c r="C81" s="46" t="s">
        <v>39</v>
      </c>
      <c r="D81" s="40" t="s">
        <v>215</v>
      </c>
      <c r="E81" s="48">
        <v>0.36458333333333331</v>
      </c>
      <c r="F81" s="11">
        <v>8.17</v>
      </c>
      <c r="G81" s="36">
        <v>10.44</v>
      </c>
      <c r="H81" s="41">
        <v>0.57361111111111118</v>
      </c>
      <c r="I81" s="43">
        <v>23.4</v>
      </c>
      <c r="J81" s="36">
        <v>9.44</v>
      </c>
      <c r="K81" s="47">
        <f t="shared" si="30"/>
        <v>0.20902777777777787</v>
      </c>
      <c r="L81" s="42">
        <f t="shared" si="13"/>
        <v>3.9166666666666665</v>
      </c>
      <c r="M81" s="42">
        <f t="shared" si="23"/>
        <v>-1</v>
      </c>
      <c r="N81" s="42">
        <f t="shared" si="24"/>
        <v>-4.784053156146177</v>
      </c>
      <c r="S81" s="48">
        <v>0.57361111111111096</v>
      </c>
      <c r="T81" s="54">
        <v>17.04</v>
      </c>
      <c r="U81" s="54">
        <v>9.86</v>
      </c>
      <c r="V81" s="48">
        <v>0.73888888888888904</v>
      </c>
      <c r="X81" s="54">
        <v>7.95</v>
      </c>
      <c r="Y81" s="41">
        <f t="shared" si="25"/>
        <v>0.16527777777777808</v>
      </c>
      <c r="Z81" s="42">
        <f t="shared" si="31"/>
        <v>3.9666666666666668</v>
      </c>
      <c r="AA81" s="36">
        <f t="shared" si="26"/>
        <v>-1.9099999999999993</v>
      </c>
      <c r="AB81" s="36">
        <f t="shared" si="27"/>
        <v>-0.48151260504201659</v>
      </c>
    </row>
    <row r="82" spans="1:28" x14ac:dyDescent="0.25">
      <c r="A82" s="36" t="s">
        <v>123</v>
      </c>
      <c r="B82" t="s">
        <v>217</v>
      </c>
      <c r="C82" s="46" t="s">
        <v>31</v>
      </c>
      <c r="D82" s="40" t="s">
        <v>215</v>
      </c>
      <c r="E82" s="48">
        <v>0.36458333333333331</v>
      </c>
      <c r="F82" s="11">
        <v>8.36</v>
      </c>
      <c r="G82" s="42">
        <v>10.43</v>
      </c>
      <c r="H82" s="41">
        <v>0.57430555555555551</v>
      </c>
      <c r="I82" s="43">
        <v>23.7</v>
      </c>
      <c r="J82" s="36">
        <v>6.87</v>
      </c>
      <c r="K82" s="47">
        <f t="shared" si="30"/>
        <v>0.2097222222222222</v>
      </c>
      <c r="L82" s="42">
        <f t="shared" si="13"/>
        <v>3.9166666666666665</v>
      </c>
      <c r="M82" s="42">
        <f t="shared" si="23"/>
        <v>-3.5599999999999996</v>
      </c>
      <c r="N82" s="42">
        <f t="shared" si="24"/>
        <v>-16.974834437086091</v>
      </c>
      <c r="S82" s="48">
        <v>0.57361111111111118</v>
      </c>
      <c r="T82" s="54">
        <v>16.8</v>
      </c>
      <c r="U82" s="54">
        <v>10.02</v>
      </c>
      <c r="V82" s="48">
        <v>0.73958333333333304</v>
      </c>
      <c r="X82" s="54">
        <v>9.2200000000000006</v>
      </c>
      <c r="Y82" s="41">
        <f t="shared" si="25"/>
        <v>0.16597222222222185</v>
      </c>
      <c r="Z82" s="42">
        <f>59/60+3</f>
        <v>3.9833333333333334</v>
      </c>
      <c r="AA82" s="36">
        <f t="shared" si="26"/>
        <v>-0.79999999999999893</v>
      </c>
      <c r="AB82" s="36">
        <f t="shared" si="27"/>
        <v>-0.20083682008368173</v>
      </c>
    </row>
    <row r="83" spans="1:28" x14ac:dyDescent="0.25">
      <c r="A83" s="36" t="s">
        <v>124</v>
      </c>
      <c r="B83" t="s">
        <v>34</v>
      </c>
      <c r="C83" s="46" t="s">
        <v>31</v>
      </c>
      <c r="D83" s="40" t="s">
        <v>215</v>
      </c>
      <c r="E83" s="48">
        <v>0.36527777777777781</v>
      </c>
      <c r="F83" s="11">
        <v>8.24</v>
      </c>
      <c r="G83" s="42">
        <v>10.42</v>
      </c>
      <c r="H83" s="41">
        <v>0.57500000000000007</v>
      </c>
      <c r="I83" s="43">
        <v>23.2</v>
      </c>
      <c r="J83" s="36">
        <v>9.2899999999999991</v>
      </c>
      <c r="K83" s="47">
        <f t="shared" si="30"/>
        <v>0.20972222222222225</v>
      </c>
      <c r="L83" s="42">
        <f t="shared" si="13"/>
        <v>3.9166666666666665</v>
      </c>
      <c r="M83" s="42">
        <f t="shared" si="23"/>
        <v>-1.1300000000000008</v>
      </c>
      <c r="N83" s="42">
        <f t="shared" si="24"/>
        <v>-5.3880794701986785</v>
      </c>
      <c r="S83" s="48">
        <v>0.57430555555555551</v>
      </c>
      <c r="T83" s="54">
        <v>17.079999999999998</v>
      </c>
      <c r="U83" s="54">
        <v>9.91</v>
      </c>
      <c r="V83" s="48">
        <v>0.74097222222222225</v>
      </c>
      <c r="X83" s="54">
        <v>6.73</v>
      </c>
      <c r="Y83" s="41">
        <f t="shared" si="25"/>
        <v>0.16666666666666674</v>
      </c>
      <c r="Z83" s="42">
        <f t="shared" ref="Z83:Z84" si="32">0/60+4</f>
        <v>4</v>
      </c>
      <c r="AA83" s="36">
        <f t="shared" si="26"/>
        <v>-3.1799999999999997</v>
      </c>
      <c r="AB83" s="36">
        <f t="shared" si="27"/>
        <v>-0.79499999999999993</v>
      </c>
    </row>
    <row r="84" spans="1:28" x14ac:dyDescent="0.25">
      <c r="A84" s="36" t="s">
        <v>125</v>
      </c>
      <c r="B84" t="s">
        <v>48</v>
      </c>
      <c r="C84" s="46" t="s">
        <v>31</v>
      </c>
      <c r="D84" s="40" t="s">
        <v>215</v>
      </c>
      <c r="E84" s="48">
        <v>0.36527777777777781</v>
      </c>
      <c r="F84" s="11">
        <v>8.34</v>
      </c>
      <c r="G84" s="42">
        <v>10.46</v>
      </c>
      <c r="H84" s="41">
        <v>0.57500000000000007</v>
      </c>
      <c r="I84" s="43">
        <v>23.1</v>
      </c>
      <c r="J84" s="36">
        <v>7.06</v>
      </c>
      <c r="K84" s="47">
        <f t="shared" si="30"/>
        <v>0.20972222222222225</v>
      </c>
      <c r="L84" s="42">
        <f t="shared" si="13"/>
        <v>3.9166666666666665</v>
      </c>
      <c r="M84" s="42">
        <f t="shared" si="23"/>
        <v>-3.4000000000000012</v>
      </c>
      <c r="N84" s="42">
        <f t="shared" si="24"/>
        <v>-16.211920529801329</v>
      </c>
      <c r="S84" s="48">
        <v>0.57499999999999996</v>
      </c>
      <c r="T84" s="54">
        <v>17.16</v>
      </c>
      <c r="U84" s="54">
        <v>9.91</v>
      </c>
      <c r="V84" s="48">
        <v>0.7416666666666667</v>
      </c>
      <c r="X84" s="54">
        <v>8.7799999999999994</v>
      </c>
      <c r="Y84" s="41">
        <f t="shared" si="25"/>
        <v>0.16666666666666674</v>
      </c>
      <c r="Z84" s="42">
        <f t="shared" si="32"/>
        <v>4</v>
      </c>
      <c r="AA84" s="36">
        <f t="shared" si="26"/>
        <v>-1.1300000000000008</v>
      </c>
      <c r="AB84" s="36">
        <f t="shared" si="27"/>
        <v>-0.2825000000000002</v>
      </c>
    </row>
    <row r="85" spans="1:28" x14ac:dyDescent="0.25">
      <c r="A85" s="36" t="s">
        <v>126</v>
      </c>
      <c r="B85" t="s">
        <v>218</v>
      </c>
      <c r="C85" s="46" t="s">
        <v>39</v>
      </c>
      <c r="D85" s="40" t="s">
        <v>215</v>
      </c>
      <c r="E85" s="48">
        <v>0.3659722222222222</v>
      </c>
      <c r="F85" s="11">
        <v>8.4499999999999993</v>
      </c>
      <c r="G85" s="42">
        <v>10.4</v>
      </c>
      <c r="H85" s="41">
        <v>0.5756944444444444</v>
      </c>
      <c r="I85" s="43">
        <v>23.1</v>
      </c>
      <c r="J85" s="42">
        <v>8.6999999999999993</v>
      </c>
      <c r="K85" s="47">
        <f t="shared" si="30"/>
        <v>0.2097222222222222</v>
      </c>
      <c r="L85" s="42">
        <f t="shared" si="13"/>
        <v>3.9166666666666665</v>
      </c>
      <c r="M85" s="42">
        <f t="shared" si="23"/>
        <v>-1.7000000000000011</v>
      </c>
      <c r="N85" s="42">
        <f t="shared" si="24"/>
        <v>-8.1059602649006681</v>
      </c>
      <c r="S85" s="48">
        <v>0.57569444444444395</v>
      </c>
      <c r="T85" s="54">
        <v>16.98</v>
      </c>
      <c r="U85" s="54">
        <v>9.99</v>
      </c>
      <c r="V85" s="48">
        <v>0.74236111111111114</v>
      </c>
      <c r="X85" s="54">
        <v>6.59</v>
      </c>
      <c r="Y85" s="41">
        <f t="shared" si="25"/>
        <v>0.16666666666666718</v>
      </c>
      <c r="Z85" s="42">
        <f>0/60+4</f>
        <v>4</v>
      </c>
      <c r="AA85" s="36">
        <f t="shared" si="26"/>
        <v>-3.4000000000000004</v>
      </c>
      <c r="AB85" s="36">
        <f t="shared" si="27"/>
        <v>-0.85000000000000009</v>
      </c>
    </row>
    <row r="86" spans="1:28" x14ac:dyDescent="0.25">
      <c r="A86" s="36" t="s">
        <v>127</v>
      </c>
      <c r="B86" t="s">
        <v>69</v>
      </c>
      <c r="C86" s="46" t="s">
        <v>31</v>
      </c>
      <c r="D86" s="40" t="s">
        <v>215</v>
      </c>
      <c r="E86" s="48">
        <v>0.3659722222222222</v>
      </c>
      <c r="F86" s="11">
        <v>8.3800000000000008</v>
      </c>
      <c r="G86" s="42">
        <v>10.42</v>
      </c>
      <c r="H86" s="41">
        <v>0.57638888888888895</v>
      </c>
      <c r="I86" s="43">
        <v>23.3</v>
      </c>
      <c r="J86" s="36">
        <v>7.23</v>
      </c>
      <c r="K86" s="47">
        <f t="shared" si="30"/>
        <v>0.21041666666666675</v>
      </c>
      <c r="L86" s="42">
        <f t="shared" si="13"/>
        <v>3.9166666666666665</v>
      </c>
      <c r="M86" s="42">
        <f t="shared" si="23"/>
        <v>-3.1899999999999995</v>
      </c>
      <c r="N86" s="42">
        <f t="shared" si="24"/>
        <v>-15.160396039603953</v>
      </c>
      <c r="S86" s="48">
        <v>0.57638888888888895</v>
      </c>
      <c r="T86" s="54">
        <v>17.170000000000002</v>
      </c>
      <c r="U86" s="54">
        <v>9.99</v>
      </c>
      <c r="V86" s="48">
        <v>0.74236111111111114</v>
      </c>
      <c r="X86" s="54">
        <v>8.67</v>
      </c>
      <c r="Y86" s="41">
        <f t="shared" si="25"/>
        <v>0.16597222222222219</v>
      </c>
      <c r="Z86" s="42">
        <f>59/60+3</f>
        <v>3.9833333333333334</v>
      </c>
      <c r="AA86" s="36">
        <f t="shared" si="26"/>
        <v>-1.3200000000000003</v>
      </c>
      <c r="AB86" s="36">
        <f t="shared" si="27"/>
        <v>-0.33138075313807536</v>
      </c>
    </row>
    <row r="87" spans="1:28" x14ac:dyDescent="0.25">
      <c r="A87" s="36" t="s">
        <v>128</v>
      </c>
      <c r="B87" s="36" t="s">
        <v>219</v>
      </c>
      <c r="C87" s="46" t="s">
        <v>31</v>
      </c>
      <c r="D87" s="40" t="s">
        <v>215</v>
      </c>
      <c r="E87" s="48">
        <v>0.3666666666666667</v>
      </c>
      <c r="F87" s="53">
        <v>8.5</v>
      </c>
      <c r="G87" s="42">
        <v>10.4</v>
      </c>
      <c r="H87" s="41">
        <v>0.57708333333333328</v>
      </c>
      <c r="I87" s="43">
        <v>23.6</v>
      </c>
      <c r="J87" s="36">
        <v>6.96</v>
      </c>
      <c r="K87" s="47">
        <f t="shared" si="30"/>
        <v>0.21041666666666659</v>
      </c>
      <c r="L87" s="42">
        <f t="shared" si="13"/>
        <v>3.9166666666666665</v>
      </c>
      <c r="M87" s="42">
        <f t="shared" si="23"/>
        <v>-3.4400000000000004</v>
      </c>
      <c r="N87" s="42">
        <f t="shared" si="24"/>
        <v>-16.348514851485156</v>
      </c>
      <c r="S87" s="48">
        <v>0.57638888888888895</v>
      </c>
      <c r="T87" s="54">
        <v>17.239999999999998</v>
      </c>
      <c r="U87" s="54">
        <v>9.9</v>
      </c>
      <c r="V87" s="48">
        <v>0.74375000000000002</v>
      </c>
      <c r="X87" s="54">
        <v>6.89</v>
      </c>
      <c r="Y87" s="41">
        <f t="shared" si="25"/>
        <v>0.16736111111111107</v>
      </c>
      <c r="Z87" s="42">
        <f>1/60+4</f>
        <v>4.0166666666666666</v>
      </c>
      <c r="AA87" s="36">
        <f t="shared" si="26"/>
        <v>-3.0100000000000007</v>
      </c>
      <c r="AB87" s="36">
        <f t="shared" si="27"/>
        <v>-0.74937759336099607</v>
      </c>
    </row>
    <row r="88" spans="1:28" x14ac:dyDescent="0.25">
      <c r="A88" s="36" t="s">
        <v>129</v>
      </c>
      <c r="B88" t="s">
        <v>46</v>
      </c>
      <c r="C88" s="46" t="s">
        <v>39</v>
      </c>
      <c r="D88" s="40" t="s">
        <v>215</v>
      </c>
      <c r="E88" s="48">
        <v>0.3666666666666667</v>
      </c>
      <c r="F88" s="53">
        <v>8.5</v>
      </c>
      <c r="G88" s="42">
        <v>10.39</v>
      </c>
      <c r="H88" s="41">
        <v>0.57708333333333328</v>
      </c>
      <c r="I88" s="43">
        <v>23.3</v>
      </c>
      <c r="J88" s="36">
        <v>9.49</v>
      </c>
      <c r="K88" s="47">
        <f t="shared" si="30"/>
        <v>0.21041666666666659</v>
      </c>
      <c r="L88" s="42">
        <f t="shared" si="13"/>
        <v>3.9166666666666665</v>
      </c>
      <c r="M88" s="42">
        <f t="shared" si="23"/>
        <v>-0.90000000000000036</v>
      </c>
      <c r="N88" s="42">
        <f t="shared" si="24"/>
        <v>-4.2772277227722801</v>
      </c>
      <c r="S88" s="48">
        <v>0.57708333333333328</v>
      </c>
      <c r="T88" s="54">
        <v>17.3</v>
      </c>
      <c r="U88" s="54">
        <v>9.92</v>
      </c>
      <c r="V88" s="48">
        <v>0.74444444444444446</v>
      </c>
      <c r="X88" s="54">
        <v>7.11</v>
      </c>
      <c r="Y88" s="41">
        <f t="shared" si="25"/>
        <v>0.16736111111111118</v>
      </c>
      <c r="Z88" s="42">
        <f>1/60+4</f>
        <v>4.0166666666666666</v>
      </c>
      <c r="AA88" s="36">
        <f t="shared" si="26"/>
        <v>-2.8099999999999996</v>
      </c>
      <c r="AB88" s="36">
        <f t="shared" si="27"/>
        <v>-0.69958506224066386</v>
      </c>
    </row>
    <row r="89" spans="1:28" x14ac:dyDescent="0.25">
      <c r="A89" s="36" t="s">
        <v>130</v>
      </c>
      <c r="B89" t="s">
        <v>42</v>
      </c>
      <c r="C89" s="46" t="s">
        <v>31</v>
      </c>
      <c r="D89" s="40" t="s">
        <v>215</v>
      </c>
      <c r="E89" s="34">
        <v>0.3666666666666667</v>
      </c>
      <c r="F89" s="53">
        <v>8.49</v>
      </c>
      <c r="G89" s="42">
        <v>10.51</v>
      </c>
      <c r="H89" s="41">
        <v>0.57777777777777783</v>
      </c>
      <c r="I89" s="43">
        <v>23.1</v>
      </c>
      <c r="J89" s="36">
        <v>9.2100000000000009</v>
      </c>
      <c r="K89" s="47">
        <f t="shared" si="30"/>
        <v>0.21111111111111114</v>
      </c>
      <c r="L89" s="42">
        <f t="shared" si="13"/>
        <v>3.9166666666666665</v>
      </c>
      <c r="M89" s="42">
        <f t="shared" si="23"/>
        <v>-1.2999999999999989</v>
      </c>
      <c r="N89" s="42">
        <f t="shared" si="24"/>
        <v>-6.1578947368420991</v>
      </c>
      <c r="S89" s="48">
        <v>0.57777777777777783</v>
      </c>
      <c r="T89" s="54">
        <v>17.28</v>
      </c>
      <c r="U89" s="54">
        <v>9.9499999999999993</v>
      </c>
      <c r="V89" s="48">
        <v>0.74583333333333324</v>
      </c>
      <c r="X89" s="54">
        <v>9.2200000000000006</v>
      </c>
      <c r="Y89" s="41">
        <f t="shared" si="25"/>
        <v>0.1680555555555554</v>
      </c>
      <c r="Z89" s="42">
        <f>2/60+4</f>
        <v>4.0333333333333332</v>
      </c>
      <c r="AA89" s="36">
        <f t="shared" si="26"/>
        <v>-0.72999999999999865</v>
      </c>
      <c r="AB89" s="36">
        <f t="shared" si="27"/>
        <v>-0.18099173553718975</v>
      </c>
    </row>
    <row r="90" spans="1:28" x14ac:dyDescent="0.25">
      <c r="A90" s="36" t="s">
        <v>131</v>
      </c>
      <c r="B90" t="s">
        <v>216</v>
      </c>
      <c r="C90" s="46" t="s">
        <v>39</v>
      </c>
      <c r="D90" s="40" t="s">
        <v>215</v>
      </c>
      <c r="E90" s="48">
        <v>0.36736111111111108</v>
      </c>
      <c r="F90" s="53">
        <v>8.6999999999999993</v>
      </c>
      <c r="G90" s="42">
        <v>10.48</v>
      </c>
      <c r="H90" s="41">
        <v>0.57847222222222217</v>
      </c>
      <c r="I90" s="43">
        <v>22.7</v>
      </c>
      <c r="J90" s="36">
        <v>8.8800000000000008</v>
      </c>
      <c r="K90" s="47">
        <f t="shared" si="30"/>
        <v>0.21111111111111108</v>
      </c>
      <c r="L90" s="42">
        <f t="shared" si="13"/>
        <v>3.9166666666666665</v>
      </c>
      <c r="M90" s="42">
        <f t="shared" si="23"/>
        <v>-1.5999999999999996</v>
      </c>
      <c r="N90" s="42">
        <f t="shared" si="24"/>
        <v>-7.5789473684210522</v>
      </c>
      <c r="S90" s="48">
        <v>0.57777777777777783</v>
      </c>
      <c r="T90" s="54">
        <v>17.41</v>
      </c>
      <c r="U90" s="54">
        <v>9.92</v>
      </c>
      <c r="V90" s="48">
        <v>0.74652777777777779</v>
      </c>
      <c r="X90" s="54">
        <v>8.93</v>
      </c>
      <c r="Y90" s="41">
        <f t="shared" si="25"/>
        <v>0.16874999999999996</v>
      </c>
      <c r="Z90" s="42">
        <f>3/60+4</f>
        <v>4.05</v>
      </c>
      <c r="AA90" s="36">
        <f t="shared" si="26"/>
        <v>-0.99000000000000021</v>
      </c>
      <c r="AB90" s="36">
        <f t="shared" si="27"/>
        <v>-0.24444444444444452</v>
      </c>
    </row>
    <row r="91" spans="1:28" x14ac:dyDescent="0.25">
      <c r="A91" s="36" t="s">
        <v>132</v>
      </c>
      <c r="B91" t="s">
        <v>46</v>
      </c>
      <c r="C91" s="46" t="s">
        <v>39</v>
      </c>
      <c r="D91" s="40" t="s">
        <v>215</v>
      </c>
      <c r="E91" s="48">
        <v>0.36805555555555558</v>
      </c>
      <c r="F91" s="11">
        <v>8.58</v>
      </c>
      <c r="G91" s="42">
        <v>10.49</v>
      </c>
      <c r="H91" s="41">
        <v>0.57916666666666672</v>
      </c>
      <c r="I91" s="43">
        <v>22.9</v>
      </c>
      <c r="J91" s="36">
        <v>9.86</v>
      </c>
      <c r="K91" s="47">
        <f t="shared" si="30"/>
        <v>0.21111111111111114</v>
      </c>
      <c r="L91" s="42">
        <f t="shared" ref="L91:L127" si="33">3+(55/60)</f>
        <v>3.9166666666666665</v>
      </c>
      <c r="M91" s="42">
        <f t="shared" si="23"/>
        <v>-0.63000000000000078</v>
      </c>
      <c r="N91" s="42">
        <f t="shared" si="24"/>
        <v>-2.9842105263157928</v>
      </c>
      <c r="S91" s="48">
        <v>0.57847222222222217</v>
      </c>
      <c r="T91" s="54">
        <v>17.46</v>
      </c>
      <c r="U91" s="54">
        <v>9.89</v>
      </c>
      <c r="V91" s="48">
        <v>0.74652777777777779</v>
      </c>
      <c r="X91" s="54">
        <v>8.56</v>
      </c>
      <c r="Y91" s="41">
        <f t="shared" si="25"/>
        <v>0.16805555555555562</v>
      </c>
      <c r="Z91" s="42">
        <f>2/60+4</f>
        <v>4.0333333333333332</v>
      </c>
      <c r="AA91" s="36">
        <f t="shared" si="26"/>
        <v>-1.33</v>
      </c>
      <c r="AB91" s="36">
        <f t="shared" si="27"/>
        <v>-0.32975206611570251</v>
      </c>
    </row>
    <row r="92" spans="1:28" x14ac:dyDescent="0.25">
      <c r="A92" s="36" t="s">
        <v>133</v>
      </c>
      <c r="B92" t="s">
        <v>42</v>
      </c>
      <c r="C92" s="46" t="s">
        <v>97</v>
      </c>
      <c r="D92" s="40" t="s">
        <v>215</v>
      </c>
      <c r="E92" s="48">
        <v>0.36805555555555558</v>
      </c>
      <c r="F92" s="11">
        <v>8.59</v>
      </c>
      <c r="G92" s="42">
        <v>10.67</v>
      </c>
      <c r="H92" s="41">
        <v>0.57986111111111105</v>
      </c>
      <c r="I92" s="43">
        <v>23.4</v>
      </c>
      <c r="J92" s="36">
        <v>9.1</v>
      </c>
      <c r="K92" s="47">
        <f t="shared" si="30"/>
        <v>0.21180555555555547</v>
      </c>
      <c r="L92" s="42">
        <f t="shared" si="33"/>
        <v>3.9166666666666665</v>
      </c>
      <c r="M92" s="42">
        <f t="shared" si="23"/>
        <v>-1.5700000000000003</v>
      </c>
      <c r="N92" s="42">
        <f t="shared" si="24"/>
        <v>-7.4124590163934467</v>
      </c>
      <c r="S92" s="48">
        <v>0.57916666666666605</v>
      </c>
      <c r="T92" s="54">
        <v>17.43</v>
      </c>
      <c r="U92" s="54">
        <v>9.92</v>
      </c>
      <c r="V92" s="48">
        <v>0.74791666666666667</v>
      </c>
      <c r="X92" s="54">
        <v>9.67</v>
      </c>
      <c r="Y92" s="41">
        <f t="shared" si="25"/>
        <v>0.16875000000000062</v>
      </c>
      <c r="Z92" s="42">
        <f>3/60+4</f>
        <v>4.05</v>
      </c>
      <c r="AA92" s="36">
        <f t="shared" si="26"/>
        <v>-0.25</v>
      </c>
      <c r="AB92" s="36">
        <f t="shared" si="27"/>
        <v>-6.1728395061728399E-2</v>
      </c>
    </row>
    <row r="93" spans="1:28" x14ac:dyDescent="0.25">
      <c r="A93" s="36" t="s">
        <v>134</v>
      </c>
      <c r="B93" t="s">
        <v>46</v>
      </c>
      <c r="C93" s="46" t="s">
        <v>31</v>
      </c>
      <c r="D93" s="40" t="s">
        <v>215</v>
      </c>
      <c r="E93" s="48">
        <v>0.36805555555555558</v>
      </c>
      <c r="F93" s="11">
        <v>8.66</v>
      </c>
      <c r="G93" s="42">
        <v>10.5</v>
      </c>
      <c r="H93" s="41">
        <v>0.57986111111111105</v>
      </c>
      <c r="I93" s="43">
        <v>23.2</v>
      </c>
      <c r="J93" s="36">
        <v>9.59</v>
      </c>
      <c r="K93" s="47">
        <f t="shared" si="30"/>
        <v>0.21180555555555547</v>
      </c>
      <c r="L93" s="42">
        <f t="shared" si="33"/>
        <v>3.9166666666666665</v>
      </c>
      <c r="M93" s="42">
        <f t="shared" si="23"/>
        <v>-0.91000000000000014</v>
      </c>
      <c r="N93" s="42">
        <f t="shared" si="24"/>
        <v>-4.2963934426229535</v>
      </c>
      <c r="S93" s="48">
        <v>0.57986111111111105</v>
      </c>
      <c r="T93" s="54">
        <v>17.54</v>
      </c>
      <c r="U93" s="54">
        <v>9.83</v>
      </c>
      <c r="V93" s="48">
        <v>0.74861111111111101</v>
      </c>
      <c r="X93" s="54">
        <v>9.27</v>
      </c>
      <c r="Y93" s="41">
        <f t="shared" si="25"/>
        <v>0.16874999999999996</v>
      </c>
      <c r="Z93" s="42">
        <f>3/60+4</f>
        <v>4.05</v>
      </c>
      <c r="AA93" s="36">
        <f t="shared" si="26"/>
        <v>-0.5600000000000005</v>
      </c>
      <c r="AB93" s="36">
        <f t="shared" si="27"/>
        <v>-0.13827160493827173</v>
      </c>
    </row>
    <row r="94" spans="1:28" x14ac:dyDescent="0.25">
      <c r="A94" s="36" t="s">
        <v>135</v>
      </c>
      <c r="B94" t="s">
        <v>30</v>
      </c>
      <c r="C94" s="46" t="s">
        <v>39</v>
      </c>
      <c r="D94" s="40" t="s">
        <v>215</v>
      </c>
      <c r="E94" s="48">
        <v>0.36874999999999997</v>
      </c>
      <c r="F94" s="11">
        <v>8.7200000000000006</v>
      </c>
      <c r="G94" s="42">
        <v>10.53</v>
      </c>
      <c r="H94" s="41">
        <v>0.5805555555555556</v>
      </c>
      <c r="I94" s="43">
        <v>32.299999999999997</v>
      </c>
      <c r="J94" s="36">
        <v>8.66</v>
      </c>
      <c r="K94" s="47">
        <f t="shared" si="30"/>
        <v>0.21180555555555564</v>
      </c>
      <c r="L94" s="42">
        <f t="shared" si="33"/>
        <v>3.9166666666666665</v>
      </c>
      <c r="M94" s="42">
        <f t="shared" si="23"/>
        <v>-1.8699999999999992</v>
      </c>
      <c r="N94" s="42">
        <f t="shared" si="24"/>
        <v>-8.828852459016387</v>
      </c>
      <c r="S94" s="48">
        <v>0.58055555555555505</v>
      </c>
      <c r="T94" s="54">
        <v>17.73</v>
      </c>
      <c r="U94" s="54">
        <v>9.7799999999999994</v>
      </c>
      <c r="V94" s="48">
        <v>0.75</v>
      </c>
      <c r="X94" s="54">
        <v>8.5500000000000007</v>
      </c>
      <c r="Y94" s="41">
        <f t="shared" si="25"/>
        <v>0.16944444444444495</v>
      </c>
      <c r="Z94" s="42">
        <f>4/60+4</f>
        <v>4.0666666666666664</v>
      </c>
      <c r="AA94" s="36">
        <f t="shared" si="26"/>
        <v>-1.2299999999999986</v>
      </c>
      <c r="AB94" s="36">
        <f t="shared" si="27"/>
        <v>-0.3024590163934423</v>
      </c>
    </row>
    <row r="95" spans="1:28" x14ac:dyDescent="0.25">
      <c r="A95" s="36" t="s">
        <v>136</v>
      </c>
      <c r="B95" s="36" t="s">
        <v>219</v>
      </c>
      <c r="C95" s="46" t="s">
        <v>39</v>
      </c>
      <c r="D95" s="40" t="s">
        <v>215</v>
      </c>
      <c r="E95" s="48">
        <v>0.36874999999999997</v>
      </c>
      <c r="F95" s="11">
        <v>8.76</v>
      </c>
      <c r="G95" s="42">
        <v>10.6</v>
      </c>
      <c r="H95" s="41">
        <v>0.58194444444444449</v>
      </c>
      <c r="I95" s="43">
        <v>23.1</v>
      </c>
      <c r="J95" s="36">
        <v>9.19</v>
      </c>
      <c r="K95" s="47">
        <f t="shared" si="30"/>
        <v>0.21319444444444452</v>
      </c>
      <c r="L95" s="42">
        <f t="shared" si="33"/>
        <v>3.9166666666666665</v>
      </c>
      <c r="M95" s="42">
        <f t="shared" si="23"/>
        <v>-1.4100000000000001</v>
      </c>
      <c r="N95" s="42">
        <f t="shared" si="24"/>
        <v>-6.6136807817589558</v>
      </c>
      <c r="S95" s="48">
        <v>0.5805555555555556</v>
      </c>
      <c r="T95" s="54">
        <v>17.62</v>
      </c>
      <c r="U95" s="54">
        <v>9.81</v>
      </c>
      <c r="V95" s="48">
        <v>0.75069444444444444</v>
      </c>
      <c r="X95" s="54">
        <v>9.26</v>
      </c>
      <c r="Y95" s="41">
        <f t="shared" si="25"/>
        <v>0.17013888888888884</v>
      </c>
      <c r="Z95" s="42">
        <f>5/60+4</f>
        <v>4.083333333333333</v>
      </c>
      <c r="AA95" s="36">
        <f t="shared" si="26"/>
        <v>-0.55000000000000071</v>
      </c>
      <c r="AB95" s="36">
        <f t="shared" si="27"/>
        <v>-0.13469387755102058</v>
      </c>
    </row>
    <row r="96" spans="1:28" x14ac:dyDescent="0.25">
      <c r="A96" s="36" t="s">
        <v>137</v>
      </c>
      <c r="B96" t="s">
        <v>30</v>
      </c>
      <c r="C96" s="46" t="s">
        <v>31</v>
      </c>
      <c r="D96" s="40" t="s">
        <v>215</v>
      </c>
      <c r="E96" s="48">
        <v>0.36874999999999997</v>
      </c>
      <c r="F96" s="11">
        <v>8.85</v>
      </c>
      <c r="G96" s="42">
        <v>10.64</v>
      </c>
      <c r="H96" s="41">
        <v>0.58194444444444449</v>
      </c>
      <c r="I96" s="43">
        <v>23.4</v>
      </c>
      <c r="J96" s="36">
        <v>8.1300000000000008</v>
      </c>
      <c r="K96" s="47">
        <f t="shared" si="30"/>
        <v>0.21319444444444452</v>
      </c>
      <c r="L96" s="42">
        <f t="shared" si="33"/>
        <v>3.9166666666666665</v>
      </c>
      <c r="M96" s="42">
        <f t="shared" si="23"/>
        <v>-2.5099999999999998</v>
      </c>
      <c r="N96" s="42">
        <f t="shared" si="24"/>
        <v>-11.773289902280125</v>
      </c>
      <c r="S96" s="48">
        <v>0.58194444444444449</v>
      </c>
      <c r="T96" s="54">
        <v>17.59</v>
      </c>
      <c r="U96" s="54">
        <v>9.89</v>
      </c>
      <c r="V96" s="48">
        <v>0.75138888888888899</v>
      </c>
      <c r="X96" s="54">
        <v>8.42</v>
      </c>
      <c r="Y96" s="41">
        <f t="shared" si="25"/>
        <v>0.16944444444444451</v>
      </c>
      <c r="Z96" s="42">
        <f>4/60+4</f>
        <v>4.0666666666666664</v>
      </c>
      <c r="AA96" s="36">
        <f t="shared" si="26"/>
        <v>-1.4700000000000006</v>
      </c>
      <c r="AB96" s="36">
        <f t="shared" si="27"/>
        <v>-0.36147540983606574</v>
      </c>
    </row>
    <row r="97" spans="1:28" x14ac:dyDescent="0.25">
      <c r="A97" s="36" t="s">
        <v>138</v>
      </c>
      <c r="B97" t="s">
        <v>48</v>
      </c>
      <c r="C97" s="46" t="s">
        <v>39</v>
      </c>
      <c r="D97" s="40" t="s">
        <v>215</v>
      </c>
      <c r="E97" s="48">
        <v>0.36944444444444446</v>
      </c>
      <c r="F97" s="11">
        <v>8.89</v>
      </c>
      <c r="G97" s="42">
        <v>10.65</v>
      </c>
      <c r="H97" s="41">
        <v>0.58263888888888882</v>
      </c>
      <c r="I97" s="43">
        <v>23.4</v>
      </c>
      <c r="J97" s="36">
        <v>5.86</v>
      </c>
      <c r="K97" s="47">
        <f t="shared" si="30"/>
        <v>0.21319444444444435</v>
      </c>
      <c r="L97" s="42">
        <f t="shared" si="33"/>
        <v>3.9166666666666665</v>
      </c>
      <c r="M97" s="42">
        <f t="shared" si="23"/>
        <v>-4.79</v>
      </c>
      <c r="N97" s="42">
        <f t="shared" si="24"/>
        <v>-22.467752442996751</v>
      </c>
      <c r="S97" s="48">
        <v>0.58263888888888882</v>
      </c>
      <c r="T97" s="54">
        <v>17.88</v>
      </c>
      <c r="U97" s="54">
        <v>9.7899999999999991</v>
      </c>
      <c r="V97" s="48">
        <v>0.75277777777777777</v>
      </c>
      <c r="X97" s="54">
        <v>8.8000000000000007</v>
      </c>
      <c r="Y97" s="41">
        <f t="shared" si="25"/>
        <v>0.17013888888888895</v>
      </c>
      <c r="Z97" s="42">
        <f>5/60+4</f>
        <v>4.083333333333333</v>
      </c>
      <c r="AA97" s="36">
        <f t="shared" si="26"/>
        <v>-0.98999999999999844</v>
      </c>
      <c r="AB97" s="36">
        <f t="shared" si="27"/>
        <v>-0.24244897959183637</v>
      </c>
    </row>
    <row r="98" spans="1:28" x14ac:dyDescent="0.25">
      <c r="A98" s="36" t="s">
        <v>139</v>
      </c>
      <c r="B98" t="s">
        <v>48</v>
      </c>
      <c r="C98" s="46" t="s">
        <v>31</v>
      </c>
      <c r="D98" s="40" t="s">
        <v>215</v>
      </c>
      <c r="E98" s="48">
        <v>0.36944444444444446</v>
      </c>
      <c r="F98" s="11">
        <v>8.9700000000000006</v>
      </c>
      <c r="G98" s="42">
        <v>10.6</v>
      </c>
      <c r="H98" s="41">
        <v>0.58333333333333337</v>
      </c>
      <c r="I98" s="43">
        <v>23.6</v>
      </c>
      <c r="J98" s="36">
        <v>7.86</v>
      </c>
      <c r="K98" s="47">
        <f t="shared" si="30"/>
        <v>0.21388888888888891</v>
      </c>
      <c r="L98" s="42">
        <f t="shared" si="33"/>
        <v>3.9166666666666665</v>
      </c>
      <c r="M98" s="42">
        <f t="shared" si="23"/>
        <v>-2.7399999999999993</v>
      </c>
      <c r="N98" s="42">
        <f t="shared" si="24"/>
        <v>-12.810389610389606</v>
      </c>
      <c r="S98" s="48">
        <v>0.58263888888888882</v>
      </c>
      <c r="T98" s="54">
        <v>17.84</v>
      </c>
      <c r="U98" s="54">
        <v>9.81</v>
      </c>
      <c r="V98" s="48">
        <v>0.75347222222222221</v>
      </c>
      <c r="X98" s="54">
        <v>7.54</v>
      </c>
      <c r="Y98" s="41">
        <f t="shared" si="25"/>
        <v>0.17083333333333339</v>
      </c>
      <c r="Z98" s="42">
        <f>6/60+4</f>
        <v>4.0999999999999996</v>
      </c>
      <c r="AA98" s="36">
        <f t="shared" si="26"/>
        <v>-2.2700000000000005</v>
      </c>
      <c r="AB98" s="36">
        <f t="shared" si="27"/>
        <v>-0.55365853658536601</v>
      </c>
    </row>
    <row r="99" spans="1:28" x14ac:dyDescent="0.25">
      <c r="A99" s="36" t="s">
        <v>140</v>
      </c>
      <c r="B99" t="s">
        <v>216</v>
      </c>
      <c r="C99" s="46" t="s">
        <v>31</v>
      </c>
      <c r="D99" s="40" t="s">
        <v>215</v>
      </c>
      <c r="E99" s="48">
        <v>0.37083333333333335</v>
      </c>
      <c r="F99" s="11">
        <v>9.11</v>
      </c>
      <c r="G99" s="42">
        <v>10.26</v>
      </c>
      <c r="H99" s="41">
        <v>0.58402777777777781</v>
      </c>
      <c r="I99" s="43">
        <v>23.5</v>
      </c>
      <c r="J99" s="42">
        <v>7.6</v>
      </c>
      <c r="K99" s="47">
        <f t="shared" si="30"/>
        <v>0.21319444444444446</v>
      </c>
      <c r="L99" s="42">
        <f t="shared" si="33"/>
        <v>3.9166666666666665</v>
      </c>
      <c r="M99" s="42">
        <f t="shared" si="23"/>
        <v>-2.66</v>
      </c>
      <c r="N99" s="42">
        <f t="shared" si="24"/>
        <v>-12.476872964169381</v>
      </c>
      <c r="S99" s="48">
        <v>0.58333333333333337</v>
      </c>
      <c r="T99" s="54">
        <v>17.72</v>
      </c>
      <c r="U99" s="54">
        <v>9.8699999999999992</v>
      </c>
      <c r="V99" s="48">
        <v>0.75416666666666698</v>
      </c>
      <c r="X99" s="54">
        <v>5.89</v>
      </c>
      <c r="Y99" s="41">
        <f t="shared" si="25"/>
        <v>0.17083333333333361</v>
      </c>
      <c r="Z99" s="42">
        <f t="shared" ref="Z99:Z100" si="34">6/60+4</f>
        <v>4.0999999999999996</v>
      </c>
      <c r="AA99" s="36">
        <f t="shared" si="26"/>
        <v>-3.9799999999999995</v>
      </c>
      <c r="AB99" s="36">
        <f t="shared" si="27"/>
        <v>-0.97073170731707314</v>
      </c>
    </row>
    <row r="100" spans="1:28" x14ac:dyDescent="0.25">
      <c r="A100" s="36" t="s">
        <v>141</v>
      </c>
      <c r="B100" t="s">
        <v>48</v>
      </c>
      <c r="C100" s="46" t="s">
        <v>39</v>
      </c>
      <c r="D100" s="40" t="s">
        <v>215</v>
      </c>
      <c r="E100" s="48">
        <v>0.37083333333333335</v>
      </c>
      <c r="F100" s="53">
        <v>9.1</v>
      </c>
      <c r="G100" s="42">
        <v>10.199999999999999</v>
      </c>
      <c r="H100" s="41">
        <v>0.58402777777777781</v>
      </c>
      <c r="I100" s="43">
        <v>23.4</v>
      </c>
      <c r="J100" s="42">
        <v>8</v>
      </c>
      <c r="K100" s="47">
        <f t="shared" si="30"/>
        <v>0.21319444444444446</v>
      </c>
      <c r="L100" s="42">
        <f t="shared" si="33"/>
        <v>3.9166666666666665</v>
      </c>
      <c r="M100" s="42">
        <f t="shared" si="23"/>
        <v>-2.1999999999999993</v>
      </c>
      <c r="N100" s="42">
        <f t="shared" si="24"/>
        <v>-10.319218241042341</v>
      </c>
      <c r="S100" s="48">
        <v>0.58402777777777781</v>
      </c>
      <c r="T100" s="54">
        <v>17.489999999999998</v>
      </c>
      <c r="U100" s="54">
        <v>9.9700000000000006</v>
      </c>
      <c r="V100" s="48">
        <v>0.75486111111111098</v>
      </c>
      <c r="X100" s="54">
        <v>7.36</v>
      </c>
      <c r="Y100" s="41">
        <f t="shared" si="25"/>
        <v>0.17083333333333317</v>
      </c>
      <c r="Z100" s="42">
        <f t="shared" si="34"/>
        <v>4.0999999999999996</v>
      </c>
      <c r="AA100" s="36">
        <f t="shared" si="26"/>
        <v>-2.6100000000000003</v>
      </c>
      <c r="AB100" s="36">
        <f t="shared" si="27"/>
        <v>-0.63658536585365866</v>
      </c>
    </row>
    <row r="101" spans="1:28" x14ac:dyDescent="0.25">
      <c r="A101" s="36" t="s">
        <v>142</v>
      </c>
      <c r="B101" t="s">
        <v>42</v>
      </c>
      <c r="C101" s="46" t="s">
        <v>97</v>
      </c>
      <c r="D101" s="40" t="s">
        <v>215</v>
      </c>
      <c r="E101" s="48">
        <v>0.37152777777777773</v>
      </c>
      <c r="F101" s="11">
        <v>9.16</v>
      </c>
      <c r="G101" s="42">
        <v>10.19</v>
      </c>
      <c r="H101" s="41">
        <v>0.58472222222222225</v>
      </c>
      <c r="I101" s="43">
        <v>23.6</v>
      </c>
      <c r="J101" s="36">
        <v>9.4499999999999993</v>
      </c>
      <c r="K101" s="47">
        <f t="shared" si="30"/>
        <v>0.21319444444444452</v>
      </c>
      <c r="L101" s="42">
        <f t="shared" si="33"/>
        <v>3.9166666666666665</v>
      </c>
      <c r="M101" s="42">
        <f t="shared" si="23"/>
        <v>-0.74000000000000021</v>
      </c>
      <c r="N101" s="42">
        <f t="shared" si="24"/>
        <v>-3.4710097719869704</v>
      </c>
      <c r="S101" s="48">
        <v>0.58472222222222225</v>
      </c>
      <c r="T101" s="54">
        <v>17.66</v>
      </c>
      <c r="U101" s="54">
        <v>9.9499999999999993</v>
      </c>
      <c r="V101" s="48">
        <v>0.75624999999999998</v>
      </c>
      <c r="X101" s="54">
        <v>7.59</v>
      </c>
      <c r="Y101" s="41">
        <f t="shared" si="25"/>
        <v>0.17152777777777772</v>
      </c>
      <c r="Z101" s="42">
        <f>7/60+4</f>
        <v>4.1166666666666663</v>
      </c>
      <c r="AA101" s="36">
        <f t="shared" si="26"/>
        <v>-2.3599999999999994</v>
      </c>
      <c r="AB101" s="36">
        <f t="shared" si="27"/>
        <v>-0.57327935222672055</v>
      </c>
    </row>
    <row r="102" spans="1:28" x14ac:dyDescent="0.25">
      <c r="A102" s="36" t="s">
        <v>143</v>
      </c>
      <c r="B102" t="s">
        <v>38</v>
      </c>
      <c r="C102" s="46" t="s">
        <v>31</v>
      </c>
      <c r="D102" s="40" t="s">
        <v>215</v>
      </c>
      <c r="E102" s="48">
        <v>0.37152777777777773</v>
      </c>
      <c r="F102" s="11">
        <v>9.18</v>
      </c>
      <c r="G102" s="42">
        <v>10.3</v>
      </c>
      <c r="H102" s="41">
        <v>0.5854166666666667</v>
      </c>
      <c r="I102" s="43">
        <v>23.8</v>
      </c>
      <c r="J102" s="36">
        <v>7.87</v>
      </c>
      <c r="K102" s="47">
        <f t="shared" si="30"/>
        <v>0.21388888888888896</v>
      </c>
      <c r="L102" s="42">
        <f t="shared" si="33"/>
        <v>3.9166666666666665</v>
      </c>
      <c r="M102" s="42">
        <f t="shared" si="23"/>
        <v>-2.4300000000000006</v>
      </c>
      <c r="N102" s="42">
        <f t="shared" si="24"/>
        <v>-11.361038961038959</v>
      </c>
      <c r="S102" s="48">
        <v>0.58472222222222225</v>
      </c>
      <c r="T102" s="54">
        <v>17.72</v>
      </c>
      <c r="U102" s="54">
        <v>9.8800000000000008</v>
      </c>
      <c r="V102" s="48">
        <v>0.75694444444444453</v>
      </c>
      <c r="X102" s="54">
        <v>9.18</v>
      </c>
      <c r="Y102" s="41">
        <f t="shared" si="25"/>
        <v>0.17222222222222228</v>
      </c>
      <c r="Z102" s="42">
        <f>8/60+4</f>
        <v>4.1333333333333337</v>
      </c>
      <c r="AA102" s="36">
        <f t="shared" si="26"/>
        <v>-0.70000000000000107</v>
      </c>
      <c r="AB102" s="36">
        <f t="shared" si="27"/>
        <v>-0.16935483870967766</v>
      </c>
    </row>
    <row r="103" spans="1:28" x14ac:dyDescent="0.25">
      <c r="A103" s="36" t="s">
        <v>144</v>
      </c>
      <c r="B103" t="s">
        <v>216</v>
      </c>
      <c r="C103" s="46" t="s">
        <v>31</v>
      </c>
      <c r="D103" s="40" t="s">
        <v>215</v>
      </c>
      <c r="E103" s="48">
        <v>0.37222222222222223</v>
      </c>
      <c r="F103" s="11">
        <v>9.14</v>
      </c>
      <c r="G103" s="42">
        <v>10.52</v>
      </c>
      <c r="H103" s="41">
        <v>0.58611111111111114</v>
      </c>
      <c r="I103" s="43">
        <v>23.5</v>
      </c>
      <c r="J103" s="36">
        <v>7.46</v>
      </c>
      <c r="K103" s="47">
        <f t="shared" si="30"/>
        <v>0.21388888888888891</v>
      </c>
      <c r="L103" s="42">
        <f t="shared" si="33"/>
        <v>3.9166666666666665</v>
      </c>
      <c r="M103" s="42">
        <f t="shared" si="23"/>
        <v>-3.0599999999999996</v>
      </c>
      <c r="N103" s="42">
        <f t="shared" si="24"/>
        <v>-14.306493506493503</v>
      </c>
      <c r="S103" s="48">
        <v>0.5854166666666667</v>
      </c>
      <c r="T103" s="54">
        <v>17.809999999999999</v>
      </c>
      <c r="U103" s="54">
        <v>9.91</v>
      </c>
      <c r="V103" s="48">
        <v>0.75763888888888897</v>
      </c>
      <c r="X103" s="54">
        <v>7.45</v>
      </c>
      <c r="Y103" s="41">
        <f t="shared" si="25"/>
        <v>0.17222222222222228</v>
      </c>
      <c r="Z103" s="42">
        <f t="shared" ref="Z103:Z104" si="35">8/60+4</f>
        <v>4.1333333333333337</v>
      </c>
      <c r="AA103" s="36">
        <f t="shared" si="26"/>
        <v>-2.46</v>
      </c>
      <c r="AB103" s="36">
        <f t="shared" si="27"/>
        <v>-0.59516129032258058</v>
      </c>
    </row>
    <row r="104" spans="1:28" x14ac:dyDescent="0.25">
      <c r="A104" s="36" t="s">
        <v>145</v>
      </c>
      <c r="B104" t="s">
        <v>42</v>
      </c>
      <c r="C104" s="46" t="s">
        <v>31</v>
      </c>
      <c r="D104" s="40" t="s">
        <v>215</v>
      </c>
      <c r="E104" s="48">
        <v>0.37291666666666662</v>
      </c>
      <c r="F104" s="11">
        <v>9.2899999999999991</v>
      </c>
      <c r="G104" s="42">
        <v>10.52</v>
      </c>
      <c r="H104" s="41">
        <v>0.58680555555555558</v>
      </c>
      <c r="I104" s="43">
        <v>23.4</v>
      </c>
      <c r="J104" s="36">
        <v>9.0500000000000007</v>
      </c>
      <c r="K104" s="47">
        <f t="shared" si="30"/>
        <v>0.21388888888888896</v>
      </c>
      <c r="L104" s="42">
        <f t="shared" si="33"/>
        <v>3.9166666666666665</v>
      </c>
      <c r="M104" s="42">
        <f t="shared" si="23"/>
        <v>-1.4699999999999989</v>
      </c>
      <c r="N104" s="42">
        <f t="shared" si="24"/>
        <v>-6.872727272727265</v>
      </c>
      <c r="S104" s="48">
        <v>0.58611111111111103</v>
      </c>
      <c r="T104" s="54">
        <v>17.82</v>
      </c>
      <c r="U104" s="54">
        <v>9.9499999999999993</v>
      </c>
      <c r="V104" s="48">
        <v>0.75833333333333397</v>
      </c>
      <c r="X104" s="54">
        <v>7.13</v>
      </c>
      <c r="Y104" s="41">
        <f t="shared" si="25"/>
        <v>0.17222222222222294</v>
      </c>
      <c r="Z104" s="42">
        <f t="shared" si="35"/>
        <v>4.1333333333333337</v>
      </c>
      <c r="AA104" s="36">
        <f t="shared" si="26"/>
        <v>-2.8199999999999994</v>
      </c>
      <c r="AB104" s="36">
        <f t="shared" si="27"/>
        <v>-0.6822580645161288</v>
      </c>
    </row>
    <row r="105" spans="1:28" x14ac:dyDescent="0.25">
      <c r="A105" s="36" t="s">
        <v>146</v>
      </c>
      <c r="B105" s="36" t="s">
        <v>219</v>
      </c>
      <c r="C105" s="46" t="s">
        <v>31</v>
      </c>
      <c r="D105" s="40" t="s">
        <v>215</v>
      </c>
      <c r="E105" s="48">
        <v>0.37361111111111112</v>
      </c>
      <c r="F105" s="11">
        <v>9.23</v>
      </c>
      <c r="G105" s="42">
        <v>10.53</v>
      </c>
      <c r="H105" s="41">
        <v>0.58680555555555558</v>
      </c>
      <c r="I105" s="43">
        <v>23.3</v>
      </c>
      <c r="J105" s="36">
        <v>6.51</v>
      </c>
      <c r="K105" s="47">
        <f t="shared" si="30"/>
        <v>0.21319444444444446</v>
      </c>
      <c r="L105" s="42">
        <f t="shared" si="33"/>
        <v>3.9166666666666665</v>
      </c>
      <c r="M105" s="42">
        <f t="shared" si="23"/>
        <v>-4.0199999999999996</v>
      </c>
      <c r="N105" s="42">
        <f t="shared" si="24"/>
        <v>-18.856026058631919</v>
      </c>
      <c r="S105" s="34">
        <v>0.58680555555555602</v>
      </c>
      <c r="T105" s="54">
        <v>17.809999999999999</v>
      </c>
      <c r="U105" s="54">
        <v>9.94</v>
      </c>
      <c r="V105" s="48">
        <v>0.7597222222222223</v>
      </c>
      <c r="X105" s="54">
        <v>8.7200000000000006</v>
      </c>
      <c r="Y105" s="41">
        <f t="shared" si="25"/>
        <v>0.17291666666666627</v>
      </c>
      <c r="Z105" s="42">
        <f>9/60+4</f>
        <v>4.1500000000000004</v>
      </c>
      <c r="AA105" s="36">
        <f t="shared" si="26"/>
        <v>-1.2199999999999989</v>
      </c>
      <c r="AB105" s="36">
        <f t="shared" si="27"/>
        <v>-0.29397590361445752</v>
      </c>
    </row>
    <row r="106" spans="1:28" x14ac:dyDescent="0.25">
      <c r="A106" s="36" t="s">
        <v>147</v>
      </c>
      <c r="B106" t="s">
        <v>69</v>
      </c>
      <c r="C106" s="46" t="s">
        <v>39</v>
      </c>
      <c r="D106" s="40" t="s">
        <v>215</v>
      </c>
      <c r="E106" s="48">
        <v>0.37361111111111112</v>
      </c>
      <c r="F106" s="11">
        <v>9.2899999999999991</v>
      </c>
      <c r="G106" s="42">
        <v>10.5</v>
      </c>
      <c r="H106" s="41">
        <v>0.58750000000000002</v>
      </c>
      <c r="I106" s="43">
        <v>23.1</v>
      </c>
      <c r="J106" s="36">
        <v>9.4600000000000009</v>
      </c>
      <c r="K106" s="47">
        <f t="shared" si="30"/>
        <v>0.21388888888888891</v>
      </c>
      <c r="L106" s="42">
        <f t="shared" si="33"/>
        <v>3.9166666666666665</v>
      </c>
      <c r="M106" s="42">
        <f t="shared" si="23"/>
        <v>-1.0399999999999991</v>
      </c>
      <c r="N106" s="42">
        <f t="shared" si="24"/>
        <v>-4.8623376623376577</v>
      </c>
      <c r="S106" s="34">
        <v>0.58750000000000002</v>
      </c>
      <c r="T106" s="54">
        <v>17.87</v>
      </c>
      <c r="U106" s="54">
        <v>9.89</v>
      </c>
      <c r="V106" s="48">
        <v>0.76041666666666663</v>
      </c>
      <c r="X106" s="54">
        <v>6.98</v>
      </c>
      <c r="Y106" s="41">
        <f t="shared" si="25"/>
        <v>0.17291666666666661</v>
      </c>
      <c r="Z106" s="42">
        <f>9/60+4</f>
        <v>4.1500000000000004</v>
      </c>
      <c r="AA106" s="36">
        <f t="shared" si="26"/>
        <v>-2.91</v>
      </c>
      <c r="AB106" s="36">
        <f t="shared" si="27"/>
        <v>-0.70120481927710843</v>
      </c>
    </row>
    <row r="107" spans="1:28" x14ac:dyDescent="0.25">
      <c r="A107" s="36" t="s">
        <v>148</v>
      </c>
      <c r="B107" t="s">
        <v>36</v>
      </c>
      <c r="C107" s="46" t="s">
        <v>31</v>
      </c>
      <c r="D107" s="40" t="s">
        <v>215</v>
      </c>
      <c r="E107" s="48">
        <v>0.3743055555555555</v>
      </c>
      <c r="F107" s="11">
        <v>9.43</v>
      </c>
      <c r="G107" s="42">
        <v>10.47</v>
      </c>
      <c r="H107" s="41">
        <v>0.58819444444444446</v>
      </c>
      <c r="I107" s="43">
        <v>23.5</v>
      </c>
      <c r="J107" s="42">
        <v>5.4</v>
      </c>
      <c r="K107" s="47">
        <f t="shared" si="30"/>
        <v>0.21388888888888896</v>
      </c>
      <c r="L107" s="42">
        <f t="shared" si="33"/>
        <v>3.9166666666666665</v>
      </c>
      <c r="M107" s="42">
        <f t="shared" si="23"/>
        <v>-5.07</v>
      </c>
      <c r="N107" s="42">
        <f t="shared" si="24"/>
        <v>-23.703896103896096</v>
      </c>
      <c r="S107" s="34">
        <v>0.58750000000000002</v>
      </c>
      <c r="T107" s="54">
        <v>17.899999999999999</v>
      </c>
      <c r="U107" s="54">
        <v>9.98</v>
      </c>
      <c r="V107" s="48">
        <v>0.76111111111111096</v>
      </c>
      <c r="X107" s="54">
        <v>9.14</v>
      </c>
      <c r="Y107" s="41">
        <f t="shared" si="25"/>
        <v>0.17361111111111094</v>
      </c>
      <c r="Z107" s="42">
        <f>10/60+4</f>
        <v>4.166666666666667</v>
      </c>
      <c r="AA107" s="36">
        <f t="shared" si="26"/>
        <v>-0.83999999999999986</v>
      </c>
      <c r="AB107" s="36">
        <f t="shared" si="27"/>
        <v>-0.20159999999999995</v>
      </c>
    </row>
    <row r="108" spans="1:28" x14ac:dyDescent="0.25">
      <c r="A108" s="36" t="s">
        <v>149</v>
      </c>
      <c r="B108" t="s">
        <v>218</v>
      </c>
      <c r="C108" s="46" t="s">
        <v>39</v>
      </c>
      <c r="D108" s="40" t="s">
        <v>215</v>
      </c>
      <c r="E108" s="48">
        <v>0.3743055555555555</v>
      </c>
      <c r="F108" s="11">
        <v>9.5299999999999994</v>
      </c>
      <c r="G108" s="42">
        <v>10.45</v>
      </c>
      <c r="H108" s="41">
        <v>0.58888888888888891</v>
      </c>
      <c r="I108" s="43">
        <v>23.2</v>
      </c>
      <c r="J108" s="42">
        <v>9.1300000000000008</v>
      </c>
      <c r="K108" s="47">
        <f t="shared" si="30"/>
        <v>0.2145833333333334</v>
      </c>
      <c r="L108" s="42">
        <f t="shared" si="33"/>
        <v>3.9166666666666665</v>
      </c>
      <c r="M108" s="42">
        <f t="shared" si="23"/>
        <v>-1.3199999999999985</v>
      </c>
      <c r="N108" s="42">
        <f t="shared" si="24"/>
        <v>-6.1514563106796025</v>
      </c>
      <c r="S108" s="34">
        <v>0.58819444444444446</v>
      </c>
      <c r="T108" s="54">
        <v>17.86</v>
      </c>
      <c r="U108" s="54">
        <v>10.050000000000001</v>
      </c>
      <c r="V108" s="48">
        <v>0.76180555555555496</v>
      </c>
      <c r="X108" s="54">
        <v>5.33</v>
      </c>
      <c r="Y108" s="41">
        <f t="shared" si="25"/>
        <v>0.17361111111111049</v>
      </c>
      <c r="Z108" s="42">
        <f t="shared" ref="Z108:Z109" si="36">10/60+4</f>
        <v>4.166666666666667</v>
      </c>
      <c r="AA108" s="36">
        <f t="shared" si="26"/>
        <v>-4.7200000000000006</v>
      </c>
      <c r="AB108" s="36">
        <f t="shared" si="27"/>
        <v>-1.1328</v>
      </c>
    </row>
    <row r="109" spans="1:28" x14ac:dyDescent="0.25">
      <c r="A109" s="36" t="s">
        <v>150</v>
      </c>
      <c r="B109" s="36" t="s">
        <v>219</v>
      </c>
      <c r="C109" s="46" t="s">
        <v>39</v>
      </c>
      <c r="D109" s="40" t="s">
        <v>215</v>
      </c>
      <c r="E109" s="48">
        <v>0.3743055555555555</v>
      </c>
      <c r="F109" s="11">
        <v>9.59</v>
      </c>
      <c r="G109" s="42">
        <v>10.53</v>
      </c>
      <c r="H109" s="41">
        <v>0.58958333333333335</v>
      </c>
      <c r="I109" s="43">
        <v>23.1</v>
      </c>
      <c r="J109" s="42">
        <v>8.59</v>
      </c>
      <c r="K109" s="47">
        <f t="shared" si="30"/>
        <v>0.21527777777777785</v>
      </c>
      <c r="L109" s="42">
        <f t="shared" si="33"/>
        <v>3.9166666666666665</v>
      </c>
      <c r="M109" s="42">
        <f t="shared" si="23"/>
        <v>-1.9399999999999995</v>
      </c>
      <c r="N109" s="42">
        <f t="shared" si="24"/>
        <v>-9.0116129032258012</v>
      </c>
      <c r="S109" s="34">
        <v>0.58888888888888891</v>
      </c>
      <c r="T109" s="54">
        <v>17.84</v>
      </c>
      <c r="U109" s="54">
        <v>9.98</v>
      </c>
      <c r="V109" s="48">
        <v>0.76249999999999996</v>
      </c>
      <c r="X109" s="54">
        <v>8.94</v>
      </c>
      <c r="Y109" s="41">
        <f t="shared" si="25"/>
        <v>0.17361111111111105</v>
      </c>
      <c r="Z109" s="42">
        <f t="shared" si="36"/>
        <v>4.166666666666667</v>
      </c>
      <c r="AA109" s="36">
        <f t="shared" si="26"/>
        <v>-1.0400000000000009</v>
      </c>
      <c r="AB109" s="36">
        <f t="shared" si="27"/>
        <v>-0.24960000000000021</v>
      </c>
    </row>
    <row r="110" spans="1:28" x14ac:dyDescent="0.25">
      <c r="A110" s="36" t="s">
        <v>151</v>
      </c>
      <c r="B110" t="s">
        <v>46</v>
      </c>
      <c r="C110" s="46" t="s">
        <v>39</v>
      </c>
      <c r="D110" s="40" t="s">
        <v>215</v>
      </c>
      <c r="E110" s="48">
        <v>0.375</v>
      </c>
      <c r="F110" s="11">
        <v>9.42</v>
      </c>
      <c r="G110" s="42">
        <v>10.54</v>
      </c>
      <c r="H110" s="41">
        <v>0.59027777777777779</v>
      </c>
      <c r="I110" s="43">
        <v>23</v>
      </c>
      <c r="J110" s="42">
        <v>9.39</v>
      </c>
      <c r="K110" s="47">
        <f t="shared" si="30"/>
        <v>0.21527777777777779</v>
      </c>
      <c r="L110" s="42">
        <f t="shared" si="33"/>
        <v>3.9166666666666665</v>
      </c>
      <c r="M110" s="42">
        <f t="shared" si="23"/>
        <v>-1.1499999999999986</v>
      </c>
      <c r="N110" s="42">
        <f t="shared" si="24"/>
        <v>-5.3419354838709605</v>
      </c>
      <c r="S110" s="34">
        <v>0.58958333333333302</v>
      </c>
      <c r="T110" s="54">
        <v>17.82</v>
      </c>
      <c r="U110" s="54">
        <v>10.11</v>
      </c>
      <c r="V110" s="48">
        <v>0.76388888888888884</v>
      </c>
      <c r="X110" s="54">
        <v>8.1</v>
      </c>
      <c r="Y110" s="41">
        <f t="shared" si="25"/>
        <v>0.17430555555555582</v>
      </c>
      <c r="Z110" s="42">
        <f>11/60+4</f>
        <v>4.1833333333333336</v>
      </c>
      <c r="AA110" s="36">
        <f t="shared" si="26"/>
        <v>-2.0099999999999998</v>
      </c>
      <c r="AB110" s="36">
        <f t="shared" si="27"/>
        <v>-0.48047808764940231</v>
      </c>
    </row>
    <row r="111" spans="1:28" x14ac:dyDescent="0.25">
      <c r="A111" s="36" t="s">
        <v>152</v>
      </c>
      <c r="B111" t="s">
        <v>218</v>
      </c>
      <c r="C111" s="46" t="s">
        <v>39</v>
      </c>
      <c r="D111" s="40" t="s">
        <v>215</v>
      </c>
      <c r="E111" s="48">
        <v>0.375</v>
      </c>
      <c r="F111" s="11">
        <v>9.4600000000000009</v>
      </c>
      <c r="G111" s="42">
        <v>10.54</v>
      </c>
      <c r="H111" s="41">
        <v>0.59097222222222223</v>
      </c>
      <c r="I111" s="43">
        <v>23.2</v>
      </c>
      <c r="J111" s="42">
        <v>8.93</v>
      </c>
      <c r="K111" s="47">
        <f t="shared" ref="K111:K126" si="37">H111-E111</f>
        <v>0.21597222222222223</v>
      </c>
      <c r="L111" s="42">
        <f t="shared" si="33"/>
        <v>3.9166666666666665</v>
      </c>
      <c r="M111" s="42">
        <f t="shared" si="23"/>
        <v>-1.6099999999999994</v>
      </c>
      <c r="N111" s="42">
        <f t="shared" si="24"/>
        <v>-7.4546623794212188</v>
      </c>
      <c r="S111" s="34">
        <v>0.59027777777777801</v>
      </c>
      <c r="T111" s="54">
        <v>17.79</v>
      </c>
      <c r="U111" s="54">
        <v>10.07</v>
      </c>
      <c r="V111" s="48">
        <v>0.76458333333333339</v>
      </c>
      <c r="X111" s="54">
        <v>9.14</v>
      </c>
      <c r="Y111" s="41">
        <f t="shared" si="25"/>
        <v>0.17430555555555538</v>
      </c>
      <c r="Z111" s="42">
        <f t="shared" ref="Z111:Z112" si="38">11/60+4</f>
        <v>4.1833333333333336</v>
      </c>
      <c r="AA111" s="36">
        <f t="shared" si="26"/>
        <v>-0.92999999999999972</v>
      </c>
      <c r="AB111" s="36">
        <f t="shared" si="27"/>
        <v>-0.22231075697211147</v>
      </c>
    </row>
    <row r="112" spans="1:28" x14ac:dyDescent="0.25">
      <c r="A112" s="36" t="s">
        <v>153</v>
      </c>
      <c r="B112" t="s">
        <v>217</v>
      </c>
      <c r="C112" s="46" t="s">
        <v>31</v>
      </c>
      <c r="D112" s="40" t="s">
        <v>215</v>
      </c>
      <c r="E112" s="48">
        <v>0.3756944444444445</v>
      </c>
      <c r="F112" s="11">
        <v>9.75</v>
      </c>
      <c r="G112" s="42">
        <v>10.5</v>
      </c>
      <c r="H112" s="41">
        <v>0.59166666666666667</v>
      </c>
      <c r="I112" s="43">
        <v>23.6</v>
      </c>
      <c r="J112" s="42">
        <v>7.17</v>
      </c>
      <c r="K112" s="47">
        <f t="shared" si="37"/>
        <v>0.21597222222222218</v>
      </c>
      <c r="L112" s="42">
        <f t="shared" si="33"/>
        <v>3.9166666666666665</v>
      </c>
      <c r="M112" s="42">
        <f t="shared" si="23"/>
        <v>-3.33</v>
      </c>
      <c r="N112" s="42">
        <f t="shared" si="24"/>
        <v>-15.418649517684891</v>
      </c>
      <c r="S112" s="34">
        <v>0.59097222222222201</v>
      </c>
      <c r="T112" s="54">
        <v>17.940000000000001</v>
      </c>
      <c r="U112" s="54">
        <v>10.029999999999999</v>
      </c>
      <c r="V112" s="48">
        <v>0.76527777777777783</v>
      </c>
      <c r="X112" s="54">
        <v>8.81</v>
      </c>
      <c r="Y112" s="41">
        <f t="shared" si="25"/>
        <v>0.17430555555555582</v>
      </c>
      <c r="Z112" s="42">
        <f t="shared" si="38"/>
        <v>4.1833333333333336</v>
      </c>
      <c r="AA112" s="36">
        <f t="shared" si="26"/>
        <v>-1.2199999999999989</v>
      </c>
      <c r="AB112" s="36">
        <f t="shared" si="27"/>
        <v>-0.29163346613545788</v>
      </c>
    </row>
    <row r="113" spans="1:28" x14ac:dyDescent="0.25">
      <c r="A113" s="36" t="s">
        <v>154</v>
      </c>
      <c r="B113" t="s">
        <v>217</v>
      </c>
      <c r="C113" s="46" t="s">
        <v>31</v>
      </c>
      <c r="D113" s="40" t="s">
        <v>215</v>
      </c>
      <c r="E113" s="48">
        <v>0.3756944444444445</v>
      </c>
      <c r="F113" s="11">
        <v>9.69</v>
      </c>
      <c r="G113" s="42">
        <v>10.56</v>
      </c>
      <c r="H113" s="41">
        <v>0.59166666666666667</v>
      </c>
      <c r="I113" s="43">
        <v>23.5</v>
      </c>
      <c r="J113" s="42">
        <v>6.2</v>
      </c>
      <c r="K113" s="47">
        <f t="shared" si="37"/>
        <v>0.21597222222222218</v>
      </c>
      <c r="L113" s="42">
        <f t="shared" si="33"/>
        <v>3.9166666666666665</v>
      </c>
      <c r="M113" s="42">
        <f t="shared" si="23"/>
        <v>-4.3600000000000003</v>
      </c>
      <c r="N113" s="42">
        <f t="shared" si="24"/>
        <v>-20.187781350482322</v>
      </c>
      <c r="S113" s="34">
        <v>0.59166666666666701</v>
      </c>
      <c r="T113" s="54">
        <v>17.920000000000002</v>
      </c>
      <c r="U113" s="54">
        <v>10.01</v>
      </c>
      <c r="V113" s="48">
        <v>0.76666666666666661</v>
      </c>
      <c r="X113" s="54">
        <v>7.16</v>
      </c>
      <c r="Y113" s="41">
        <f t="shared" si="25"/>
        <v>0.1749999999999996</v>
      </c>
      <c r="Z113" s="42">
        <f>12/60+4</f>
        <v>4.2</v>
      </c>
      <c r="AA113" s="36">
        <f t="shared" si="26"/>
        <v>-2.8499999999999996</v>
      </c>
      <c r="AB113" s="36">
        <f t="shared" si="27"/>
        <v>-0.67857142857142849</v>
      </c>
    </row>
    <row r="114" spans="1:28" x14ac:dyDescent="0.25">
      <c r="A114" s="36" t="s">
        <v>155</v>
      </c>
      <c r="B114" t="s">
        <v>36</v>
      </c>
      <c r="C114" s="46" t="s">
        <v>39</v>
      </c>
      <c r="D114" s="40" t="s">
        <v>215</v>
      </c>
      <c r="E114" s="48">
        <v>0.3756944444444445</v>
      </c>
      <c r="F114" s="11">
        <v>9.5500000000000007</v>
      </c>
      <c r="G114" s="42">
        <v>10.57</v>
      </c>
      <c r="H114" s="41">
        <v>0.59305555555555556</v>
      </c>
      <c r="I114" s="43">
        <v>23.2</v>
      </c>
      <c r="J114" s="36">
        <v>8.01</v>
      </c>
      <c r="K114" s="47">
        <f t="shared" si="37"/>
        <v>0.21736111111111106</v>
      </c>
      <c r="L114" s="42">
        <f t="shared" si="33"/>
        <v>3.9166666666666665</v>
      </c>
      <c r="M114" s="42">
        <f t="shared" si="23"/>
        <v>-2.5600000000000005</v>
      </c>
      <c r="N114" s="42">
        <f t="shared" si="24"/>
        <v>-11.777635782747609</v>
      </c>
      <c r="S114" s="34">
        <v>0.59236111111111101</v>
      </c>
      <c r="T114" s="54">
        <v>18.04</v>
      </c>
      <c r="U114" s="54">
        <v>10</v>
      </c>
      <c r="V114" s="48">
        <v>0.76736111111111116</v>
      </c>
      <c r="X114" s="54">
        <v>6.88</v>
      </c>
      <c r="Y114" s="41">
        <f t="shared" si="25"/>
        <v>0.17500000000000016</v>
      </c>
      <c r="Z114" s="42">
        <f t="shared" ref="Z114:Z116" si="39">12/60+4</f>
        <v>4.2</v>
      </c>
      <c r="AA114" s="36">
        <f t="shared" si="26"/>
        <v>-3.12</v>
      </c>
      <c r="AB114" s="36">
        <f t="shared" si="27"/>
        <v>-0.74285714285714288</v>
      </c>
    </row>
    <row r="115" spans="1:28" x14ac:dyDescent="0.25">
      <c r="A115" s="36" t="s">
        <v>156</v>
      </c>
      <c r="B115" t="s">
        <v>48</v>
      </c>
      <c r="C115" s="46" t="s">
        <v>39</v>
      </c>
      <c r="D115" s="40" t="s">
        <v>215</v>
      </c>
      <c r="E115" s="48">
        <v>0.37638888888888888</v>
      </c>
      <c r="F115" s="11">
        <v>9.59</v>
      </c>
      <c r="G115" s="42">
        <v>10.59</v>
      </c>
      <c r="H115" s="41">
        <v>0.59305555555555556</v>
      </c>
      <c r="I115" s="35">
        <v>23</v>
      </c>
      <c r="J115" s="36">
        <v>8.24</v>
      </c>
      <c r="K115" s="47">
        <f t="shared" si="37"/>
        <v>0.21666666666666667</v>
      </c>
      <c r="L115" s="42">
        <f t="shared" si="33"/>
        <v>3.9166666666666665</v>
      </c>
      <c r="M115" s="42">
        <f t="shared" si="23"/>
        <v>-2.3499999999999996</v>
      </c>
      <c r="N115" s="42">
        <f t="shared" si="24"/>
        <v>-10.846153846153845</v>
      </c>
      <c r="S115" s="34">
        <v>0.593055555555556</v>
      </c>
      <c r="T115" s="54">
        <v>17.95</v>
      </c>
      <c r="U115" s="54">
        <v>10.06</v>
      </c>
      <c r="V115" s="48">
        <v>0.76805555555555605</v>
      </c>
      <c r="X115" s="54">
        <v>7.84</v>
      </c>
      <c r="Y115" s="41">
        <f t="shared" si="25"/>
        <v>0.17500000000000004</v>
      </c>
      <c r="Z115" s="42">
        <f t="shared" si="39"/>
        <v>4.2</v>
      </c>
      <c r="AA115" s="36">
        <f t="shared" si="26"/>
        <v>-2.2200000000000006</v>
      </c>
      <c r="AB115" s="36">
        <f t="shared" si="27"/>
        <v>-0.52857142857142869</v>
      </c>
    </row>
    <row r="116" spans="1:28" x14ac:dyDescent="0.25">
      <c r="A116" s="36" t="s">
        <v>157</v>
      </c>
      <c r="B116" t="s">
        <v>34</v>
      </c>
      <c r="C116" s="46" t="s">
        <v>39</v>
      </c>
      <c r="D116" s="40" t="s">
        <v>215</v>
      </c>
      <c r="E116" s="48">
        <v>0.37638888888888888</v>
      </c>
      <c r="F116" s="11">
        <v>9.68</v>
      </c>
      <c r="G116" s="42">
        <v>10.58</v>
      </c>
      <c r="H116" s="41">
        <v>0.59375</v>
      </c>
      <c r="I116">
        <v>22.9</v>
      </c>
      <c r="J116" s="36">
        <v>9.16</v>
      </c>
      <c r="K116" s="47">
        <f t="shared" si="37"/>
        <v>0.21736111111111112</v>
      </c>
      <c r="L116" s="42">
        <f t="shared" si="33"/>
        <v>3.9166666666666665</v>
      </c>
      <c r="M116" s="42">
        <f t="shared" si="23"/>
        <v>-1.42</v>
      </c>
      <c r="N116" s="42">
        <f t="shared" si="24"/>
        <v>-6.5329073482428113</v>
      </c>
      <c r="S116" s="34">
        <v>0.59375</v>
      </c>
      <c r="T116" s="54">
        <v>18.11</v>
      </c>
      <c r="U116" s="54">
        <v>10.130000000000001</v>
      </c>
      <c r="V116" s="48">
        <v>0.76875000000000004</v>
      </c>
      <c r="X116" s="54">
        <v>7.99</v>
      </c>
      <c r="Y116" s="41">
        <f t="shared" si="25"/>
        <v>0.17500000000000004</v>
      </c>
      <c r="Z116" s="42">
        <f t="shared" si="39"/>
        <v>4.2</v>
      </c>
      <c r="AA116" s="36">
        <f t="shared" si="26"/>
        <v>-2.1400000000000006</v>
      </c>
      <c r="AB116" s="36">
        <f t="shared" si="27"/>
        <v>-0.5095238095238096</v>
      </c>
    </row>
    <row r="117" spans="1:28" x14ac:dyDescent="0.25">
      <c r="A117" s="36" t="s">
        <v>158</v>
      </c>
      <c r="B117" t="s">
        <v>34</v>
      </c>
      <c r="C117" s="46" t="s">
        <v>39</v>
      </c>
      <c r="D117" s="40" t="s">
        <v>215</v>
      </c>
      <c r="E117" s="48">
        <v>0.37708333333333338</v>
      </c>
      <c r="F117" s="11">
        <v>9.73</v>
      </c>
      <c r="G117" s="42">
        <v>10.49</v>
      </c>
      <c r="H117" s="41">
        <v>0.59513888888888888</v>
      </c>
      <c r="I117">
        <v>23.3</v>
      </c>
      <c r="J117" s="36">
        <v>9.4499999999999993</v>
      </c>
      <c r="K117" s="47">
        <f t="shared" si="37"/>
        <v>0.2180555555555555</v>
      </c>
      <c r="L117" s="42">
        <f t="shared" si="33"/>
        <v>3.9166666666666665</v>
      </c>
      <c r="M117" s="42">
        <f t="shared" si="23"/>
        <v>-1.0400000000000009</v>
      </c>
      <c r="N117" s="42">
        <f t="shared" si="24"/>
        <v>-4.7694267515923618</v>
      </c>
      <c r="S117" s="34">
        <v>0.594444444444444</v>
      </c>
      <c r="T117" s="54">
        <v>18.149999999999999</v>
      </c>
      <c r="U117" s="54">
        <v>10.06</v>
      </c>
      <c r="V117" s="48">
        <v>0.77013888888888893</v>
      </c>
      <c r="X117" s="54">
        <v>9.07</v>
      </c>
      <c r="Y117" s="41">
        <f t="shared" si="25"/>
        <v>0.17569444444444493</v>
      </c>
      <c r="Z117" s="42">
        <f>13/60+4</f>
        <v>4.2166666666666668</v>
      </c>
      <c r="AA117" s="36">
        <f t="shared" si="26"/>
        <v>-0.99000000000000021</v>
      </c>
      <c r="AB117" s="36">
        <f t="shared" si="27"/>
        <v>-0.23478260869565221</v>
      </c>
    </row>
    <row r="118" spans="1:28" x14ac:dyDescent="0.25">
      <c r="A118" s="36" t="s">
        <v>159</v>
      </c>
      <c r="B118" t="s">
        <v>30</v>
      </c>
      <c r="C118" s="46" t="s">
        <v>31</v>
      </c>
      <c r="D118" s="40" t="s">
        <v>215</v>
      </c>
      <c r="E118" s="48">
        <v>0.37708333333333338</v>
      </c>
      <c r="F118" s="11">
        <v>9.66</v>
      </c>
      <c r="G118" s="42">
        <v>10.55</v>
      </c>
      <c r="H118" s="41">
        <v>0.59513888888888888</v>
      </c>
      <c r="I118">
        <v>23.4</v>
      </c>
      <c r="J118" s="36">
        <v>9.08</v>
      </c>
      <c r="K118" s="47">
        <f t="shared" si="37"/>
        <v>0.2180555555555555</v>
      </c>
      <c r="L118" s="42">
        <f t="shared" si="33"/>
        <v>3.9166666666666665</v>
      </c>
      <c r="M118" s="42">
        <f t="shared" si="23"/>
        <v>-1.4700000000000006</v>
      </c>
      <c r="N118" s="42">
        <f t="shared" si="24"/>
        <v>-6.741401273885355</v>
      </c>
      <c r="S118" s="34">
        <v>0.59513888888888899</v>
      </c>
      <c r="T118" s="54">
        <v>18.16</v>
      </c>
      <c r="U118" s="54">
        <v>10.18</v>
      </c>
      <c r="V118" s="48">
        <v>0.77083333333333337</v>
      </c>
      <c r="X118" s="54">
        <v>9.16</v>
      </c>
      <c r="Y118" s="41">
        <f t="shared" si="25"/>
        <v>0.17569444444444438</v>
      </c>
      <c r="Z118" s="42">
        <f t="shared" ref="Z118:Z119" si="40">13/60+4</f>
        <v>4.2166666666666668</v>
      </c>
      <c r="AA118" s="36">
        <f t="shared" si="26"/>
        <v>-1.0199999999999996</v>
      </c>
      <c r="AB118" s="36">
        <f t="shared" si="27"/>
        <v>-0.24189723320158091</v>
      </c>
    </row>
    <row r="119" spans="1:28" x14ac:dyDescent="0.25">
      <c r="A119" s="36" t="s">
        <v>160</v>
      </c>
      <c r="B119" t="s">
        <v>30</v>
      </c>
      <c r="C119" s="46" t="s">
        <v>31</v>
      </c>
      <c r="D119" s="40" t="s">
        <v>215</v>
      </c>
      <c r="E119" s="48">
        <v>0.37777777777777777</v>
      </c>
      <c r="F119" s="11">
        <v>9.86</v>
      </c>
      <c r="G119" s="42">
        <v>10.61</v>
      </c>
      <c r="H119" s="41">
        <v>0.59583333333333333</v>
      </c>
      <c r="I119">
        <v>23.3</v>
      </c>
      <c r="J119" s="36">
        <v>8.9700000000000006</v>
      </c>
      <c r="K119" s="47">
        <f t="shared" si="37"/>
        <v>0.21805555555555556</v>
      </c>
      <c r="L119" s="42">
        <f t="shared" si="33"/>
        <v>3.9166666666666665</v>
      </c>
      <c r="M119" s="42">
        <f t="shared" si="23"/>
        <v>-1.6399999999999988</v>
      </c>
      <c r="N119" s="42">
        <f t="shared" si="24"/>
        <v>-7.5210191082802496</v>
      </c>
      <c r="S119" s="34">
        <v>0.59583333333333299</v>
      </c>
      <c r="T119" s="54">
        <v>18.100000000000001</v>
      </c>
      <c r="U119" s="54">
        <v>10.06</v>
      </c>
      <c r="V119" s="48">
        <v>0.77152777777777803</v>
      </c>
      <c r="X119" s="54">
        <v>8.92</v>
      </c>
      <c r="Y119" s="41">
        <f t="shared" si="25"/>
        <v>0.17569444444444504</v>
      </c>
      <c r="Z119" s="42">
        <f t="shared" si="40"/>
        <v>4.2166666666666668</v>
      </c>
      <c r="AA119" s="36">
        <f t="shared" si="26"/>
        <v>-1.1400000000000006</v>
      </c>
      <c r="AB119" s="36">
        <f t="shared" si="27"/>
        <v>-0.27035573122529655</v>
      </c>
    </row>
    <row r="120" spans="1:28" x14ac:dyDescent="0.25">
      <c r="A120" s="36" t="s">
        <v>161</v>
      </c>
      <c r="B120" t="s">
        <v>69</v>
      </c>
      <c r="C120" s="46" t="s">
        <v>39</v>
      </c>
      <c r="D120" s="40" t="s">
        <v>215</v>
      </c>
      <c r="E120" s="48">
        <v>0.37777777777777777</v>
      </c>
      <c r="F120" s="11">
        <v>9.94</v>
      </c>
      <c r="G120" s="42">
        <v>10.59</v>
      </c>
      <c r="H120" s="41">
        <v>0.59652777777777777</v>
      </c>
      <c r="I120">
        <v>23.1</v>
      </c>
      <c r="J120" s="36">
        <v>9.5299999999999994</v>
      </c>
      <c r="K120" s="47">
        <f t="shared" si="37"/>
        <v>0.21875</v>
      </c>
      <c r="L120" s="42">
        <f t="shared" si="33"/>
        <v>3.9166666666666665</v>
      </c>
      <c r="M120" s="42">
        <f t="shared" si="23"/>
        <v>-1.0600000000000005</v>
      </c>
      <c r="N120" s="42">
        <f t="shared" si="24"/>
        <v>-4.8457142857142879</v>
      </c>
      <c r="S120" s="34">
        <v>0.59583333333333333</v>
      </c>
      <c r="T120" s="54">
        <v>18.059999999999999</v>
      </c>
      <c r="U120" s="54">
        <v>10.039999999999999</v>
      </c>
      <c r="V120" s="48">
        <v>0.77222222222222203</v>
      </c>
      <c r="X120" s="54">
        <v>8.64</v>
      </c>
      <c r="Y120" s="41">
        <f t="shared" si="25"/>
        <v>0.17638888888888871</v>
      </c>
      <c r="Z120" s="42">
        <f>14/60+4</f>
        <v>4.2333333333333334</v>
      </c>
      <c r="AA120" s="36">
        <f t="shared" si="26"/>
        <v>-1.3999999999999986</v>
      </c>
      <c r="AB120" s="36">
        <f t="shared" si="27"/>
        <v>-0.33070866141732247</v>
      </c>
    </row>
    <row r="121" spans="1:28" x14ac:dyDescent="0.25">
      <c r="A121" s="36" t="s">
        <v>162</v>
      </c>
      <c r="B121" t="s">
        <v>216</v>
      </c>
      <c r="C121" s="46" t="s">
        <v>39</v>
      </c>
      <c r="D121" s="40" t="s">
        <v>215</v>
      </c>
      <c r="E121" s="48">
        <v>0.37777777777777777</v>
      </c>
      <c r="F121" s="11">
        <v>9.8699999999999992</v>
      </c>
      <c r="G121" s="42">
        <v>10.64</v>
      </c>
      <c r="H121" s="41">
        <v>0.59722222222222221</v>
      </c>
      <c r="I121">
        <v>23.2</v>
      </c>
      <c r="J121" s="36">
        <v>9.09</v>
      </c>
      <c r="K121" s="47">
        <f t="shared" si="37"/>
        <v>0.21944444444444444</v>
      </c>
      <c r="L121" s="42">
        <f t="shared" si="33"/>
        <v>3.9166666666666665</v>
      </c>
      <c r="M121" s="42">
        <f t="shared" si="23"/>
        <v>-1.5500000000000007</v>
      </c>
      <c r="N121" s="42">
        <f t="shared" si="24"/>
        <v>-7.0632911392405093</v>
      </c>
      <c r="S121" s="34">
        <v>0.59652777777777777</v>
      </c>
      <c r="T121" s="54">
        <v>18.13</v>
      </c>
      <c r="U121" s="54">
        <v>10.07</v>
      </c>
      <c r="V121" s="48">
        <v>0.77291666666666703</v>
      </c>
      <c r="X121" s="54">
        <v>9.23</v>
      </c>
      <c r="Y121" s="41">
        <f t="shared" si="25"/>
        <v>0.17638888888888926</v>
      </c>
      <c r="Z121" s="42">
        <f>14/60+4</f>
        <v>4.2333333333333334</v>
      </c>
      <c r="AA121" s="36">
        <f t="shared" si="26"/>
        <v>-0.83999999999999986</v>
      </c>
      <c r="AB121" s="36">
        <f t="shared" si="27"/>
        <v>-0.19842519685039367</v>
      </c>
    </row>
    <row r="122" spans="1:28" x14ac:dyDescent="0.25">
      <c r="A122" s="36" t="s">
        <v>163</v>
      </c>
      <c r="B122" t="s">
        <v>36</v>
      </c>
      <c r="C122" s="46" t="s">
        <v>39</v>
      </c>
      <c r="D122" s="40" t="s">
        <v>215</v>
      </c>
      <c r="E122" s="48">
        <v>0.37847222222222227</v>
      </c>
      <c r="F122" s="53">
        <v>10</v>
      </c>
      <c r="G122" s="42">
        <v>10.56</v>
      </c>
      <c r="H122" s="41">
        <v>0.59791666666666665</v>
      </c>
      <c r="I122">
        <v>23.3</v>
      </c>
      <c r="J122" s="36">
        <v>8.2799999999999994</v>
      </c>
      <c r="K122" s="47">
        <f t="shared" si="37"/>
        <v>0.21944444444444439</v>
      </c>
      <c r="L122" s="42">
        <f t="shared" si="33"/>
        <v>3.9166666666666665</v>
      </c>
      <c r="M122" s="42">
        <f t="shared" si="23"/>
        <v>-2.2800000000000011</v>
      </c>
      <c r="N122" s="42">
        <f t="shared" si="24"/>
        <v>-10.389873417721526</v>
      </c>
      <c r="S122" s="34">
        <v>0.59722222222222221</v>
      </c>
      <c r="T122" s="54">
        <v>18.239999999999998</v>
      </c>
      <c r="U122" s="54">
        <v>9.99</v>
      </c>
      <c r="V122" s="48">
        <v>0.77500000000000002</v>
      </c>
      <c r="X122" s="54">
        <v>8.7200000000000006</v>
      </c>
      <c r="Y122" s="41">
        <f t="shared" si="25"/>
        <v>0.17777777777777781</v>
      </c>
      <c r="Z122" s="42">
        <f>16/60+4</f>
        <v>4.2666666666666666</v>
      </c>
      <c r="AA122" s="36">
        <f t="shared" si="26"/>
        <v>-1.2699999999999996</v>
      </c>
      <c r="AB122" s="36">
        <f t="shared" si="27"/>
        <v>-0.2976562499999999</v>
      </c>
    </row>
    <row r="123" spans="1:28" x14ac:dyDescent="0.25">
      <c r="A123" s="36" t="s">
        <v>220</v>
      </c>
      <c r="B123" s="40" t="s">
        <v>215</v>
      </c>
      <c r="C123" s="40" t="s">
        <v>215</v>
      </c>
      <c r="D123" s="40" t="s">
        <v>215</v>
      </c>
      <c r="E123" s="34">
        <v>0.37847222222222227</v>
      </c>
      <c r="F123" s="53">
        <v>9.9</v>
      </c>
      <c r="G123" s="42">
        <v>10.56</v>
      </c>
      <c r="H123" s="41">
        <v>0.59791666666666665</v>
      </c>
      <c r="I123">
        <v>23.6</v>
      </c>
      <c r="J123" s="42">
        <v>9.6999999999999993</v>
      </c>
      <c r="K123" s="47">
        <f t="shared" si="37"/>
        <v>0.21944444444444439</v>
      </c>
      <c r="L123" s="42">
        <f t="shared" si="33"/>
        <v>3.9166666666666665</v>
      </c>
      <c r="M123" s="42">
        <f t="shared" si="23"/>
        <v>-0.86000000000000121</v>
      </c>
      <c r="N123" s="42">
        <f t="shared" si="24"/>
        <v>-3.9189873417721586</v>
      </c>
      <c r="S123" s="34">
        <v>0.59791666666666665</v>
      </c>
      <c r="T123" s="54">
        <v>18.260000000000002</v>
      </c>
      <c r="U123" s="54">
        <v>10.17</v>
      </c>
      <c r="V123" s="48">
        <v>0.77638888888888891</v>
      </c>
      <c r="X123" s="54">
        <v>7.67</v>
      </c>
      <c r="Y123" s="41">
        <f t="shared" si="25"/>
        <v>0.17847222222222225</v>
      </c>
      <c r="Z123" s="42">
        <f>17/60+4</f>
        <v>4.2833333333333332</v>
      </c>
      <c r="AA123" s="36">
        <f t="shared" si="26"/>
        <v>-2.5</v>
      </c>
      <c r="AB123" s="36">
        <f t="shared" si="27"/>
        <v>-0.58365758754863817</v>
      </c>
    </row>
    <row r="124" spans="1:28" x14ac:dyDescent="0.25">
      <c r="A124" s="36" t="s">
        <v>220</v>
      </c>
      <c r="B124" s="40" t="s">
        <v>215</v>
      </c>
      <c r="C124" s="40" t="s">
        <v>215</v>
      </c>
      <c r="D124" s="40" t="s">
        <v>215</v>
      </c>
      <c r="E124" s="48">
        <v>0.37916666666666665</v>
      </c>
      <c r="F124" s="53">
        <v>9.8000000000000007</v>
      </c>
      <c r="G124" s="42">
        <v>10.58</v>
      </c>
      <c r="H124" s="41">
        <v>0.59861111111111109</v>
      </c>
      <c r="I124">
        <v>23.5</v>
      </c>
      <c r="J124" s="42">
        <v>9.6300000000000008</v>
      </c>
      <c r="K124" s="47">
        <f t="shared" si="37"/>
        <v>0.21944444444444444</v>
      </c>
      <c r="L124" s="42">
        <f t="shared" si="33"/>
        <v>3.9166666666666665</v>
      </c>
      <c r="M124" s="42">
        <f t="shared" si="23"/>
        <v>-0.94999999999999929</v>
      </c>
      <c r="N124" s="42">
        <f t="shared" si="24"/>
        <v>-4.3291139240506293</v>
      </c>
      <c r="S124" s="34">
        <v>0.59861111111111098</v>
      </c>
      <c r="T124" s="54">
        <v>18.28</v>
      </c>
      <c r="U124" s="54">
        <v>10.039999999999999</v>
      </c>
      <c r="V124" s="48">
        <v>0.77708333333333324</v>
      </c>
      <c r="X124" s="54">
        <v>9.56</v>
      </c>
      <c r="Y124" s="41">
        <f t="shared" si="25"/>
        <v>0.17847222222222225</v>
      </c>
      <c r="Z124" s="42">
        <f>17/60+4</f>
        <v>4.2833333333333332</v>
      </c>
      <c r="AA124" s="36">
        <f t="shared" si="26"/>
        <v>-0.47999999999999865</v>
      </c>
      <c r="AB124" s="36">
        <f t="shared" si="27"/>
        <v>-0.11206225680933821</v>
      </c>
    </row>
    <row r="125" spans="1:28" x14ac:dyDescent="0.25">
      <c r="A125" s="36" t="s">
        <v>220</v>
      </c>
      <c r="B125" s="40" t="s">
        <v>215</v>
      </c>
      <c r="C125" s="40" t="s">
        <v>215</v>
      </c>
      <c r="D125" s="40" t="s">
        <v>215</v>
      </c>
      <c r="E125" s="34">
        <v>0.37916666666666665</v>
      </c>
      <c r="F125" s="11">
        <v>9.85</v>
      </c>
      <c r="G125" s="42">
        <v>10.62</v>
      </c>
      <c r="H125" s="41">
        <v>0.59930555555555554</v>
      </c>
      <c r="I125">
        <v>23.5</v>
      </c>
      <c r="J125" s="42">
        <v>9.6199999999999992</v>
      </c>
      <c r="K125" s="47">
        <f t="shared" si="37"/>
        <v>0.22013888888888888</v>
      </c>
      <c r="L125" s="42">
        <f t="shared" si="33"/>
        <v>3.9166666666666665</v>
      </c>
      <c r="M125" s="42">
        <f t="shared" si="23"/>
        <v>-1</v>
      </c>
      <c r="N125" s="42">
        <f t="shared" si="24"/>
        <v>-4.5425867507886437</v>
      </c>
      <c r="S125" s="34">
        <v>0.59861111111111109</v>
      </c>
      <c r="T125" s="54">
        <v>18.36</v>
      </c>
      <c r="U125" s="54">
        <v>10.119999999999999</v>
      </c>
      <c r="V125" s="48">
        <v>0.77777777777777779</v>
      </c>
      <c r="X125" s="54">
        <v>9.75</v>
      </c>
      <c r="Y125" s="41">
        <f t="shared" si="25"/>
        <v>0.1791666666666667</v>
      </c>
      <c r="Z125" s="42">
        <f t="shared" ref="Z125:Z127" si="41">18/60+4</f>
        <v>4.3</v>
      </c>
      <c r="AA125" s="36">
        <f t="shared" si="26"/>
        <v>-0.36999999999999922</v>
      </c>
      <c r="AB125" s="36">
        <f t="shared" si="27"/>
        <v>-8.6046511627906802E-2</v>
      </c>
    </row>
    <row r="126" spans="1:28" x14ac:dyDescent="0.25">
      <c r="A126" s="36" t="s">
        <v>220</v>
      </c>
      <c r="B126" s="40" t="s">
        <v>215</v>
      </c>
      <c r="C126" s="40" t="s">
        <v>215</v>
      </c>
      <c r="D126" s="40" t="s">
        <v>215</v>
      </c>
      <c r="E126" s="48">
        <v>0.37916666666666698</v>
      </c>
      <c r="F126" s="11">
        <v>9.9700000000000006</v>
      </c>
      <c r="G126" s="42">
        <v>10.65</v>
      </c>
      <c r="H126" s="41">
        <v>0.6</v>
      </c>
      <c r="I126">
        <v>23.6</v>
      </c>
      <c r="J126" s="42">
        <v>10</v>
      </c>
      <c r="K126" s="47">
        <f t="shared" si="37"/>
        <v>0.22083333333333299</v>
      </c>
      <c r="L126" s="42">
        <f t="shared" si="33"/>
        <v>3.9166666666666665</v>
      </c>
      <c r="M126" s="42">
        <f t="shared" si="23"/>
        <v>-0.65000000000000036</v>
      </c>
      <c r="N126" s="42">
        <f t="shared" si="24"/>
        <v>-2.9433962264151003</v>
      </c>
      <c r="S126" s="34">
        <v>0.59930555555555598</v>
      </c>
      <c r="T126" s="54">
        <v>18.309999999999999</v>
      </c>
      <c r="U126" s="54">
        <v>10.02</v>
      </c>
      <c r="V126" s="48">
        <v>0.77847222222222201</v>
      </c>
      <c r="X126" s="54">
        <v>9.6999999999999993</v>
      </c>
      <c r="Y126" s="41">
        <f t="shared" si="25"/>
        <v>0.17916666666666603</v>
      </c>
      <c r="Z126" s="42">
        <f t="shared" si="41"/>
        <v>4.3</v>
      </c>
      <c r="AA126" s="36">
        <f t="shared" si="26"/>
        <v>-0.32000000000000028</v>
      </c>
      <c r="AB126" s="36">
        <f t="shared" si="27"/>
        <v>-7.4418604651162859E-2</v>
      </c>
    </row>
    <row r="127" spans="1:28" x14ac:dyDescent="0.25">
      <c r="A127" s="36" t="s">
        <v>220</v>
      </c>
      <c r="B127" s="40" t="s">
        <v>215</v>
      </c>
      <c r="C127" s="40" t="s">
        <v>215</v>
      </c>
      <c r="D127" s="40" t="s">
        <v>215</v>
      </c>
      <c r="E127" s="34">
        <v>0.37916666666666698</v>
      </c>
      <c r="F127" s="11">
        <v>9.83</v>
      </c>
      <c r="G127" s="42">
        <v>10.62</v>
      </c>
      <c r="H127" s="41">
        <v>0.6</v>
      </c>
      <c r="I127">
        <v>23.8</v>
      </c>
      <c r="J127" s="42">
        <v>9.9</v>
      </c>
      <c r="K127" s="47">
        <f>H127-E127</f>
        <v>0.22083333333333299</v>
      </c>
      <c r="L127" s="42">
        <f t="shared" si="33"/>
        <v>3.9166666666666665</v>
      </c>
      <c r="M127" s="42">
        <f t="shared" si="23"/>
        <v>-0.71999999999999886</v>
      </c>
      <c r="N127" s="42">
        <f t="shared" si="24"/>
        <v>-3.2603773584905658</v>
      </c>
      <c r="S127" s="34">
        <v>0.6</v>
      </c>
      <c r="T127" s="54">
        <v>18.34</v>
      </c>
      <c r="U127" s="54">
        <v>10.039999999999999</v>
      </c>
      <c r="V127" s="48">
        <v>0.77916666666666701</v>
      </c>
      <c r="X127" s="54">
        <v>9.77</v>
      </c>
      <c r="Y127" s="41">
        <f t="shared" si="25"/>
        <v>0.17916666666666703</v>
      </c>
      <c r="Z127" s="42">
        <f t="shared" si="41"/>
        <v>4.3</v>
      </c>
      <c r="AA127" s="36">
        <f t="shared" si="26"/>
        <v>-0.26999999999999957</v>
      </c>
      <c r="AB127" s="36">
        <f t="shared" si="27"/>
        <v>-6.2790697674418514E-2</v>
      </c>
    </row>
    <row r="128" spans="1:28" x14ac:dyDescent="0.25">
      <c r="E128" s="48"/>
      <c r="S128" s="34">
        <v>0.60069444444444398</v>
      </c>
      <c r="T128" s="54">
        <v>18.28</v>
      </c>
      <c r="U128" s="54">
        <v>10.17</v>
      </c>
      <c r="V128" s="48">
        <v>0.77986111111111101</v>
      </c>
      <c r="X128" s="54">
        <v>9.64</v>
      </c>
      <c r="Y128" s="41">
        <f t="shared" si="25"/>
        <v>0.17916666666666703</v>
      </c>
      <c r="Z128" s="42">
        <f>18/60+4</f>
        <v>4.3</v>
      </c>
      <c r="AA128" s="36">
        <f t="shared" si="26"/>
        <v>-0.52999999999999936</v>
      </c>
      <c r="AB128" s="36">
        <f t="shared" si="27"/>
        <v>-0.12325581395348822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DOC_&amp;_TDN_Calculations</vt:lpstr>
      <vt:lpstr>Leachate_NDS_2015</vt:lpstr>
      <vt:lpstr>Calculations_for_NDS</vt:lpstr>
      <vt:lpstr>Sheet1</vt:lpstr>
      <vt:lpstr>NDS Data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clay</dc:creator>
  <cp:keywords/>
  <dc:description/>
  <cp:lastModifiedBy>Natalie Levesque</cp:lastModifiedBy>
  <cp:revision>10</cp:revision>
  <dcterms:created xsi:type="dcterms:W3CDTF">2015-07-11T18:55:27Z</dcterms:created>
  <dcterms:modified xsi:type="dcterms:W3CDTF">2016-05-10T17:57:21Z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