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Docs\"/>
    </mc:Choice>
  </mc:AlternateContent>
  <xr:revisionPtr revIDLastSave="0" documentId="13_ncr:1_{671B1810-549B-48A9-8813-84B691165EE2}" xr6:coauthVersionLast="47" xr6:coauthVersionMax="47" xr10:uidLastSave="{00000000-0000-0000-0000-000000000000}"/>
  <bookViews>
    <workbookView xWindow="1560" yWindow="1560" windowWidth="31515" windowHeight="13230" tabRatio="139" firstSheet="1" activeTab="2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0" i="3" l="1"/>
  <c r="H96" i="3"/>
  <c r="H95" i="3"/>
  <c r="H94" i="3"/>
  <c r="H93" i="3"/>
  <c r="I94" i="3"/>
  <c r="I95" i="3"/>
  <c r="I93" i="3"/>
  <c r="F94" i="3"/>
  <c r="F93" i="3"/>
  <c r="D95" i="3"/>
  <c r="D94" i="3"/>
  <c r="D93" i="3"/>
  <c r="J88" i="3"/>
  <c r="J87" i="3"/>
  <c r="I88" i="3"/>
  <c r="I89" i="3"/>
  <c r="I87" i="3"/>
  <c r="H89" i="3"/>
  <c r="H88" i="3"/>
  <c r="H87" i="3"/>
  <c r="F87" i="3"/>
  <c r="D90" i="3"/>
  <c r="D89" i="3"/>
  <c r="D88" i="3"/>
  <c r="D87" i="3"/>
  <c r="H69" i="3"/>
  <c r="H63" i="3"/>
  <c r="H62" i="3"/>
  <c r="G45" i="3"/>
  <c r="D45" i="3"/>
  <c r="G44" i="3"/>
  <c r="D44" i="3"/>
  <c r="G43" i="3"/>
  <c r="D43" i="3"/>
  <c r="D36" i="3"/>
  <c r="D35" i="3"/>
  <c r="E34" i="3"/>
  <c r="D34" i="3"/>
  <c r="D23" i="3"/>
  <c r="K57" i="3" s="1"/>
  <c r="D22" i="3"/>
  <c r="K56" i="3" s="1"/>
  <c r="D21" i="3"/>
  <c r="K55" i="3" s="1"/>
  <c r="G15" i="3"/>
  <c r="E57" i="3" s="1"/>
  <c r="E89" i="3" s="1"/>
  <c r="J89" i="3" s="1"/>
  <c r="G14" i="3"/>
  <c r="E56" i="3" s="1"/>
  <c r="E88" i="3" s="1"/>
  <c r="G13" i="3"/>
  <c r="E55" i="3" s="1"/>
  <c r="E87" i="3" s="1"/>
  <c r="D15" i="3"/>
  <c r="D57" i="3" s="1"/>
  <c r="F89" i="3" s="1"/>
  <c r="D14" i="3"/>
  <c r="F14" i="3" s="1"/>
  <c r="D13" i="3"/>
  <c r="H8" i="3"/>
  <c r="E36" i="3" s="1"/>
  <c r="H7" i="3"/>
  <c r="E35" i="3" s="1"/>
  <c r="H5" i="3"/>
  <c r="E15" i="3" s="1"/>
  <c r="H4" i="3"/>
  <c r="E14" i="3" s="1"/>
  <c r="H3" i="3"/>
  <c r="J5" i="3"/>
  <c r="J4" i="3"/>
  <c r="J3" i="3"/>
  <c r="H8" i="1"/>
  <c r="H7" i="1"/>
  <c r="I5" i="1" s="1"/>
  <c r="H6" i="1"/>
  <c r="I4" i="1" s="1"/>
  <c r="H5" i="1"/>
  <c r="H4" i="1"/>
  <c r="H3" i="1"/>
  <c r="I7" i="1" s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G34" i="3" s="1"/>
  <c r="T2" i="3"/>
  <c r="H18" i="3" s="1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F35" i="3" l="1"/>
  <c r="H84" i="3"/>
  <c r="J34" i="3"/>
  <c r="G35" i="3"/>
  <c r="I35" i="3" s="1"/>
  <c r="D56" i="3"/>
  <c r="F88" i="3" s="1"/>
  <c r="F50" i="3"/>
  <c r="F52" i="3" s="1"/>
  <c r="F36" i="3"/>
  <c r="F18" i="3"/>
  <c r="G36" i="3"/>
  <c r="I36" i="3" s="1"/>
  <c r="H50" i="3"/>
  <c r="J35" i="3"/>
  <c r="F34" i="3"/>
  <c r="I34" i="3"/>
  <c r="D55" i="3"/>
  <c r="I15" i="3"/>
  <c r="F57" i="3" s="1"/>
  <c r="J15" i="3"/>
  <c r="G57" i="3" s="1"/>
  <c r="E13" i="3"/>
  <c r="F13" i="3" s="1"/>
  <c r="I7" i="3"/>
  <c r="E22" i="3" s="1"/>
  <c r="I14" i="3"/>
  <c r="F56" i="3" s="1"/>
  <c r="C88" i="3" s="1"/>
  <c r="J14" i="3"/>
  <c r="G56" i="3" s="1"/>
  <c r="J6" i="3"/>
  <c r="I4" i="3"/>
  <c r="E44" i="3" s="1"/>
  <c r="F15" i="3"/>
  <c r="I6" i="3"/>
  <c r="G21" i="3"/>
  <c r="I8" i="3"/>
  <c r="E23" i="3" s="1"/>
  <c r="G22" i="3"/>
  <c r="I3" i="3"/>
  <c r="E43" i="3" s="1"/>
  <c r="G23" i="3"/>
  <c r="I5" i="3"/>
  <c r="E45" i="3" s="1"/>
  <c r="U2" i="1"/>
  <c r="I3" i="1"/>
  <c r="U2" i="3"/>
  <c r="H37" i="3" s="1"/>
  <c r="Q2" i="3"/>
  <c r="H16" i="3" s="1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L57" i="3" l="1"/>
  <c r="E95" i="3"/>
  <c r="L56" i="3"/>
  <c r="E94" i="3"/>
  <c r="L55" i="3"/>
  <c r="E93" i="3"/>
  <c r="H56" i="3"/>
  <c r="G88" i="3" s="1"/>
  <c r="H57" i="3"/>
  <c r="G89" i="3" s="1"/>
  <c r="G90" i="3" s="1"/>
  <c r="C89" i="3"/>
  <c r="C90" i="3" s="1"/>
  <c r="F37" i="3"/>
  <c r="J44" i="3"/>
  <c r="I44" i="3"/>
  <c r="F44" i="3"/>
  <c r="H28" i="3"/>
  <c r="H39" i="3"/>
  <c r="J43" i="3"/>
  <c r="I43" i="3"/>
  <c r="F43" i="3"/>
  <c r="J36" i="3"/>
  <c r="J38" i="3" s="1"/>
  <c r="F45" i="3"/>
  <c r="J45" i="3"/>
  <c r="I45" i="3"/>
  <c r="F39" i="3"/>
  <c r="F28" i="3"/>
  <c r="I22" i="3"/>
  <c r="J22" i="3"/>
  <c r="N56" i="3" s="1"/>
  <c r="I23" i="3"/>
  <c r="J23" i="3"/>
  <c r="N57" i="3" s="1"/>
  <c r="I13" i="3"/>
  <c r="F55" i="3" s="1"/>
  <c r="J13" i="3"/>
  <c r="G55" i="3" s="1"/>
  <c r="E21" i="3"/>
  <c r="F23" i="3"/>
  <c r="F22" i="3"/>
  <c r="F16" i="3"/>
  <c r="V2" i="3"/>
  <c r="R2" i="3"/>
  <c r="H46" i="3" s="1"/>
  <c r="V2" i="1"/>
  <c r="W2" i="1" s="1"/>
  <c r="R2" i="2"/>
  <c r="S2" i="2" s="1"/>
  <c r="V2" i="2"/>
  <c r="W2" i="2" s="1"/>
  <c r="X2" i="1"/>
  <c r="R2" i="1"/>
  <c r="S2" i="1" s="1"/>
  <c r="M57" i="3" l="1"/>
  <c r="C95" i="3"/>
  <c r="G95" i="3" s="1"/>
  <c r="M56" i="3"/>
  <c r="C94" i="3"/>
  <c r="G94" i="3" s="1"/>
  <c r="O57" i="3"/>
  <c r="O56" i="3"/>
  <c r="H55" i="3"/>
  <c r="C87" i="3"/>
  <c r="F46" i="3"/>
  <c r="H48" i="3"/>
  <c r="J49" i="3"/>
  <c r="J17" i="3"/>
  <c r="I21" i="3"/>
  <c r="J21" i="3"/>
  <c r="N55" i="3" s="1"/>
  <c r="F21" i="3"/>
  <c r="S2" i="3"/>
  <c r="H47" i="3" s="1"/>
  <c r="F24" i="3"/>
  <c r="W2" i="3"/>
  <c r="H25" i="3" s="1"/>
  <c r="H24" i="3"/>
  <c r="M55" i="3" l="1"/>
  <c r="O55" i="3" s="1"/>
  <c r="O58" i="3" s="1"/>
  <c r="C93" i="3"/>
  <c r="G93" i="3" s="1"/>
  <c r="G96" i="3" s="1"/>
  <c r="H58" i="3"/>
  <c r="G87" i="3"/>
  <c r="J27" i="3"/>
  <c r="H26" i="3"/>
</calcChain>
</file>

<file path=xl/sharedStrings.xml><?xml version="1.0" encoding="utf-8"?>
<sst xmlns="http://schemas.openxmlformats.org/spreadsheetml/2006/main" count="328" uniqueCount="128">
  <si>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</si>
  <si>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</si>
  <si>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</si>
  <si>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</si>
  <si>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</si>
  <si>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</si>
  <si>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</si>
  <si>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</si>
  <si>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</si>
  <si>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</si>
  <si>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</si>
  <si>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</si>
  <si>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</si>
  <si>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</si>
  <si>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</si>
  <si>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</si>
  <si>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</si>
  <si>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</si>
  <si>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</si>
  <si>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</si>
  <si>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</si>
  <si>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</si>
  <si>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</si>
  <si>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</si>
  <si>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</si>
  <si>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</si>
  <si>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</si>
  <si>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</si>
  <si>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</si>
  <si>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</si>
  <si>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</si>
  <si>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</si>
  <si>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</si>
  <si>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</si>
  <si>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</si>
  <si>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</si>
  <si>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</si>
  <si>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</si>
  <si>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</si>
  <si>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</si>
  <si>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</si>
  <si>
    <t>App</t>
  </si>
  <si>
    <t>Identity.Count</t>
  </si>
  <si>
    <t>Total</t>
  </si>
  <si>
    <t>Connector</t>
  </si>
  <si>
    <t>Connector.NumberOfReceivedMessagesAddOn =&gt;</t>
  </si>
  <si>
    <t>SenderPool</t>
  </si>
  <si>
    <t>SenderIdentityId</t>
  </si>
  <si>
    <t>ReceiverPool</t>
  </si>
  <si>
    <t>ReceiverIdentityId</t>
  </si>
  <si>
    <t>&lt;= Connector.TotalNumberOfAvailableRelationships =&gt;</t>
  </si>
  <si>
    <t>&lt;= App.TotalNumberOfRelationships =&gt;</t>
  </si>
  <si>
    <t>a´-&gt; c´</t>
  </si>
  <si>
    <t>&lt;= App.TotalNumberOfSentMessages =&gt;</t>
  </si>
  <si>
    <t xml:space="preserve">&lt;= Connector.TotalNumberOfReceivedMessages =&gt; </t>
  </si>
  <si>
    <t>Use-Case - Distribute sent App Identity Messages on its relationships to Connector Identitys</t>
  </si>
  <si>
    <t>NumberOfSentMessages / Identity</t>
  </si>
  <si>
    <t>NumberOfReceivedMessages / Identity</t>
  </si>
  <si>
    <t>NumberOfRelationships / Identity</t>
  </si>
  <si>
    <t>Sum Total incl. MODULO</t>
  </si>
  <si>
    <t>Sum Total Received incl. MODULO</t>
  </si>
  <si>
    <t>NumberOfMessagesToSendPerRelationship</t>
  </si>
  <si>
    <t>NumberOfMessagesReceivedPerRelationship</t>
  </si>
  <si>
    <t>ModuloReceivedMessagesPerRelationship</t>
  </si>
  <si>
    <t>ModuloMessagesToSendPerRelationship</t>
  </si>
  <si>
    <t>c´-&gt; a´</t>
  </si>
  <si>
    <t>Sum</t>
  </si>
  <si>
    <t>&lt;= Connector.TotalNumberOfSentMessages =&gt;</t>
  </si>
  <si>
    <t xml:space="preserve">&lt;= App.TotalNumberOfReceivedMessages =&gt; </t>
  </si>
  <si>
    <t>App.NumberOfReceivedMessagesAddOn =&gt;</t>
  </si>
  <si>
    <t>&lt;= Connector.TotalNumberOfAvailableRelationships  =&gt;</t>
  </si>
  <si>
    <t>Vice-Versa Relationships</t>
  </si>
  <si>
    <t>Send Messages / Relationship</t>
  </si>
  <si>
    <t>Modulo Send Messages</t>
  </si>
  <si>
    <t>Receive Messages / Relationship</t>
  </si>
  <si>
    <t>Modulo Receive Messages</t>
  </si>
  <si>
    <t>Total Receive Messages / Identity</t>
  </si>
  <si>
    <t>PROOF</t>
  </si>
  <si>
    <t>Relationships / Identity</t>
  </si>
  <si>
    <t>IdentityPool</t>
  </si>
  <si>
    <t xml:space="preserve"> pool-config.test.json</t>
  </si>
  <si>
    <t>RelationshipsAndMessagePoolConfigs.test.xlsx</t>
  </si>
  <si>
    <t>RESULT:</t>
  </si>
  <si>
    <t>INPUT [Send Messages / Relationship]</t>
  </si>
  <si>
    <t>OUTPUT [NumOfSentMessages]</t>
  </si>
  <si>
    <t>a3 incl. Modulo</t>
  </si>
  <si>
    <t>INPUT [Relationships / Identity]</t>
  </si>
  <si>
    <t>OUTPUT [SenderIdentityId]</t>
  </si>
  <si>
    <t>INPUT:</t>
  </si>
  <si>
    <t>OUTPUT:</t>
  </si>
  <si>
    <t>OUTPUT [SUM NumOfSentMessages]</t>
  </si>
  <si>
    <t>INPUT [Identity.Count]</t>
  </si>
  <si>
    <t>INPUT [Received Messages / Relationship]</t>
  </si>
  <si>
    <t>INPUT [AVAILABLE NumberOfRelationships / Identity]</t>
  </si>
  <si>
    <t>OUTPUT [Actual used Relationships / Identity]</t>
  </si>
  <si>
    <t>OUTPUT [Sum NumOfSentMessages]</t>
  </si>
  <si>
    <t>OUTPUT [Distict SenderIdentityIds.Count]</t>
  </si>
  <si>
    <t>OUTPUT [Distinct ReceiverIdentityIds.Count]</t>
  </si>
  <si>
    <t>Total Send Messages</t>
  </si>
  <si>
    <t>INPUT [Total Send Messages]</t>
  </si>
  <si>
    <t>INPUT [ Total Receive Messages ]</t>
  </si>
  <si>
    <t xml:space="preserve">*) fixed in code </t>
  </si>
  <si>
    <t>Note on c2:</t>
  </si>
  <si>
    <t>{</t>
  </si>
  <si>
    <t xml:space="preserve">      "Type": "connector",</t>
  </si>
  <si>
    <t xml:space="preserve">      "Name": "ConnectorMedium",</t>
  </si>
  <si>
    <t xml:space="preserve">      "Alias": "c2",</t>
  </si>
  <si>
    <t xml:space="preserve">      "NumberOfRelationshipTemplates": 20,</t>
  </si>
  <si>
    <t xml:space="preserve">      "NumberOfSentMessages": 8,</t>
  </si>
  <si>
    <t xml:space="preserve">      "NumberOfDatawalletModifications": 0,</t>
  </si>
  <si>
    <t xml:space="preserve">      "NumberOfDevices": 1,</t>
  </si>
  <si>
    <t xml:space="preserve">      "NumberOfChallenges": 20</t>
  </si>
  <si>
    <t xml:space="preserve">    },</t>
  </si>
  <si>
    <r>
      <t xml:space="preserve">     </t>
    </r>
    <r>
      <rPr>
        <sz val="11"/>
        <color rgb="FF00B050"/>
        <rFont val="Aptos Narrow"/>
        <family val="2"/>
        <scheme val="minor"/>
      </rPr>
      <t xml:space="preserve"> "NumberOfRelationships": 3</t>
    </r>
    <r>
      <rPr>
        <sz val="11"/>
        <color theme="1"/>
        <rFont val="Aptos Narrow"/>
        <family val="2"/>
        <scheme val="minor"/>
      </rPr>
      <t>,</t>
    </r>
  </si>
  <si>
    <r>
      <t xml:space="preserve">      "Amount": </t>
    </r>
    <r>
      <rPr>
        <b/>
        <sz val="11"/>
        <color rgb="FFC00000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,</t>
    </r>
  </si>
  <si>
    <r>
      <t xml:space="preserve">      </t>
    </r>
    <r>
      <rPr>
        <sz val="11"/>
        <color rgb="FF0070C0"/>
        <rFont val="Aptos Narrow"/>
        <family val="2"/>
        <scheme val="minor"/>
      </rPr>
      <t>"NumberOfReceivedMessages": 5,</t>
    </r>
  </si>
  <si>
    <t xml:space="preserve"> "Configuration": {</t>
  </si>
  <si>
    <t xml:space="preserve">    "App": {</t>
  </si>
  <si>
    <t xml:space="preserve">      "TotalNumberOfSentMessages": 48,</t>
  </si>
  <si>
    <t xml:space="preserve">      "TotalNumberOfReceivedMessages": 45,</t>
  </si>
  <si>
    <t xml:space="preserve">      "NumberOfReceivedMessagesAddOn": 3,</t>
  </si>
  <si>
    <t xml:space="preserve">      "TotalNumberOfRelationships": 22</t>
  </si>
  <si>
    <t xml:space="preserve">    "Connector": {</t>
  </si>
  <si>
    <t xml:space="preserve">      "TotalNumberOfReceivedMessages": 46,</t>
  </si>
  <si>
    <t xml:space="preserve">      "TotalNumberOfAvailableRelationships": 27</t>
  </si>
  <si>
    <t xml:space="preserve">    }</t>
  </si>
  <si>
    <t xml:space="preserve">  }</t>
  </si>
  <si>
    <r>
      <t xml:space="preserve">     </t>
    </r>
    <r>
      <rPr>
        <b/>
        <sz val="11"/>
        <color theme="2" tint="-0.499984740745262"/>
        <rFont val="Aptos Narrow"/>
        <family val="2"/>
        <scheme val="minor"/>
      </rPr>
      <t xml:space="preserve"> "NumberOfReceivedMessagesAddOn": 2,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</si>
</sst>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i/>
      <sz val="11"/>
      <color theme="8" tint="0.3999755851924192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2" tint="-0.499984740745262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</cellStyleXfs>
  <cellXfs count="72">
    <xf numFmtId="0" fontId="0" fillId="0" borderId="0" xfId="0"/>
    <xf numFmtId="43" fontId="0" fillId="0" borderId="0" xfId="1" applyFont="1" applyFill="1" applyAlignment="1">
      <alignment horizontal="left"/>
    </xf>
    <xf numFmtId="3" fontId="3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4" fontId="0" fillId="0" borderId="0" xfId="0" applyNumberFormat="1" applyAlignment="1">
      <alignment horizontal="right"/>
    </xf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6" fillId="0" borderId="0" xfId="0" applyNumberFormat="1" applyFon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0" fontId="9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10" fillId="6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9" fillId="0" borderId="0" xfId="0" applyFont="1" applyAlignment="1">
      <alignment horizontal="right"/>
    </xf>
    <xf numFmtId="0" fontId="11" fillId="0" borderId="0" xfId="0" applyFont="1"/>
    <xf numFmtId="0" fontId="0" fillId="4" borderId="0" xfId="0" applyFill="1"/>
    <xf numFmtId="0" fontId="0" fillId="0" borderId="1" xfId="0" applyBorder="1"/>
    <xf numFmtId="0" fontId="12" fillId="0" borderId="0" xfId="3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0" fontId="13" fillId="0" borderId="0" xfId="4" applyFill="1"/>
    <xf numFmtId="0" fontId="9" fillId="0" borderId="0" xfId="0" applyFont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9" fillId="0" borderId="3" xfId="0" applyFont="1" applyBorder="1" applyAlignment="1">
      <alignment wrapText="1"/>
    </xf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Alignment="1">
      <alignment horizontal="right"/>
    </xf>
    <xf numFmtId="0" fontId="9" fillId="0" borderId="6" xfId="0" applyFont="1" applyBorder="1"/>
    <xf numFmtId="4" fontId="0" fillId="0" borderId="6" xfId="0" applyNumberFormat="1" applyBorder="1"/>
    <xf numFmtId="0" fontId="8" fillId="0" borderId="0" xfId="0" applyFont="1"/>
    <xf numFmtId="0" fontId="0" fillId="0" borderId="0" xfId="0" applyAlignment="1">
      <alignment horizontal="center" wrapText="1"/>
    </xf>
    <xf numFmtId="0" fontId="0" fillId="0" borderId="7" xfId="0" applyBorder="1"/>
    <xf numFmtId="0" fontId="0" fillId="0" borderId="8" xfId="0" applyBorder="1"/>
    <xf numFmtId="0" fontId="10" fillId="0" borderId="8" xfId="0" applyFont="1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10" fillId="6" borderId="8" xfId="0" applyFont="1" applyFill="1" applyBorder="1"/>
    <xf numFmtId="1" fontId="0" fillId="0" borderId="3" xfId="0" applyNumberFormat="1" applyBorder="1"/>
    <xf numFmtId="3" fontId="0" fillId="0" borderId="3" xfId="0" applyNumberFormat="1" applyBorder="1"/>
    <xf numFmtId="0" fontId="13" fillId="0" borderId="0" xfId="4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" fontId="5" fillId="0" borderId="0" xfId="0" applyNumberFormat="1" applyFont="1"/>
    <xf numFmtId="0" fontId="14" fillId="0" borderId="0" xfId="0" applyFont="1"/>
    <xf numFmtId="3" fontId="5" fillId="0" borderId="0" xfId="0" applyNumberFormat="1" applyFont="1"/>
    <xf numFmtId="1" fontId="0" fillId="0" borderId="8" xfId="0" applyNumberFormat="1" applyBorder="1"/>
    <xf numFmtId="0" fontId="15" fillId="0" borderId="8" xfId="0" applyFont="1" applyBorder="1" applyAlignment="1">
      <alignment horizontal="right"/>
    </xf>
    <xf numFmtId="0" fontId="18" fillId="0" borderId="0" xfId="0" applyFont="1"/>
  </cellXfs>
  <cellStyles count="5">
    <cellStyle name="Bad" xfId="2" builtinId="27"/>
    <cellStyle name="Comma" xfId="1" builtinId="3"/>
    <cellStyle name="Good" xfId="4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176893</xdr:colOff>
      <xdr:row>62</xdr:row>
      <xdr:rowOff>13607</xdr:rowOff>
    </xdr:from>
    <xdr:to>
      <xdr:col>6</xdr:col>
      <xdr:colOff>517071</xdr:colOff>
      <xdr:row>67</xdr:row>
      <xdr:rowOff>163286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4D597559-63DB-4312-2995-EB19D1A874C2}"/>
            </a:ext>
          </a:extLst>
        </xdr:cNvPr>
        <xdr:cNvSpPr/>
      </xdr:nvSpPr>
      <xdr:spPr>
        <a:xfrm>
          <a:off x="9021536" y="11838214"/>
          <a:ext cx="340178" cy="110217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517071</xdr:colOff>
      <xdr:row>62</xdr:row>
      <xdr:rowOff>95251</xdr:rowOff>
    </xdr:from>
    <xdr:to>
      <xdr:col>6</xdr:col>
      <xdr:colOff>3374571</xdr:colOff>
      <xdr:row>64</xdr:row>
      <xdr:rowOff>183698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0B9C5EF9-6A8D-A337-48F8-103E83ACA253}"/>
            </a:ext>
          </a:extLst>
        </xdr:cNvPr>
        <xdr:cNvCxnSpPr>
          <a:stCxn id="2" idx="1"/>
        </xdr:cNvCxnSpPr>
      </xdr:nvCxnSpPr>
      <xdr:spPr>
        <a:xfrm rot="10800000" flipH="1">
          <a:off x="9361714" y="11919858"/>
          <a:ext cx="2857500" cy="469447"/>
        </a:xfrm>
        <a:prstGeom prst="bentConnector5">
          <a:avLst>
            <a:gd name="adj1" fmla="val 77239"/>
            <a:gd name="adj2" fmla="val 99420"/>
            <a:gd name="adj3" fmla="val 7762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68036</xdr:colOff>
      <xdr:row>55</xdr:row>
      <xdr:rowOff>95250</xdr:rowOff>
    </xdr:from>
    <xdr:to>
      <xdr:col>8</xdr:col>
      <xdr:colOff>312965</xdr:colOff>
      <xdr:row>62</xdr:row>
      <xdr:rowOff>136072</xdr:rowOff>
    </xdr:to>
    <xdr:sp macro="" textlink="">
      <xdr:nvSpPr>
        <xdr:cNvPr id="25" name="Right Bracket 24">
          <a:extLst>
            <a:ext uri="{FF2B5EF4-FFF2-40B4-BE49-F238E27FC236}">
              <a16:creationId xmlns:a16="http://schemas.microsoft.com/office/drawing/2014/main" id="{8ADBEB52-91AB-925A-60B5-76B756BF5E0E}"/>
            </a:ext>
          </a:extLst>
        </xdr:cNvPr>
        <xdr:cNvSpPr/>
      </xdr:nvSpPr>
      <xdr:spPr>
        <a:xfrm>
          <a:off x="14205857" y="10586357"/>
          <a:ext cx="244929" cy="1374322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  <a:p>
          <a:pPr algn="l"/>
          <a:endParaRPr lang="de-DE" sz="1100"/>
        </a:p>
      </xdr:txBody>
    </xdr:sp>
    <xdr:clientData/>
  </xdr:twoCellAnchor>
  <xdr:twoCellAnchor>
    <xdr:from>
      <xdr:col>8</xdr:col>
      <xdr:colOff>43542</xdr:colOff>
      <xdr:row>54</xdr:row>
      <xdr:rowOff>97972</xdr:rowOff>
    </xdr:from>
    <xdr:to>
      <xdr:col>8</xdr:col>
      <xdr:colOff>544285</xdr:colOff>
      <xdr:row>61</xdr:row>
      <xdr:rowOff>138794</xdr:rowOff>
    </xdr:to>
    <xdr:sp macro="" textlink="">
      <xdr:nvSpPr>
        <xdr:cNvPr id="26" name="Right Bracket 25">
          <a:extLst>
            <a:ext uri="{FF2B5EF4-FFF2-40B4-BE49-F238E27FC236}">
              <a16:creationId xmlns:a16="http://schemas.microsoft.com/office/drawing/2014/main" id="{3F2E7197-1B1C-4A8B-BC3C-559BA1C3F334}"/>
            </a:ext>
          </a:extLst>
        </xdr:cNvPr>
        <xdr:cNvSpPr/>
      </xdr:nvSpPr>
      <xdr:spPr>
        <a:xfrm>
          <a:off x="14181363" y="10398579"/>
          <a:ext cx="500743" cy="1374322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  <a:p>
          <a:pPr algn="l"/>
          <a:endParaRPr lang="de-DE" sz="1100"/>
        </a:p>
      </xdr:txBody>
    </xdr:sp>
    <xdr:clientData/>
  </xdr:twoCellAnchor>
  <xdr:twoCellAnchor>
    <xdr:from>
      <xdr:col>6</xdr:col>
      <xdr:colOff>204107</xdr:colOff>
      <xdr:row>68</xdr:row>
      <xdr:rowOff>54429</xdr:rowOff>
    </xdr:from>
    <xdr:to>
      <xdr:col>6</xdr:col>
      <xdr:colOff>517071</xdr:colOff>
      <xdr:row>83</xdr:row>
      <xdr:rowOff>0</xdr:rowOff>
    </xdr:to>
    <xdr:sp macro="" textlink="">
      <xdr:nvSpPr>
        <xdr:cNvPr id="27" name="Right Brace 26">
          <a:extLst>
            <a:ext uri="{FF2B5EF4-FFF2-40B4-BE49-F238E27FC236}">
              <a16:creationId xmlns:a16="http://schemas.microsoft.com/office/drawing/2014/main" id="{DC108946-1AF9-2072-36FB-5CF8C0636B24}"/>
            </a:ext>
          </a:extLst>
        </xdr:cNvPr>
        <xdr:cNvSpPr/>
      </xdr:nvSpPr>
      <xdr:spPr>
        <a:xfrm>
          <a:off x="9048750" y="13022036"/>
          <a:ext cx="312964" cy="2816678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95250</xdr:colOff>
      <xdr:row>56</xdr:row>
      <xdr:rowOff>81643</xdr:rowOff>
    </xdr:from>
    <xdr:to>
      <xdr:col>8</xdr:col>
      <xdr:colOff>857250</xdr:colOff>
      <xdr:row>68</xdr:row>
      <xdr:rowOff>95250</xdr:rowOff>
    </xdr:to>
    <xdr:sp macro="" textlink="">
      <xdr:nvSpPr>
        <xdr:cNvPr id="28" name="Right Bracket 27">
          <a:extLst>
            <a:ext uri="{FF2B5EF4-FFF2-40B4-BE49-F238E27FC236}">
              <a16:creationId xmlns:a16="http://schemas.microsoft.com/office/drawing/2014/main" id="{F1848710-B634-4C33-B72E-ECEC19567DC9}"/>
            </a:ext>
          </a:extLst>
        </xdr:cNvPr>
        <xdr:cNvSpPr/>
      </xdr:nvSpPr>
      <xdr:spPr>
        <a:xfrm>
          <a:off x="14233071" y="10763250"/>
          <a:ext cx="762000" cy="2299607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  <a:p>
          <a:pPr algn="l"/>
          <a:endParaRPr lang="de-DE" sz="1100"/>
        </a:p>
      </xdr:txBody>
    </xdr:sp>
    <xdr:clientData/>
  </xdr:twoCellAnchor>
  <xdr:twoCellAnchor>
    <xdr:from>
      <xdr:col>5</xdr:col>
      <xdr:colOff>1571626</xdr:colOff>
      <xdr:row>57</xdr:row>
      <xdr:rowOff>74842</xdr:rowOff>
    </xdr:from>
    <xdr:to>
      <xdr:col>6</xdr:col>
      <xdr:colOff>3401786</xdr:colOff>
      <xdr:row>58</xdr:row>
      <xdr:rowOff>40826</xdr:rowOff>
    </xdr:to>
    <xdr:sp macro="" textlink="">
      <xdr:nvSpPr>
        <xdr:cNvPr id="30" name="Right Bracket 29">
          <a:extLst>
            <a:ext uri="{FF2B5EF4-FFF2-40B4-BE49-F238E27FC236}">
              <a16:creationId xmlns:a16="http://schemas.microsoft.com/office/drawing/2014/main" id="{DB025421-2546-4B92-B5CB-F2C174D23283}"/>
            </a:ext>
          </a:extLst>
        </xdr:cNvPr>
        <xdr:cNvSpPr/>
      </xdr:nvSpPr>
      <xdr:spPr>
        <a:xfrm rot="5400000">
          <a:off x="10395857" y="9252861"/>
          <a:ext cx="156484" cy="3544660"/>
        </a:xfrm>
        <a:prstGeom prst="rightBracket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  <a:p>
          <a:pPr algn="l"/>
          <a:endParaRPr lang="de-DE" sz="1100"/>
        </a:p>
      </xdr:txBody>
    </xdr:sp>
    <xdr:clientData/>
  </xdr:twoCellAnchor>
  <xdr:twoCellAnchor>
    <xdr:from>
      <xdr:col>5</xdr:col>
      <xdr:colOff>1700893</xdr:colOff>
      <xdr:row>58</xdr:row>
      <xdr:rowOff>40825</xdr:rowOff>
    </xdr:from>
    <xdr:to>
      <xdr:col>6</xdr:col>
      <xdr:colOff>1629456</xdr:colOff>
      <xdr:row>72</xdr:row>
      <xdr:rowOff>108856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5C00EDC8-4F60-ADCB-754E-B6628ED750FA}"/>
            </a:ext>
          </a:extLst>
        </xdr:cNvPr>
        <xdr:cNvCxnSpPr>
          <a:stCxn id="30" idx="2"/>
        </xdr:cNvCxnSpPr>
      </xdr:nvCxnSpPr>
      <xdr:spPr>
        <a:xfrm rot="16200000" flipH="1" flipV="1">
          <a:off x="8285052" y="11649416"/>
          <a:ext cx="2735031" cy="1643063"/>
        </a:xfrm>
        <a:prstGeom prst="bentConnector3">
          <a:avLst>
            <a:gd name="adj1" fmla="val 9910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517071</xdr:colOff>
      <xdr:row>68</xdr:row>
      <xdr:rowOff>95250</xdr:rowOff>
    </xdr:from>
    <xdr:to>
      <xdr:col>6</xdr:col>
      <xdr:colOff>3374571</xdr:colOff>
      <xdr:row>75</xdr:row>
      <xdr:rowOff>129268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7C5CB75A-D794-41A9-79C2-62F8F7B8D2E1}"/>
            </a:ext>
          </a:extLst>
        </xdr:cNvPr>
        <xdr:cNvCxnSpPr>
          <a:stCxn id="27" idx="1"/>
        </xdr:cNvCxnSpPr>
      </xdr:nvCxnSpPr>
      <xdr:spPr>
        <a:xfrm rot="10800000" flipH="1">
          <a:off x="9361714" y="13062857"/>
          <a:ext cx="2857500" cy="1367518"/>
        </a:xfrm>
        <a:prstGeom prst="bentConnector5">
          <a:avLst>
            <a:gd name="adj1" fmla="val 1524"/>
            <a:gd name="adj2" fmla="val 298"/>
            <a:gd name="adj3" fmla="val 6095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27215</xdr:colOff>
      <xdr:row>72</xdr:row>
      <xdr:rowOff>81642</xdr:rowOff>
    </xdr:from>
    <xdr:to>
      <xdr:col>6</xdr:col>
      <xdr:colOff>1632858</xdr:colOff>
      <xdr:row>77</xdr:row>
      <xdr:rowOff>95249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5D3708D-7204-0C30-7148-CEA93B06FEDA}"/>
            </a:ext>
          </a:extLst>
        </xdr:cNvPr>
        <xdr:cNvCxnSpPr/>
      </xdr:nvCxnSpPr>
      <xdr:spPr>
        <a:xfrm rot="10800000" flipV="1">
          <a:off x="8871858" y="13811249"/>
          <a:ext cx="1605643" cy="966107"/>
        </a:xfrm>
        <a:prstGeom prst="bentConnector3">
          <a:avLst>
            <a:gd name="adj1" fmla="val -33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77</xdr:row>
      <xdr:rowOff>85725</xdr:rowOff>
    </xdr:from>
    <xdr:to>
      <xdr:col>6</xdr:col>
      <xdr:colOff>1634218</xdr:colOff>
      <xdr:row>82</xdr:row>
      <xdr:rowOff>99332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2D392707-1430-43CE-B357-94C564D795F0}"/>
            </a:ext>
          </a:extLst>
        </xdr:cNvPr>
        <xdr:cNvCxnSpPr/>
      </xdr:nvCxnSpPr>
      <xdr:spPr>
        <a:xfrm rot="10800000" flipV="1">
          <a:off x="8867775" y="14763750"/>
          <a:ext cx="1605643" cy="966107"/>
        </a:xfrm>
        <a:prstGeom prst="bentConnector3">
          <a:avLst>
            <a:gd name="adj1" fmla="val -33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666750</xdr:colOff>
      <xdr:row>56</xdr:row>
      <xdr:rowOff>171450</xdr:rowOff>
    </xdr:from>
    <xdr:ext cx="238264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9ABBEBC-FA6C-B7A1-E3EC-D3E70EE3415B}"/>
            </a:ext>
          </a:extLst>
        </xdr:cNvPr>
        <xdr:cNvSpPr txBox="1"/>
      </xdr:nvSpPr>
      <xdr:spPr>
        <a:xfrm>
          <a:off x="9505950" y="10848975"/>
          <a:ext cx="23826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modulo is considered once per I</a:t>
          </a:r>
          <a:r>
            <a:rPr lang="de-DE" sz="1100" baseline="0"/>
            <a:t>dentity </a:t>
          </a:r>
          <a:endParaRPr lang="de-DE" sz="1100"/>
        </a:p>
      </xdr:txBody>
    </xdr:sp>
    <xdr:clientData/>
  </xdr:oneCellAnchor>
  <xdr:twoCellAnchor>
    <xdr:from>
      <xdr:col>4</xdr:col>
      <xdr:colOff>1952625</xdr:colOff>
      <xdr:row>93</xdr:row>
      <xdr:rowOff>114300</xdr:rowOff>
    </xdr:from>
    <xdr:to>
      <xdr:col>4</xdr:col>
      <xdr:colOff>2838450</xdr:colOff>
      <xdr:row>104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FF921F9-B665-2577-521B-5D6D61B66325}"/>
            </a:ext>
          </a:extLst>
        </xdr:cNvPr>
        <xdr:cNvCxnSpPr/>
      </xdr:nvCxnSpPr>
      <xdr:spPr>
        <a:xfrm flipH="1">
          <a:off x="5953125" y="18621375"/>
          <a:ext cx="885825" cy="20669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93</xdr:row>
      <xdr:rowOff>123825</xdr:rowOff>
    </xdr:from>
    <xdr:to>
      <xdr:col>2</xdr:col>
      <xdr:colOff>1114425</xdr:colOff>
      <xdr:row>98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1B96513-2350-040A-E415-868576089F9B}"/>
            </a:ext>
          </a:extLst>
        </xdr:cNvPr>
        <xdr:cNvCxnSpPr/>
      </xdr:nvCxnSpPr>
      <xdr:spPr>
        <a:xfrm flipH="1">
          <a:off x="1962150" y="18630900"/>
          <a:ext cx="866775" cy="933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99</xdr:row>
      <xdr:rowOff>0</xdr:rowOff>
    </xdr:from>
    <xdr:to>
      <xdr:col>3</xdr:col>
      <xdr:colOff>104775</xdr:colOff>
      <xdr:row>101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88F30A-191C-CC1C-FFB9-ABA8FB3444FE}"/>
            </a:ext>
          </a:extLst>
        </xdr:cNvPr>
        <xdr:cNvSpPr txBox="1"/>
      </xdr:nvSpPr>
      <xdr:spPr>
        <a:xfrm>
          <a:off x="1114425" y="19650075"/>
          <a:ext cx="19145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Calculated from</a:t>
          </a:r>
          <a:r>
            <a:rPr lang="de-DE" sz="1100" baseline="0"/>
            <a:t> that JSON Pool Config on the right side.</a:t>
          </a:r>
          <a:endParaRPr lang="de-DE" sz="1100"/>
        </a:p>
      </xdr:txBody>
    </xdr:sp>
    <xdr:clientData/>
  </xdr:twoCellAnchor>
  <xdr:twoCellAnchor>
    <xdr:from>
      <xdr:col>3</xdr:col>
      <xdr:colOff>95250</xdr:colOff>
      <xdr:row>93</xdr:row>
      <xdr:rowOff>123825</xdr:rowOff>
    </xdr:from>
    <xdr:to>
      <xdr:col>3</xdr:col>
      <xdr:colOff>962025</xdr:colOff>
      <xdr:row>103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64C89C1-51B7-4C22-8329-CE655172E34A}"/>
            </a:ext>
          </a:extLst>
        </xdr:cNvPr>
        <xdr:cNvCxnSpPr/>
      </xdr:nvCxnSpPr>
      <xdr:spPr>
        <a:xfrm flipH="1">
          <a:off x="3019425" y="18630900"/>
          <a:ext cx="866775" cy="1895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103</xdr:row>
      <xdr:rowOff>152400</xdr:rowOff>
    </xdr:from>
    <xdr:to>
      <xdr:col>3</xdr:col>
      <xdr:colOff>723900</xdr:colOff>
      <xdr:row>107</xdr:row>
      <xdr:rowOff>47625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BAD373F-CBBF-4C00-9D39-64232313F235}"/>
            </a:ext>
          </a:extLst>
        </xdr:cNvPr>
        <xdr:cNvSpPr txBox="1"/>
      </xdr:nvSpPr>
      <xdr:spPr>
        <a:xfrm>
          <a:off x="1733550" y="20564475"/>
          <a:ext cx="1914525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Calculated at runtime based on the send message</a:t>
          </a:r>
          <a:r>
            <a:rPr lang="de-DE" sz="1100" baseline="0"/>
            <a:t> from </a:t>
          </a:r>
          <a:r>
            <a:rPr lang="de-DE" sz="1050" baseline="0"/>
            <a:t>a1-a3 </a:t>
          </a:r>
          <a:endParaRPr lang="de-DE" sz="1100"/>
        </a:p>
      </xdr:txBody>
    </xdr:sp>
    <xdr:clientData/>
  </xdr:twoCellAnchor>
  <xdr:twoCellAnchor>
    <xdr:from>
      <xdr:col>4</xdr:col>
      <xdr:colOff>2438400</xdr:colOff>
      <xdr:row>93</xdr:row>
      <xdr:rowOff>85725</xdr:rowOff>
    </xdr:from>
    <xdr:to>
      <xdr:col>6</xdr:col>
      <xdr:colOff>3257550</xdr:colOff>
      <xdr:row>106</xdr:row>
      <xdr:rowOff>104775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B66339F-8109-43AE-2286-78B9013C4E59}"/>
            </a:ext>
          </a:extLst>
        </xdr:cNvPr>
        <xdr:cNvCxnSpPr/>
      </xdr:nvCxnSpPr>
      <xdr:spPr>
        <a:xfrm flipH="1">
          <a:off x="6438900" y="18592800"/>
          <a:ext cx="5657850" cy="2495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100</xdr:row>
      <xdr:rowOff>9525</xdr:rowOff>
    </xdr:from>
    <xdr:to>
      <xdr:col>6</xdr:col>
      <xdr:colOff>381000</xdr:colOff>
      <xdr:row>102</xdr:row>
      <xdr:rowOff>171450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767433-D67B-4491-B4F3-84F7F652F61F}"/>
            </a:ext>
          </a:extLst>
        </xdr:cNvPr>
        <xdr:cNvSpPr txBox="1"/>
      </xdr:nvSpPr>
      <xdr:spPr>
        <a:xfrm>
          <a:off x="7305675" y="19850100"/>
          <a:ext cx="19145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Calculated from</a:t>
          </a:r>
          <a:r>
            <a:rPr lang="de-DE" sz="1100" baseline="0"/>
            <a:t> that JSON Pool Config. 5x2 = </a:t>
          </a:r>
          <a:r>
            <a:rPr lang="de-DE" sz="1100" b="1" baseline="0">
              <a:solidFill>
                <a:srgbClr val="00B050"/>
              </a:solidFill>
            </a:rPr>
            <a:t>10</a:t>
          </a:r>
          <a:endParaRPr lang="de-DE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4</xdr:col>
      <xdr:colOff>981075</xdr:colOff>
      <xdr:row>101</xdr:row>
      <xdr:rowOff>90488</xdr:rowOff>
    </xdr:from>
    <xdr:to>
      <xdr:col>5</xdr:col>
      <xdr:colOff>180975</xdr:colOff>
      <xdr:row>102</xdr:row>
      <xdr:rowOff>104775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A98FF026-2293-F410-922F-72A97F0DF324}"/>
            </a:ext>
          </a:extLst>
        </xdr:cNvPr>
        <xdr:cNvCxnSpPr>
          <a:endCxn id="19" idx="1"/>
        </xdr:cNvCxnSpPr>
      </xdr:nvCxnSpPr>
      <xdr:spPr>
        <a:xfrm flipV="1">
          <a:off x="4981575" y="20121563"/>
          <a:ext cx="2324100" cy="20478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1523999</xdr:colOff>
      <xdr:row>92</xdr:row>
      <xdr:rowOff>152400</xdr:rowOff>
    </xdr:from>
    <xdr:to>
      <xdr:col>8</xdr:col>
      <xdr:colOff>123824</xdr:colOff>
      <xdr:row>94</xdr:row>
      <xdr:rowOff>38100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93876EC9-7ACA-9DEA-B942-78CBE7B09847}"/>
            </a:ext>
          </a:extLst>
        </xdr:cNvPr>
        <xdr:cNvSpPr/>
      </xdr:nvSpPr>
      <xdr:spPr>
        <a:xfrm>
          <a:off x="13839824" y="18468975"/>
          <a:ext cx="409575" cy="2667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638175</xdr:colOff>
      <xdr:row>100</xdr:row>
      <xdr:rowOff>104775</xdr:rowOff>
    </xdr:from>
    <xdr:to>
      <xdr:col>7</xdr:col>
      <xdr:colOff>495300</xdr:colOff>
      <xdr:row>115</xdr:row>
      <xdr:rowOff>180975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E3AA860-658F-45CF-979C-7A460F1E3DB4}"/>
            </a:ext>
          </a:extLst>
        </xdr:cNvPr>
        <xdr:cNvSpPr txBox="1"/>
      </xdr:nvSpPr>
      <xdr:spPr>
        <a:xfrm>
          <a:off x="9477375" y="19945350"/>
          <a:ext cx="333375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sender,</a:t>
          </a:r>
          <a:r>
            <a:rPr lang="de-DE" sz="1100" baseline="0"/>
            <a:t> in that case a1-a3 is the master and rules the game.</a:t>
          </a:r>
          <a:br>
            <a:rPr lang="de-DE" sz="1100" baseline="0"/>
          </a:br>
          <a:br>
            <a:rPr lang="de-DE" sz="1100" baseline="0"/>
          </a:br>
          <a:r>
            <a:rPr lang="de-DE" sz="1100" baseline="0"/>
            <a:t>that can result in a bit of mismatch between that actual received messages , </a:t>
          </a:r>
          <a:r>
            <a:rPr lang="de-DE" sz="1100" b="1" baseline="0">
              <a:solidFill>
                <a:schemeClr val="accent5">
                  <a:lumMod val="60000"/>
                  <a:lumOff val="40000"/>
                </a:schemeClr>
              </a:solidFill>
            </a:rPr>
            <a:t>12</a:t>
          </a:r>
          <a:r>
            <a:rPr lang="de-DE" sz="1100" baseline="0"/>
            <a:t> / </a:t>
          </a:r>
          <a:r>
            <a:rPr lang="de-DE" sz="1100" b="1" baseline="0">
              <a:solidFill>
                <a:srgbClr val="C00000"/>
              </a:solidFill>
            </a:rPr>
            <a:t>2</a:t>
          </a:r>
          <a:r>
            <a:rPr lang="de-DE" sz="1100" baseline="0"/>
            <a:t> =</a:t>
          </a:r>
          <a:r>
            <a:rPr lang="de-DE" sz="1100" b="1" baseline="0">
              <a:solidFill>
                <a:schemeClr val="accent5">
                  <a:lumMod val="60000"/>
                  <a:lumOff val="40000"/>
                </a:schemeClr>
              </a:solidFill>
            </a:rPr>
            <a:t> 6 </a:t>
          </a:r>
          <a:r>
            <a:rPr lang="de-DE" sz="1100" baseline="0"/>
            <a:t>in that case, to the configure on </a:t>
          </a:r>
          <a:r>
            <a:rPr lang="de-DE" sz="1100" b="1" baseline="0">
              <a:solidFill>
                <a:srgbClr val="0070C0"/>
              </a:solidFill>
            </a:rPr>
            <a:t>10</a:t>
          </a:r>
          <a:r>
            <a:rPr lang="de-DE" sz="1100" baseline="0"/>
            <a:t> / </a:t>
          </a:r>
          <a:r>
            <a:rPr lang="de-DE" sz="1100" b="1" baseline="0">
              <a:solidFill>
                <a:srgbClr val="C00000"/>
              </a:solidFill>
            </a:rPr>
            <a:t>2</a:t>
          </a:r>
          <a:r>
            <a:rPr lang="de-DE" sz="1100" baseline="0"/>
            <a:t> = </a:t>
          </a:r>
          <a:r>
            <a:rPr lang="de-DE" sz="1100" b="1" baseline="0">
              <a:solidFill>
                <a:srgbClr val="0070C0"/>
              </a:solidFill>
            </a:rPr>
            <a:t>5</a:t>
          </a:r>
          <a:r>
            <a:rPr lang="de-DE" sz="1100" baseline="0"/>
            <a:t>.</a:t>
          </a:r>
          <a:br>
            <a:rPr lang="de-DE" sz="1100" baseline="0"/>
          </a:br>
          <a:endParaRPr lang="de-DE" sz="1100" baseline="0"/>
        </a:p>
        <a:p>
          <a:r>
            <a:rPr lang="de-DE" sz="1100" baseline="0"/>
            <a:t>Sure, we could enforce JSON config </a:t>
          </a:r>
          <a:r>
            <a:rPr lang="de-DE" sz="1100" baseline="0">
              <a:solidFill>
                <a:srgbClr val="0070C0"/>
              </a:solidFill>
            </a:rPr>
            <a:t>NumOfReceivedMessages</a:t>
          </a:r>
          <a:r>
            <a:rPr lang="de-DE" sz="1100" baseline="0">
              <a:solidFill>
                <a:schemeClr val="tx1"/>
              </a:solidFill>
            </a:rPr>
            <a:t>, but then we would need to add the </a:t>
          </a:r>
          <a:r>
            <a:rPr lang="de-DE" sz="1100" b="1" baseline="0">
              <a:solidFill>
                <a:schemeClr val="bg2">
                  <a:lumMod val="50000"/>
                </a:schemeClr>
              </a:solidFill>
            </a:rPr>
            <a:t>NumberOfReceivedMessagesAddOn</a:t>
          </a:r>
          <a:r>
            <a:rPr lang="de-DE" sz="1100" baseline="0">
              <a:solidFill>
                <a:schemeClr val="tx1"/>
              </a:solidFill>
            </a:rPr>
            <a:t>  to one of the relationships which is not possible when e.g. </a:t>
          </a:r>
          <a:r>
            <a:rPr lang="de-DE" sz="1100" baseline="0">
              <a:solidFill>
                <a:srgbClr val="0070C0"/>
              </a:solidFill>
            </a:rPr>
            <a:t>NumOfReceivedMessages</a:t>
          </a:r>
          <a:r>
            <a:rPr lang="de-DE" sz="1100" baseline="0">
              <a:solidFill>
                <a:schemeClr val="tx1"/>
              </a:solidFill>
            </a:rPr>
            <a:t> of the parent Identity is constrained to </a:t>
          </a:r>
          <a:r>
            <a:rPr lang="de-DE" sz="1100" b="1" baseline="0">
              <a:solidFill>
                <a:srgbClr val="0070C0"/>
              </a:solidFill>
            </a:rPr>
            <a:t>5</a:t>
          </a:r>
          <a:r>
            <a:rPr lang="de-DE" sz="1100" baseline="0">
              <a:solidFill>
                <a:schemeClr val="tx1"/>
              </a:solidFill>
            </a:rPr>
            <a:t>.</a:t>
          </a:r>
          <a:br>
            <a:rPr lang="de-DE" sz="1100" baseline="0">
              <a:solidFill>
                <a:schemeClr val="tx1"/>
              </a:solidFill>
            </a:rPr>
          </a:br>
          <a:br>
            <a:rPr lang="de-DE" sz="1100" baseline="0">
              <a:solidFill>
                <a:schemeClr val="tx1"/>
              </a:solidFill>
            </a:rPr>
          </a:br>
          <a:r>
            <a:rPr lang="de-DE" sz="1100" u="sng" baseline="0">
              <a:solidFill>
                <a:schemeClr val="tx1"/>
              </a:solidFill>
            </a:rPr>
            <a:t>Summary:</a:t>
          </a:r>
          <a:br>
            <a:rPr lang="de-DE" sz="1100" baseline="0">
              <a:solidFill>
                <a:schemeClr val="tx1"/>
              </a:solidFill>
            </a:rPr>
          </a:br>
          <a:r>
            <a:rPr lang="de-DE" sz="1100" baseline="0">
              <a:solidFill>
                <a:schemeClr val="tx1"/>
              </a:solidFill>
            </a:rPr>
            <a:t>Better have </a:t>
          </a:r>
          <a:r>
            <a:rPr lang="de-DE" sz="1100" b="1" baseline="0">
              <a:solidFill>
                <a:schemeClr val="tx1"/>
              </a:solidFill>
            </a:rPr>
            <a:t>more</a:t>
          </a:r>
          <a:r>
            <a:rPr lang="de-DE" sz="1100" baseline="0">
              <a:solidFill>
                <a:schemeClr val="tx1"/>
              </a:solidFill>
            </a:rPr>
            <a:t> messages </a:t>
          </a:r>
          <a:r>
            <a:rPr lang="de-DE" sz="1100" u="sng" baseline="0">
              <a:solidFill>
                <a:schemeClr val="tx1"/>
              </a:solidFill>
            </a:rPr>
            <a:t>than less</a:t>
          </a:r>
          <a:r>
            <a:rPr lang="de-DE" sz="1100" baseline="0">
              <a:solidFill>
                <a:schemeClr val="tx1"/>
              </a:solidFill>
            </a:rPr>
            <a:t>!</a:t>
          </a:r>
          <a:br>
            <a:rPr lang="de-DE" sz="1100" baseline="0">
              <a:solidFill>
                <a:schemeClr val="tx1"/>
              </a:solidFill>
            </a:rPr>
          </a:br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2266951</xdr:colOff>
      <xdr:row>106</xdr:row>
      <xdr:rowOff>152400</xdr:rowOff>
    </xdr:from>
    <xdr:to>
      <xdr:col>6</xdr:col>
      <xdr:colOff>561976</xdr:colOff>
      <xdr:row>107</xdr:row>
      <xdr:rowOff>0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B49FCF47-D853-EA44-06CB-D28A0419751A}"/>
            </a:ext>
          </a:extLst>
        </xdr:cNvPr>
        <xdr:cNvCxnSpPr/>
      </xdr:nvCxnSpPr>
      <xdr:spPr>
        <a:xfrm rot="10800000">
          <a:off x="6267451" y="21135975"/>
          <a:ext cx="3133725" cy="3810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495301</xdr:colOff>
      <xdr:row>94</xdr:row>
      <xdr:rowOff>133350</xdr:rowOff>
    </xdr:from>
    <xdr:to>
      <xdr:col>7</xdr:col>
      <xdr:colOff>1533532</xdr:colOff>
      <xdr:row>108</xdr:row>
      <xdr:rowOff>47625</xdr:rowOff>
    </xdr:to>
    <xdr:cxnSp macro="">
      <xdr:nvCxnSpPr>
        <xdr:cNvPr id="37" name="Connector: Curved 36">
          <a:extLst>
            <a:ext uri="{FF2B5EF4-FFF2-40B4-BE49-F238E27FC236}">
              <a16:creationId xmlns:a16="http://schemas.microsoft.com/office/drawing/2014/main" id="{7844F7CE-EF27-25B8-04CD-AB79A80ED85B}"/>
            </a:ext>
          </a:extLst>
        </xdr:cNvPr>
        <xdr:cNvCxnSpPr>
          <a:endCxn id="33" idx="3"/>
        </xdr:cNvCxnSpPr>
      </xdr:nvCxnSpPr>
      <xdr:spPr>
        <a:xfrm rot="5400000">
          <a:off x="12039604" y="19602447"/>
          <a:ext cx="2581275" cy="1038231"/>
        </a:xfrm>
        <a:prstGeom prst="curved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2676525</xdr:colOff>
      <xdr:row>110</xdr:row>
      <xdr:rowOff>38100</xdr:rowOff>
    </xdr:from>
    <xdr:to>
      <xdr:col>6</xdr:col>
      <xdr:colOff>571500</xdr:colOff>
      <xdr:row>122</xdr:row>
      <xdr:rowOff>38100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36D0359-6C90-C554-0209-B3FD1E770F2B}"/>
            </a:ext>
          </a:extLst>
        </xdr:cNvPr>
        <xdr:cNvCxnSpPr/>
      </xdr:nvCxnSpPr>
      <xdr:spPr>
        <a:xfrm flipV="1">
          <a:off x="6677025" y="21783675"/>
          <a:ext cx="2733675" cy="2286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Data\RelationshipsAndMessagePoolConfigs.test.xlsx" TargetMode="External"/><Relationship Id="rId1" Type="http://schemas.openxmlformats.org/officeDocument/2006/relationships/hyperlink" Target="Data\pool-config.tes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zoomScale="85" zoomScaleNormal="85" workbookViewId="0">
      <pane ySplit="1" topLeftCell="A2" activePane="bottomLeft" state="frozen"/>
      <selection pane="bottomLeft" activeCell="E14" sqref="E14:F15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22" t="s">
        <v>38</v>
      </c>
      <c r="K1" s="11" t="s">
        <v>40</v>
      </c>
      <c r="L1" s="11" t="s">
        <v>39</v>
      </c>
      <c r="M1" s="5" t="s">
        <v>37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35</v>
      </c>
      <c r="U1" s="11" t="s">
        <v>32</v>
      </c>
      <c r="V1" s="11" t="s">
        <v>33</v>
      </c>
      <c r="W1" s="11" t="s">
        <v>34</v>
      </c>
      <c r="X1" s="11" t="s">
        <v>36</v>
      </c>
    </row>
    <row r="2" spans="1:24" x14ac:dyDescent="0.25">
      <c r="A2" s="4" t="s">
        <v>10</v>
      </c>
      <c r="B2" s="4" t="s">
        <v>11</v>
      </c>
      <c r="C2" s="4" t="s">
        <v>1</v>
      </c>
      <c r="D2" s="15">
        <v>5000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6"/>
      <c r="L2" s="6"/>
      <c r="M2" s="6"/>
      <c r="N2" s="15">
        <v>50</v>
      </c>
      <c r="O2" s="15">
        <v>1</v>
      </c>
      <c r="P2" s="16">
        <v>0</v>
      </c>
      <c r="Q2" s="12">
        <f>na1_*ma1_+na2_*ma2_+na3_*ma3_</f>
        <v>780000</v>
      </c>
      <c r="R2" s="12">
        <f>na1_*I3+na2_*I4+na3_*I5</f>
        <v>780000</v>
      </c>
      <c r="S2" s="14">
        <f>U2-R2</f>
        <v>1000</v>
      </c>
      <c r="T2" s="12">
        <f>na1_*ra1_+na2_*ra2_+na3_*ra3_</f>
        <v>21000</v>
      </c>
      <c r="U2" s="12">
        <f>nc1_*mc1_+nc2_*mc2_+nc3_*mc3_</f>
        <v>781000</v>
      </c>
      <c r="V2" s="12">
        <f>nc1_*I6+nc2_*I7+nc3_*I8</f>
        <v>780000</v>
      </c>
      <c r="W2" s="14">
        <f>Q2-V2</f>
        <v>0</v>
      </c>
      <c r="X2" s="12">
        <f>nc1_*rc_1+nc2_*rc_2+nc3_*rc_3</f>
        <v>21000</v>
      </c>
    </row>
    <row r="3" spans="1:24" x14ac:dyDescent="0.25">
      <c r="A3" s="4" t="s">
        <v>9</v>
      </c>
      <c r="B3" s="4" t="s">
        <v>12</v>
      </c>
      <c r="C3" s="4" t="s">
        <v>2</v>
      </c>
      <c r="D3" s="15">
        <v>500</v>
      </c>
      <c r="E3" s="15">
        <v>1</v>
      </c>
      <c r="F3" s="15">
        <v>1</v>
      </c>
      <c r="G3" s="6"/>
      <c r="H3" s="15">
        <f>10+K3</f>
        <v>10</v>
      </c>
      <c r="I3" s="2">
        <f>_xlfn.FLOOR.MATH((nc1_*mc1_+mc2_*nc2_+mc3_*nc3_)/(na1_)*M3)+L3</f>
        <v>15</v>
      </c>
      <c r="J3" s="21" t="str">
        <f t="shared" ref="J3:J8" si="0">IF(F3=0, "Messages must be 0 on 0 Relationships", "")</f>
        <v/>
      </c>
      <c r="K3" s="20">
        <v>0</v>
      </c>
      <c r="L3" s="20">
        <v>0</v>
      </c>
      <c r="M3" s="8">
        <v>0.01</v>
      </c>
      <c r="N3" s="15">
        <v>50</v>
      </c>
      <c r="O3" s="15">
        <v>1</v>
      </c>
      <c r="P3" s="16">
        <v>1</v>
      </c>
    </row>
    <row r="4" spans="1:24" x14ac:dyDescent="0.25">
      <c r="A4" s="4" t="s">
        <v>9</v>
      </c>
      <c r="B4" s="4" t="s">
        <v>13</v>
      </c>
      <c r="C4" s="4" t="s">
        <v>3</v>
      </c>
      <c r="D4" s="15">
        <v>1500</v>
      </c>
      <c r="E4" s="15">
        <v>2</v>
      </c>
      <c r="F4" s="15">
        <v>2</v>
      </c>
      <c r="G4" s="6"/>
      <c r="H4" s="15">
        <f>50+K4</f>
        <v>50</v>
      </c>
      <c r="I4" s="2">
        <f>_xlfn.FLOOR.MATH((nc1_*mc1_+mc2_*nc2_+mc3_*nc3_)/(na2_)*M4)+L4</f>
        <v>130</v>
      </c>
      <c r="J4" s="21" t="str">
        <f t="shared" si="0"/>
        <v/>
      </c>
      <c r="K4" s="20">
        <v>0</v>
      </c>
      <c r="L4" s="20">
        <v>0</v>
      </c>
      <c r="M4" s="8">
        <v>0.25</v>
      </c>
      <c r="N4" s="15">
        <v>500</v>
      </c>
      <c r="O4" s="15">
        <v>2</v>
      </c>
      <c r="P4" s="16">
        <v>10</v>
      </c>
    </row>
    <row r="5" spans="1:24" x14ac:dyDescent="0.25">
      <c r="A5" s="4" t="s">
        <v>9</v>
      </c>
      <c r="B5" s="4" t="s">
        <v>14</v>
      </c>
      <c r="C5" s="4" t="s">
        <v>4</v>
      </c>
      <c r="D5" s="15">
        <v>3500</v>
      </c>
      <c r="E5" s="15">
        <v>5</v>
      </c>
      <c r="F5" s="15">
        <v>5</v>
      </c>
      <c r="G5" s="6"/>
      <c r="H5" s="15">
        <f>200+K5</f>
        <v>200</v>
      </c>
      <c r="I5" s="2">
        <f>_xlfn.FLOOR.MATH((nc1_*mc1_+mc2_*nc2_+mc3_*nc3_)/(na3_)*M5)+L5</f>
        <v>165</v>
      </c>
      <c r="J5" s="21" t="str">
        <f t="shared" si="0"/>
        <v/>
      </c>
      <c r="K5" s="20">
        <v>0</v>
      </c>
      <c r="L5" s="20">
        <v>0</v>
      </c>
      <c r="M5" s="8">
        <v>0.74</v>
      </c>
      <c r="N5" s="15">
        <v>1500</v>
      </c>
      <c r="O5" s="15">
        <v>3</v>
      </c>
      <c r="P5" s="16">
        <v>20</v>
      </c>
    </row>
    <row r="6" spans="1:24" x14ac:dyDescent="0.25">
      <c r="A6" s="4" t="s">
        <v>8</v>
      </c>
      <c r="B6" s="4" t="s">
        <v>15</v>
      </c>
      <c r="C6" s="4" t="s">
        <v>5</v>
      </c>
      <c r="D6" s="15">
        <v>10</v>
      </c>
      <c r="E6" s="15">
        <v>100</v>
      </c>
      <c r="F6" s="2">
        <f>_xlfn.CEILING.MATH((na1_*ra1_+na2_*ra2_+na3_*ra3_)/(nc1_)*G6)</f>
        <v>21</v>
      </c>
      <c r="G6" s="13">
        <v>0.01</v>
      </c>
      <c r="H6" s="15">
        <f>100+K6</f>
        <v>100</v>
      </c>
      <c r="I6" s="2">
        <f>_xlfn.FLOOR.MATH((na1_*ma1_+ma2_*na2_+ma3_*na3_)/(nc1_)*M6)+L6</f>
        <v>780</v>
      </c>
      <c r="J6" s="21" t="str">
        <f t="shared" si="0"/>
        <v/>
      </c>
      <c r="K6" s="20">
        <v>0</v>
      </c>
      <c r="L6" s="20">
        <v>0</v>
      </c>
      <c r="M6" s="8">
        <v>0.01</v>
      </c>
      <c r="N6" s="15">
        <v>0</v>
      </c>
      <c r="O6" s="15">
        <v>1</v>
      </c>
      <c r="P6" s="16">
        <v>10</v>
      </c>
    </row>
    <row r="7" spans="1:24" x14ac:dyDescent="0.25">
      <c r="A7" s="4" t="s">
        <v>8</v>
      </c>
      <c r="B7" s="4" t="s">
        <v>16</v>
      </c>
      <c r="C7" s="4" t="s">
        <v>6</v>
      </c>
      <c r="D7" s="15">
        <v>20</v>
      </c>
      <c r="E7" s="15">
        <v>8000</v>
      </c>
      <c r="F7" s="3">
        <f>_xlfn.CEILING.MATH((na1_*ra1_+na2_*ra2_+na3_*ra3_)/(nc2_)*G7)</f>
        <v>252</v>
      </c>
      <c r="G7" s="1">
        <v>0.24</v>
      </c>
      <c r="H7" s="15">
        <f>12000+K7</f>
        <v>12000</v>
      </c>
      <c r="I7" s="2">
        <f>_xlfn.FLOOR.MATH((na1_*ma1_+ma2_*na2_+ma3_*na3_)/(nc2_)*M7)+L7</f>
        <v>9360</v>
      </c>
      <c r="J7" s="21" t="str">
        <f t="shared" si="0"/>
        <v/>
      </c>
      <c r="K7" s="20">
        <v>0</v>
      </c>
      <c r="L7" s="20">
        <v>0</v>
      </c>
      <c r="M7" s="8">
        <v>0.24</v>
      </c>
      <c r="N7" s="15">
        <v>0</v>
      </c>
      <c r="O7" s="15">
        <v>1</v>
      </c>
      <c r="P7" s="16">
        <v>100</v>
      </c>
    </row>
    <row r="8" spans="1:24" x14ac:dyDescent="0.25">
      <c r="A8" s="4" t="s">
        <v>8</v>
      </c>
      <c r="B8" s="4" t="s">
        <v>17</v>
      </c>
      <c r="C8" s="4" t="s">
        <v>7</v>
      </c>
      <c r="D8" s="15">
        <v>30</v>
      </c>
      <c r="E8" s="15">
        <v>12000</v>
      </c>
      <c r="F8" s="3">
        <f>_xlfn.CEILING.MATH((na1_*ra1_+na2_*ra2_+na3_*ra3_)/(nc3_)*G8)</f>
        <v>525</v>
      </c>
      <c r="G8" s="1">
        <v>0.75</v>
      </c>
      <c r="H8" s="15">
        <f>18000+K8</f>
        <v>18000</v>
      </c>
      <c r="I8" s="2">
        <f>_xlfn.FLOOR.MATH((na1_*ma1_+ma2_*na2_+ma3_*na3_)/(nc3_)*M8)+L8</f>
        <v>19500</v>
      </c>
      <c r="J8" s="21" t="str">
        <f t="shared" si="0"/>
        <v/>
      </c>
      <c r="K8" s="20">
        <v>0</v>
      </c>
      <c r="L8" s="20">
        <v>0</v>
      </c>
      <c r="M8" s="8">
        <v>0.75</v>
      </c>
      <c r="N8" s="15">
        <v>0</v>
      </c>
      <c r="O8" s="15">
        <v>1</v>
      </c>
      <c r="P8" s="16">
        <v>300</v>
      </c>
    </row>
    <row r="9" spans="1:24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4" x14ac:dyDescent="0.25">
      <c r="D10" s="8"/>
      <c r="E10" s="8"/>
      <c r="F10" s="8"/>
      <c r="G10" s="8"/>
      <c r="H10" s="8"/>
      <c r="J10" s="8"/>
      <c r="K10" s="8"/>
      <c r="N10" s="8"/>
      <c r="O10" s="8"/>
      <c r="P10" s="7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topLeftCell="L1" zoomScale="85" zoomScaleNormal="85" workbookViewId="0">
      <pane ySplit="1" topLeftCell="A2" activePane="bottomLeft" state="frozen"/>
      <selection activeCell="B1" sqref="B1"/>
      <selection pane="bottomLeft" activeCell="A8" sqref="A8:XFD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22" t="s">
        <v>38</v>
      </c>
      <c r="K1" s="11" t="s">
        <v>40</v>
      </c>
      <c r="L1" s="11" t="s">
        <v>39</v>
      </c>
      <c r="M1" s="5" t="s">
        <v>37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35</v>
      </c>
      <c r="U1" s="11" t="s">
        <v>32</v>
      </c>
      <c r="V1" s="11" t="s">
        <v>33</v>
      </c>
      <c r="W1" s="11" t="s">
        <v>34</v>
      </c>
      <c r="X1" s="11" t="s">
        <v>36</v>
      </c>
    </row>
    <row r="2" spans="1:24" x14ac:dyDescent="0.25">
      <c r="A2" s="4" t="s">
        <v>10</v>
      </c>
      <c r="B2" s="4" t="s">
        <v>11</v>
      </c>
      <c r="C2" s="4" t="s">
        <v>1</v>
      </c>
      <c r="D2" s="15">
        <v>10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6"/>
      <c r="L2" s="6"/>
      <c r="M2" s="6"/>
      <c r="N2" s="15">
        <v>50</v>
      </c>
      <c r="O2" s="15">
        <v>1</v>
      </c>
      <c r="P2" s="16">
        <v>0</v>
      </c>
      <c r="Q2" s="12">
        <f>D3*H3+D4*H4+D5*H5</f>
        <v>16500</v>
      </c>
      <c r="R2" s="17">
        <f>D3*I3+D4*I4+D5*I5</f>
        <v>16500</v>
      </c>
      <c r="S2" s="18">
        <f>U2-R2</f>
        <v>0</v>
      </c>
      <c r="T2" s="12">
        <f>D3*F3+D4*F4+D5*F5</f>
        <v>1800</v>
      </c>
      <c r="U2" s="12">
        <f>D6*H6+D7*H7+D8*H8</f>
        <v>16500</v>
      </c>
      <c r="V2" s="17">
        <f>D6*I6+D7*I7+D8*I8</f>
        <v>16499</v>
      </c>
      <c r="W2" s="14">
        <f>Q2-V2</f>
        <v>1</v>
      </c>
      <c r="X2" s="12">
        <f>D6*F6+D7*F7+D8*F8</f>
        <v>1803</v>
      </c>
    </row>
    <row r="3" spans="1:24" x14ac:dyDescent="0.25">
      <c r="A3" s="4" t="s">
        <v>9</v>
      </c>
      <c r="B3" s="4" t="s">
        <v>12</v>
      </c>
      <c r="C3" s="4" t="s">
        <v>2</v>
      </c>
      <c r="D3" s="15">
        <v>50</v>
      </c>
      <c r="E3" s="15">
        <v>0</v>
      </c>
      <c r="F3" s="15">
        <v>0</v>
      </c>
      <c r="G3" s="6"/>
      <c r="H3" s="15">
        <f>0+K3</f>
        <v>0</v>
      </c>
      <c r="I3" s="2">
        <f>_xlfn.FLOOR.MATH((D6*H6+D7*H7+D8*H8)/(D3)*M3)+L3</f>
        <v>0</v>
      </c>
      <c r="J3" s="21" t="str">
        <f t="shared" ref="J3:J8" si="0">IF(F3=0, "Messages must be 0 on 0 Relationships", "")</f>
        <v>Messages must be 0 on 0 Relationships</v>
      </c>
      <c r="K3" s="20">
        <v>0</v>
      </c>
      <c r="L3" s="20">
        <v>-3</v>
      </c>
      <c r="M3" s="8">
        <v>0.01</v>
      </c>
      <c r="N3" s="15">
        <v>5</v>
      </c>
      <c r="O3" s="15">
        <v>1</v>
      </c>
      <c r="P3" s="16">
        <v>1</v>
      </c>
    </row>
    <row r="4" spans="1:24" x14ac:dyDescent="0.25">
      <c r="A4" s="4" t="s">
        <v>9</v>
      </c>
      <c r="B4" s="4" t="s">
        <v>13</v>
      </c>
      <c r="C4" s="4" t="s">
        <v>3</v>
      </c>
      <c r="D4" s="15">
        <v>150</v>
      </c>
      <c r="E4" s="15">
        <v>0</v>
      </c>
      <c r="F4" s="15">
        <v>2</v>
      </c>
      <c r="G4" s="6"/>
      <c r="H4" s="15">
        <f>10+K4</f>
        <v>10</v>
      </c>
      <c r="I4" s="2">
        <f>_xlfn.FLOOR.MATH((D6*H6+D7*H7+D8*H8)/(D4)*M4)+L4</f>
        <v>30</v>
      </c>
      <c r="J4" s="21" t="str">
        <f t="shared" si="0"/>
        <v/>
      </c>
      <c r="K4" s="20">
        <v>0</v>
      </c>
      <c r="L4" s="20">
        <v>3</v>
      </c>
      <c r="M4" s="8">
        <v>0.25</v>
      </c>
      <c r="N4" s="15">
        <v>60</v>
      </c>
      <c r="O4" s="15">
        <v>2</v>
      </c>
      <c r="P4" s="16">
        <v>10</v>
      </c>
    </row>
    <row r="5" spans="1:24" x14ac:dyDescent="0.25">
      <c r="A5" s="4" t="s">
        <v>9</v>
      </c>
      <c r="B5" s="4" t="s">
        <v>14</v>
      </c>
      <c r="C5" s="4" t="s">
        <v>4</v>
      </c>
      <c r="D5" s="15">
        <v>300</v>
      </c>
      <c r="E5" s="15">
        <v>0</v>
      </c>
      <c r="F5" s="15">
        <v>5</v>
      </c>
      <c r="G5" s="6"/>
      <c r="H5" s="15">
        <f>50+K5</f>
        <v>50</v>
      </c>
      <c r="I5" s="2">
        <f>_xlfn.FLOOR.MATH((D6*H6+D7*H7+D8*H8)/(D5)*M5)+L5</f>
        <v>40</v>
      </c>
      <c r="J5" s="21" t="str">
        <f t="shared" si="0"/>
        <v/>
      </c>
      <c r="K5" s="20">
        <v>0</v>
      </c>
      <c r="L5" s="20">
        <v>0</v>
      </c>
      <c r="M5" s="8">
        <v>0.74</v>
      </c>
      <c r="N5" s="15">
        <v>1</v>
      </c>
      <c r="O5" s="15">
        <v>3</v>
      </c>
      <c r="P5" s="16">
        <v>20</v>
      </c>
    </row>
    <row r="6" spans="1:24" x14ac:dyDescent="0.25">
      <c r="A6" s="4" t="s">
        <v>8</v>
      </c>
      <c r="B6" s="4" t="s">
        <v>15</v>
      </c>
      <c r="C6" s="4" t="s">
        <v>5</v>
      </c>
      <c r="D6" s="15">
        <v>2</v>
      </c>
      <c r="E6" s="15">
        <v>1</v>
      </c>
      <c r="F6" s="3">
        <f>_xlfn.CEILING.MATH((D3*F3+D4*F4+D5*F5)/(D6)*G6)</f>
        <v>9</v>
      </c>
      <c r="G6" s="13">
        <v>0.01</v>
      </c>
      <c r="H6" s="15">
        <f>0+K6</f>
        <v>0</v>
      </c>
      <c r="I6" s="2">
        <f>_xlfn.FLOOR.MATH((D3*H3+D4*H4+D5*H5)/(D6)*M6)+L6</f>
        <v>82</v>
      </c>
      <c r="J6" s="21" t="str">
        <f t="shared" si="0"/>
        <v/>
      </c>
      <c r="K6" s="20">
        <v>0</v>
      </c>
      <c r="L6" s="20">
        <v>0</v>
      </c>
      <c r="M6" s="8">
        <v>0.01</v>
      </c>
      <c r="N6" s="15">
        <v>0</v>
      </c>
      <c r="O6" s="15">
        <v>1</v>
      </c>
      <c r="P6" s="16">
        <v>0</v>
      </c>
    </row>
    <row r="7" spans="1:24" x14ac:dyDescent="0.25">
      <c r="A7" s="4" t="s">
        <v>8</v>
      </c>
      <c r="B7" s="4" t="s">
        <v>16</v>
      </c>
      <c r="C7" s="4" t="s">
        <v>6</v>
      </c>
      <c r="D7" s="15">
        <v>15</v>
      </c>
      <c r="E7" s="15">
        <v>20</v>
      </c>
      <c r="F7" s="3">
        <f>_xlfn.CEILING.MATH((D3*F3+D4*F4+D5*F5)/(D7)*G7)</f>
        <v>29</v>
      </c>
      <c r="G7" s="13">
        <v>0.24</v>
      </c>
      <c r="H7" s="15">
        <f>440+K7</f>
        <v>440</v>
      </c>
      <c r="I7" s="2">
        <f>_xlfn.FLOOR.MATH((D3*H3+D4*H4+D5*H5)/(D7)*M7)+L7</f>
        <v>264</v>
      </c>
      <c r="J7" s="21" t="str">
        <f t="shared" si="0"/>
        <v/>
      </c>
      <c r="K7" s="20">
        <v>0</v>
      </c>
      <c r="L7" s="20">
        <v>0</v>
      </c>
      <c r="M7" s="8">
        <v>0.24</v>
      </c>
      <c r="N7" s="15">
        <v>0</v>
      </c>
      <c r="O7" s="15">
        <v>1</v>
      </c>
      <c r="P7" s="16">
        <v>20</v>
      </c>
    </row>
    <row r="8" spans="1:24" x14ac:dyDescent="0.25">
      <c r="A8" s="4" t="s">
        <v>8</v>
      </c>
      <c r="B8" s="4" t="s">
        <v>17</v>
      </c>
      <c r="C8" s="4" t="s">
        <v>7</v>
      </c>
      <c r="D8" s="15">
        <v>15</v>
      </c>
      <c r="E8" s="15">
        <v>30</v>
      </c>
      <c r="F8" s="3">
        <f>_xlfn.CEILING.MATH((D3*F3+D4*F4+D5*F5)/(D8)*G8)</f>
        <v>90</v>
      </c>
      <c r="G8" s="13">
        <v>0.75</v>
      </c>
      <c r="H8" s="15">
        <f>660+K8</f>
        <v>660</v>
      </c>
      <c r="I8" s="2">
        <f>_xlfn.FLOOR.MATH((D3*H3+D4*H4+D5*H5)/(D8)*M8)+L8</f>
        <v>825</v>
      </c>
      <c r="J8" s="21" t="str">
        <f t="shared" si="0"/>
        <v/>
      </c>
      <c r="K8" s="20">
        <v>0</v>
      </c>
      <c r="L8" s="20">
        <v>0</v>
      </c>
      <c r="M8" s="8">
        <v>0.75</v>
      </c>
      <c r="N8" s="15">
        <v>0</v>
      </c>
      <c r="O8" s="15">
        <v>1</v>
      </c>
      <c r="P8" s="16">
        <v>30</v>
      </c>
    </row>
    <row r="9" spans="1:24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4" x14ac:dyDescent="0.25">
      <c r="D10" s="8"/>
      <c r="E10" s="8"/>
      <c r="F10" s="8"/>
      <c r="G10" s="8"/>
      <c r="H10" s="8"/>
      <c r="J10" s="8"/>
      <c r="K10" s="8"/>
      <c r="N10" s="8"/>
      <c r="O10" s="8"/>
      <c r="P10" s="7"/>
    </row>
    <row r="11" spans="1:24" x14ac:dyDescent="0.25">
      <c r="F11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26"/>
  <sheetViews>
    <sheetView tabSelected="1" zoomScale="85" zoomScaleNormal="85" workbookViewId="0">
      <pane ySplit="1" topLeftCell="A71" activePane="bottomLeft" state="frozen"/>
      <selection pane="bottomLeft" activeCell="F28" sqref="F28"/>
    </sheetView>
  </sheetViews>
  <sheetFormatPr defaultRowHeight="15" x14ac:dyDescent="0.25"/>
  <cols>
    <col min="1" max="1" width="10.140625" bestFit="1" customWidth="1"/>
    <col min="2" max="2" width="15.5703125" customWidth="1"/>
    <col min="3" max="3" width="18.140625" customWidth="1"/>
    <col min="4" max="4" width="16.140625" customWidth="1"/>
    <col min="5" max="5" width="46.85546875" customWidth="1"/>
    <col min="6" max="6" width="25.7109375" customWidth="1"/>
    <col min="7" max="7" width="52.140625" customWidth="1"/>
    <col min="8" max="8" width="27.140625" customWidth="1"/>
    <col min="9" max="9" width="43.42578125" customWidth="1"/>
    <col min="10" max="10" width="39.140625" bestFit="1" customWidth="1"/>
    <col min="11" max="11" width="33.5703125" customWidth="1"/>
    <col min="12" max="12" width="32.42578125" customWidth="1"/>
    <col min="13" max="13" width="40.140625" customWidth="1"/>
    <col min="14" max="14" width="38.5703125" customWidth="1"/>
    <col min="15" max="15" width="28" customWidth="1"/>
    <col min="16" max="16" width="26" customWidth="1"/>
    <col min="17" max="17" width="35.5703125" customWidth="1"/>
    <col min="18" max="18" width="39.7109375" customWidth="1"/>
    <col min="19" max="19" width="43.5703125" customWidth="1"/>
    <col min="20" max="20" width="40.42578125" customWidth="1"/>
    <col min="21" max="21" width="50.7109375" customWidth="1"/>
    <col min="22" max="22" width="47.85546875" customWidth="1"/>
    <col min="23" max="23" width="48" customWidth="1"/>
    <col min="24" max="24" width="48.28515625" customWidth="1"/>
  </cols>
  <sheetData>
    <row r="1" spans="1:24" ht="15.75" customHeight="1" x14ac:dyDescent="0.25">
      <c r="A1" s="9" t="s">
        <v>18</v>
      </c>
      <c r="B1" s="9" t="s">
        <v>0</v>
      </c>
      <c r="C1" s="10" t="s">
        <v>19</v>
      </c>
      <c r="D1" s="9" t="s">
        <v>21</v>
      </c>
      <c r="E1" s="11" t="s">
        <v>22</v>
      </c>
      <c r="F1" s="9" t="s">
        <v>23</v>
      </c>
      <c r="G1" s="5" t="s">
        <v>20</v>
      </c>
      <c r="H1" s="11" t="s">
        <v>24</v>
      </c>
      <c r="I1" s="11" t="s">
        <v>25</v>
      </c>
      <c r="J1" s="22" t="s">
        <v>38</v>
      </c>
      <c r="K1" s="11" t="s">
        <v>40</v>
      </c>
      <c r="L1" s="11" t="s">
        <v>39</v>
      </c>
      <c r="M1" s="5" t="s">
        <v>37</v>
      </c>
      <c r="N1" s="11" t="s">
        <v>26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35</v>
      </c>
      <c r="U1" s="11" t="s">
        <v>32</v>
      </c>
      <c r="V1" s="11" t="s">
        <v>33</v>
      </c>
      <c r="W1" s="11" t="s">
        <v>34</v>
      </c>
      <c r="X1" s="11" t="s">
        <v>36</v>
      </c>
    </row>
    <row r="2" spans="1:24" x14ac:dyDescent="0.25">
      <c r="A2" s="4" t="s">
        <v>10</v>
      </c>
      <c r="B2" s="4" t="s">
        <v>11</v>
      </c>
      <c r="C2" s="4" t="s">
        <v>1</v>
      </c>
      <c r="D2" s="15">
        <v>5</v>
      </c>
      <c r="E2" s="15">
        <v>0</v>
      </c>
      <c r="F2" s="15">
        <v>0</v>
      </c>
      <c r="G2" s="6"/>
      <c r="H2" s="15">
        <v>0</v>
      </c>
      <c r="I2" s="6">
        <v>0</v>
      </c>
      <c r="J2" s="6"/>
      <c r="K2" s="6"/>
      <c r="L2" s="6"/>
      <c r="M2" s="6"/>
      <c r="N2" s="15">
        <v>50</v>
      </c>
      <c r="O2" s="15">
        <v>1</v>
      </c>
      <c r="P2" s="16">
        <v>0</v>
      </c>
      <c r="Q2" s="12">
        <f>D3*H3+D4*H4+D5*H5</f>
        <v>48</v>
      </c>
      <c r="R2" s="17">
        <f>D3*I3+D4*I4+D5*I5</f>
        <v>45</v>
      </c>
      <c r="S2" s="18">
        <f>U2-R2</f>
        <v>3</v>
      </c>
      <c r="T2" s="12">
        <f>D3*F3+D4*F4+D5*F5</f>
        <v>19</v>
      </c>
      <c r="U2" s="12">
        <f>D6*H6+D7*H7+D8*H8</f>
        <v>48</v>
      </c>
      <c r="V2" s="17">
        <f>D6*I6+D7*I7+D8*I8</f>
        <v>46</v>
      </c>
      <c r="W2" s="14">
        <f>Q2-V2</f>
        <v>2</v>
      </c>
      <c r="X2" s="12">
        <f>D6*F6+D7*F7+D8*F8</f>
        <v>23</v>
      </c>
    </row>
    <row r="3" spans="1:24" x14ac:dyDescent="0.25">
      <c r="A3" s="4" t="s">
        <v>9</v>
      </c>
      <c r="B3" s="4" t="s">
        <v>12</v>
      </c>
      <c r="C3" s="4" t="s">
        <v>2</v>
      </c>
      <c r="D3" s="15">
        <v>1</v>
      </c>
      <c r="E3" s="15">
        <v>0</v>
      </c>
      <c r="F3" s="15">
        <v>1</v>
      </c>
      <c r="G3" s="6"/>
      <c r="H3" s="15">
        <f>0+K3</f>
        <v>0</v>
      </c>
      <c r="I3" s="2">
        <f>_xlfn.FLOOR.MATH((D6*H6+D7*H7+D8*H8)/(D3)*M3)+L3</f>
        <v>0</v>
      </c>
      <c r="J3" s="21" t="str">
        <f t="shared" ref="J3:J8" si="0">IF(F3=0, "Messages must be 0 on 0 Relationships", "")</f>
        <v/>
      </c>
      <c r="K3" s="20">
        <v>0</v>
      </c>
      <c r="L3" s="20">
        <v>0</v>
      </c>
      <c r="M3" s="8">
        <v>0.01</v>
      </c>
      <c r="N3" s="15">
        <v>50</v>
      </c>
      <c r="O3" s="15">
        <v>1</v>
      </c>
      <c r="P3" s="16">
        <v>1</v>
      </c>
    </row>
    <row r="4" spans="1:24" x14ac:dyDescent="0.25">
      <c r="A4" s="4" t="s">
        <v>9</v>
      </c>
      <c r="B4" s="4" t="s">
        <v>13</v>
      </c>
      <c r="C4" s="4" t="s">
        <v>3</v>
      </c>
      <c r="D4" s="15">
        <v>3</v>
      </c>
      <c r="E4" s="15">
        <v>0</v>
      </c>
      <c r="F4" s="15">
        <v>2</v>
      </c>
      <c r="G4" s="6"/>
      <c r="H4" s="15">
        <f>4+K4</f>
        <v>4</v>
      </c>
      <c r="I4" s="2">
        <f>_xlfn.FLOOR.MATH((D6*H6+D7*H7+D8*H8)/(D4)*M4)+L4</f>
        <v>4</v>
      </c>
      <c r="J4" s="21" t="str">
        <f t="shared" si="0"/>
        <v/>
      </c>
      <c r="K4" s="20">
        <v>0</v>
      </c>
      <c r="L4" s="20">
        <v>0</v>
      </c>
      <c r="M4" s="8">
        <v>0.25</v>
      </c>
      <c r="N4" s="15">
        <v>60</v>
      </c>
      <c r="O4" s="15">
        <v>2</v>
      </c>
      <c r="P4" s="16">
        <v>10</v>
      </c>
    </row>
    <row r="5" spans="1:24" x14ac:dyDescent="0.25">
      <c r="A5" s="4" t="s">
        <v>9</v>
      </c>
      <c r="B5" s="4" t="s">
        <v>14</v>
      </c>
      <c r="C5" s="4" t="s">
        <v>4</v>
      </c>
      <c r="D5" s="15">
        <v>3</v>
      </c>
      <c r="E5" s="15">
        <v>0</v>
      </c>
      <c r="F5" s="15">
        <v>4</v>
      </c>
      <c r="G5" s="6"/>
      <c r="H5" s="15">
        <f>12+K5</f>
        <v>12</v>
      </c>
      <c r="I5" s="2">
        <f>_xlfn.FLOOR.MATH((D6*H6+D7*H7+D8*H8)/(D5)*M5)+L5</f>
        <v>11</v>
      </c>
      <c r="J5" s="21" t="str">
        <f t="shared" si="0"/>
        <v/>
      </c>
      <c r="K5" s="20">
        <v>0</v>
      </c>
      <c r="L5" s="20">
        <v>0</v>
      </c>
      <c r="M5" s="8">
        <v>0.74</v>
      </c>
      <c r="N5" s="15">
        <v>1</v>
      </c>
      <c r="O5" s="15">
        <v>3</v>
      </c>
      <c r="P5" s="16">
        <v>20</v>
      </c>
      <c r="Q5" s="12"/>
      <c r="R5" s="17"/>
      <c r="S5" s="18"/>
      <c r="T5" s="12"/>
      <c r="U5" s="12"/>
      <c r="V5" s="17"/>
      <c r="W5" s="14"/>
      <c r="X5" s="12"/>
    </row>
    <row r="6" spans="1:24" x14ac:dyDescent="0.25">
      <c r="A6" s="4" t="s">
        <v>8</v>
      </c>
      <c r="B6" s="4" t="s">
        <v>15</v>
      </c>
      <c r="C6" s="4" t="s">
        <v>5</v>
      </c>
      <c r="D6" s="15">
        <v>1</v>
      </c>
      <c r="E6" s="15">
        <v>1</v>
      </c>
      <c r="F6" s="3">
        <f>_xlfn.CEILING.MATH((D3*F3+D4*F4+D5*F5)/(D6)*G6)</f>
        <v>1</v>
      </c>
      <c r="G6" s="13">
        <v>0.01</v>
      </c>
      <c r="H6" s="15">
        <v>0</v>
      </c>
      <c r="I6" s="2">
        <f>_xlfn.FLOOR.MATH((D3*H3+D4*H4+D5*H5)/(D6)*M6)+L6</f>
        <v>0</v>
      </c>
      <c r="J6" s="21" t="str">
        <f t="shared" si="0"/>
        <v/>
      </c>
      <c r="K6" s="20">
        <v>0</v>
      </c>
      <c r="L6" s="20">
        <v>0</v>
      </c>
      <c r="M6" s="8">
        <v>0.01</v>
      </c>
      <c r="N6" s="15">
        <v>0</v>
      </c>
      <c r="O6" s="15">
        <v>1</v>
      </c>
      <c r="P6" s="16">
        <v>0</v>
      </c>
    </row>
    <row r="7" spans="1:24" x14ac:dyDescent="0.25">
      <c r="A7" s="4" t="s">
        <v>8</v>
      </c>
      <c r="B7" s="4" t="s">
        <v>16</v>
      </c>
      <c r="C7" s="4" t="s">
        <v>6</v>
      </c>
      <c r="D7" s="15">
        <v>2</v>
      </c>
      <c r="E7" s="15">
        <v>20</v>
      </c>
      <c r="F7" s="3">
        <f>_xlfn.CEILING.MATH((D3*F3+D4*F4+D5*F5)/(D7)*G7)</f>
        <v>3</v>
      </c>
      <c r="G7" s="13">
        <v>0.24</v>
      </c>
      <c r="H7" s="15">
        <f>8+K7</f>
        <v>8</v>
      </c>
      <c r="I7" s="2">
        <f>_xlfn.FLOOR.MATH((D3*H3+D4*H4+D5*H5)/(D7)*M7)+L7</f>
        <v>5</v>
      </c>
      <c r="J7" s="21" t="str">
        <f t="shared" si="0"/>
        <v/>
      </c>
      <c r="K7" s="20">
        <v>0</v>
      </c>
      <c r="L7" s="20">
        <v>0</v>
      </c>
      <c r="M7" s="8">
        <v>0.24</v>
      </c>
      <c r="N7" s="15">
        <v>0</v>
      </c>
      <c r="O7" s="15">
        <v>1</v>
      </c>
      <c r="P7" s="16">
        <v>20</v>
      </c>
    </row>
    <row r="8" spans="1:24" x14ac:dyDescent="0.25">
      <c r="A8" s="4" t="s">
        <v>8</v>
      </c>
      <c r="B8" s="4" t="s">
        <v>17</v>
      </c>
      <c r="C8" s="4" t="s">
        <v>7</v>
      </c>
      <c r="D8" s="15">
        <v>4</v>
      </c>
      <c r="E8" s="15">
        <v>30</v>
      </c>
      <c r="F8" s="3">
        <f>_xlfn.CEILING.MATH((D3*F3+D4*F4+D5*F5)/(D8)*G8)</f>
        <v>4</v>
      </c>
      <c r="G8" s="13">
        <v>0.75</v>
      </c>
      <c r="H8" s="15">
        <f>8+K8</f>
        <v>8</v>
      </c>
      <c r="I8" s="2">
        <f>_xlfn.FLOOR.MATH((D3*H3+D4*H4+D5*H5)/(D8)*M8)+L8</f>
        <v>9</v>
      </c>
      <c r="J8" s="21" t="str">
        <f t="shared" si="0"/>
        <v/>
      </c>
      <c r="K8" s="20">
        <v>0</v>
      </c>
      <c r="L8" s="20">
        <v>0</v>
      </c>
      <c r="M8" s="8">
        <v>0.75</v>
      </c>
      <c r="N8" s="15">
        <v>0</v>
      </c>
      <c r="O8" s="15">
        <v>1</v>
      </c>
      <c r="P8" s="16">
        <v>30</v>
      </c>
    </row>
    <row r="9" spans="1:24" x14ac:dyDescent="0.25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4" x14ac:dyDescent="0.25">
      <c r="D10" s="8"/>
      <c r="E10" s="8"/>
      <c r="F10" s="8"/>
      <c r="G10" s="8"/>
      <c r="H10" s="8"/>
      <c r="J10" s="8"/>
      <c r="K10" s="8"/>
      <c r="N10" s="8"/>
      <c r="O10" s="8"/>
      <c r="P10" s="7"/>
    </row>
    <row r="11" spans="1:24" x14ac:dyDescent="0.25">
      <c r="B11" s="23" t="s">
        <v>52</v>
      </c>
      <c r="C11" s="23" t="s">
        <v>55</v>
      </c>
      <c r="F11" s="19"/>
    </row>
    <row r="12" spans="1:24" x14ac:dyDescent="0.25">
      <c r="B12" s="40" t="s">
        <v>41</v>
      </c>
      <c r="C12" s="41" t="s">
        <v>19</v>
      </c>
      <c r="D12" s="41" t="s">
        <v>42</v>
      </c>
      <c r="E12" s="42" t="s">
        <v>56</v>
      </c>
      <c r="F12" s="41" t="s">
        <v>43</v>
      </c>
      <c r="G12" s="43" t="s">
        <v>58</v>
      </c>
      <c r="H12" s="41" t="s">
        <v>66</v>
      </c>
      <c r="I12" s="41" t="s">
        <v>61</v>
      </c>
      <c r="J12" s="44" t="s">
        <v>64</v>
      </c>
    </row>
    <row r="13" spans="1:24" x14ac:dyDescent="0.25">
      <c r="B13" s="45"/>
      <c r="C13" t="s">
        <v>2</v>
      </c>
      <c r="D13" s="6">
        <f>D3</f>
        <v>1</v>
      </c>
      <c r="E13" s="6">
        <f>H3</f>
        <v>0</v>
      </c>
      <c r="F13">
        <f>D13*E13</f>
        <v>0</v>
      </c>
      <c r="G13" s="2">
        <f>F3</f>
        <v>1</v>
      </c>
      <c r="I13" s="19">
        <f>E13/G13</f>
        <v>0</v>
      </c>
      <c r="J13" s="46">
        <f>MOD(E13,G13)</f>
        <v>0</v>
      </c>
    </row>
    <row r="14" spans="1:24" x14ac:dyDescent="0.25">
      <c r="B14" s="45"/>
      <c r="C14" t="s">
        <v>3</v>
      </c>
      <c r="D14" s="6">
        <f>D4</f>
        <v>3</v>
      </c>
      <c r="E14" s="6">
        <f>H4</f>
        <v>4</v>
      </c>
      <c r="F14">
        <f>D14*E14</f>
        <v>12</v>
      </c>
      <c r="G14" s="2">
        <f>F4</f>
        <v>2</v>
      </c>
      <c r="I14" s="19">
        <f>_xlfn.FLOOR.MATH(E14/G14)</f>
        <v>2</v>
      </c>
      <c r="J14" s="46">
        <f>MOD(E14,G14)</f>
        <v>0</v>
      </c>
    </row>
    <row r="15" spans="1:24" x14ac:dyDescent="0.25">
      <c r="B15" s="45"/>
      <c r="C15" t="s">
        <v>4</v>
      </c>
      <c r="D15" s="6">
        <f>D5</f>
        <v>3</v>
      </c>
      <c r="E15" s="6">
        <f>H5</f>
        <v>12</v>
      </c>
      <c r="F15">
        <f>D15*E15</f>
        <v>36</v>
      </c>
      <c r="G15" s="2">
        <f>F5</f>
        <v>4</v>
      </c>
      <c r="I15" s="19">
        <f>_xlfn.FLOOR.MATH(E15/G15)</f>
        <v>3</v>
      </c>
      <c r="J15" s="46">
        <f>MOD(E15,G15)</f>
        <v>0</v>
      </c>
    </row>
    <row r="16" spans="1:24" x14ac:dyDescent="0.25">
      <c r="B16" s="45"/>
      <c r="F16" s="23">
        <f>SUM(F13:F15)</f>
        <v>48</v>
      </c>
      <c r="G16" s="47" t="s">
        <v>53</v>
      </c>
      <c r="H16" s="23">
        <f>Q2</f>
        <v>48</v>
      </c>
      <c r="J16" s="48"/>
    </row>
    <row r="17" spans="2:10" x14ac:dyDescent="0.25">
      <c r="B17" s="45"/>
      <c r="F17" s="23"/>
      <c r="G17" s="47"/>
      <c r="H17" s="23"/>
      <c r="I17" s="49" t="s">
        <v>59</v>
      </c>
      <c r="J17" s="50">
        <f>((I15*G15+J15)*D15)+((G14*I14)+J14)*D14+((G13*I13)*J13*D13)</f>
        <v>48</v>
      </c>
    </row>
    <row r="18" spans="2:10" x14ac:dyDescent="0.25">
      <c r="B18" s="45"/>
      <c r="F18" s="26">
        <f>D13*G13+D14*G14+D15*G15</f>
        <v>19</v>
      </c>
      <c r="G18" s="25" t="s">
        <v>51</v>
      </c>
      <c r="H18" s="26">
        <f>T2</f>
        <v>19</v>
      </c>
      <c r="J18" s="48"/>
    </row>
    <row r="19" spans="2:10" x14ac:dyDescent="0.25">
      <c r="B19" s="45"/>
      <c r="J19" s="48"/>
    </row>
    <row r="20" spans="2:10" x14ac:dyDescent="0.25">
      <c r="B20" s="45" t="s">
        <v>44</v>
      </c>
      <c r="C20" t="s">
        <v>19</v>
      </c>
      <c r="D20" t="s">
        <v>42</v>
      </c>
      <c r="E20" s="5" t="s">
        <v>57</v>
      </c>
      <c r="F20" t="s">
        <v>43</v>
      </c>
      <c r="G20" s="12" t="s">
        <v>58</v>
      </c>
      <c r="H20" t="s">
        <v>66</v>
      </c>
      <c r="I20" t="s">
        <v>62</v>
      </c>
      <c r="J20" s="48" t="s">
        <v>63</v>
      </c>
    </row>
    <row r="21" spans="2:10" x14ac:dyDescent="0.25">
      <c r="B21" s="45"/>
      <c r="C21" t="s">
        <v>5</v>
      </c>
      <c r="D21" s="6">
        <f>D6</f>
        <v>1</v>
      </c>
      <c r="E21" s="6">
        <f>I6</f>
        <v>0</v>
      </c>
      <c r="F21">
        <f>D21*E21</f>
        <v>0</v>
      </c>
      <c r="G21" s="2">
        <f>F6</f>
        <v>1</v>
      </c>
      <c r="I21" s="19">
        <f>_xlfn.FLOOR.MATH(E21/G21)</f>
        <v>0</v>
      </c>
      <c r="J21" s="51">
        <f>MOD(E21,G21)</f>
        <v>0</v>
      </c>
    </row>
    <row r="22" spans="2:10" x14ac:dyDescent="0.25">
      <c r="B22" s="45"/>
      <c r="C22" t="s">
        <v>6</v>
      </c>
      <c r="D22" s="6">
        <f>D7</f>
        <v>2</v>
      </c>
      <c r="E22" s="6">
        <f>I7</f>
        <v>5</v>
      </c>
      <c r="F22">
        <f>D22*E22</f>
        <v>10</v>
      </c>
      <c r="G22" s="2">
        <f>F7</f>
        <v>3</v>
      </c>
      <c r="I22" s="19">
        <f>_xlfn.FLOOR.MATH(E22/G22)</f>
        <v>1</v>
      </c>
      <c r="J22" s="51">
        <f>MOD(E22,G22)</f>
        <v>2</v>
      </c>
    </row>
    <row r="23" spans="2:10" x14ac:dyDescent="0.25">
      <c r="B23" s="45"/>
      <c r="C23" t="s">
        <v>7</v>
      </c>
      <c r="D23" s="6">
        <f>D8</f>
        <v>4</v>
      </c>
      <c r="E23" s="6">
        <f>I8</f>
        <v>9</v>
      </c>
      <c r="F23">
        <f>D23*E23</f>
        <v>36</v>
      </c>
      <c r="G23" s="2">
        <f>F8</f>
        <v>4</v>
      </c>
      <c r="I23" s="19">
        <f>_xlfn.FLOOR.MATH(E23/G23)</f>
        <v>2</v>
      </c>
      <c r="J23" s="51">
        <f>MOD(E23,G23)</f>
        <v>1</v>
      </c>
    </row>
    <row r="24" spans="2:10" x14ac:dyDescent="0.25">
      <c r="B24" s="45"/>
      <c r="F24" s="52">
        <f>SUM(F21:F23)</f>
        <v>46</v>
      </c>
      <c r="G24" s="53" t="s">
        <v>54</v>
      </c>
      <c r="H24">
        <f>V2</f>
        <v>46</v>
      </c>
      <c r="I24" s="19"/>
      <c r="J24" s="48"/>
    </row>
    <row r="25" spans="2:10" x14ac:dyDescent="0.25">
      <c r="B25" s="45"/>
      <c r="G25" s="49" t="s">
        <v>45</v>
      </c>
      <c r="H25" s="52">
        <f>W2</f>
        <v>2</v>
      </c>
      <c r="J25" s="48"/>
    </row>
    <row r="26" spans="2:10" x14ac:dyDescent="0.25">
      <c r="B26" s="45"/>
      <c r="H26" s="23">
        <f>SUM(H24:H25)</f>
        <v>48</v>
      </c>
      <c r="J26" s="48"/>
    </row>
    <row r="27" spans="2:10" x14ac:dyDescent="0.25">
      <c r="B27" s="45"/>
      <c r="H27" s="23"/>
      <c r="I27" s="49" t="s">
        <v>60</v>
      </c>
      <c r="J27" s="50">
        <f>(G23*I23+J23)*D23+((G22*I22+J22)*D22+((G21*I21+J21)*D21))</f>
        <v>46</v>
      </c>
    </row>
    <row r="28" spans="2:10" x14ac:dyDescent="0.25">
      <c r="B28" s="54"/>
      <c r="C28" s="55"/>
      <c r="D28" s="55"/>
      <c r="E28" s="55"/>
      <c r="F28" s="56">
        <f>D21*G21+D22*G22+D23*G23</f>
        <v>23</v>
      </c>
      <c r="G28" s="57" t="s">
        <v>50</v>
      </c>
      <c r="H28" s="56">
        <f>X2</f>
        <v>23</v>
      </c>
      <c r="I28" s="55"/>
      <c r="J28" s="58"/>
    </row>
    <row r="30" spans="2:10" x14ac:dyDescent="0.25">
      <c r="F30" s="24"/>
      <c r="G30" s="25"/>
      <c r="H30" s="24"/>
    </row>
    <row r="32" spans="2:10" x14ac:dyDescent="0.25">
      <c r="B32" s="23" t="s">
        <v>65</v>
      </c>
      <c r="C32" s="23" t="s">
        <v>55</v>
      </c>
      <c r="F32" s="19"/>
    </row>
    <row r="33" spans="2:10" x14ac:dyDescent="0.25">
      <c r="B33" s="40" t="s">
        <v>44</v>
      </c>
      <c r="C33" s="41" t="s">
        <v>19</v>
      </c>
      <c r="D33" s="41" t="s">
        <v>42</v>
      </c>
      <c r="E33" s="42" t="s">
        <v>56</v>
      </c>
      <c r="F33" s="41" t="s">
        <v>43</v>
      </c>
      <c r="G33" s="43" t="s">
        <v>58</v>
      </c>
      <c r="H33" s="41" t="s">
        <v>66</v>
      </c>
      <c r="I33" s="41" t="s">
        <v>61</v>
      </c>
      <c r="J33" s="44" t="s">
        <v>64</v>
      </c>
    </row>
    <row r="34" spans="2:10" x14ac:dyDescent="0.25">
      <c r="B34" s="45"/>
      <c r="C34" t="s">
        <v>5</v>
      </c>
      <c r="D34" s="6">
        <f>D6</f>
        <v>1</v>
      </c>
      <c r="E34" s="6">
        <f>H6</f>
        <v>0</v>
      </c>
      <c r="F34">
        <f>E34*D34</f>
        <v>0</v>
      </c>
      <c r="G34" s="6">
        <f>F6</f>
        <v>1</v>
      </c>
      <c r="I34">
        <f>_xlfn.FLOOR.MATH(E34/G34)</f>
        <v>0</v>
      </c>
      <c r="J34" s="46">
        <f>MOD(E34,G34)</f>
        <v>0</v>
      </c>
    </row>
    <row r="35" spans="2:10" x14ac:dyDescent="0.25">
      <c r="B35" s="45"/>
      <c r="C35" t="s">
        <v>6</v>
      </c>
      <c r="D35" s="6">
        <f>D7</f>
        <v>2</v>
      </c>
      <c r="E35" s="6">
        <f>H7</f>
        <v>8</v>
      </c>
      <c r="F35">
        <f>D35*E35</f>
        <v>16</v>
      </c>
      <c r="G35" s="6">
        <f>F7</f>
        <v>3</v>
      </c>
      <c r="I35">
        <f>_xlfn.FLOOR.MATH(E35/G35)</f>
        <v>2</v>
      </c>
      <c r="J35" s="46">
        <f>MOD(E35,G35)</f>
        <v>2</v>
      </c>
    </row>
    <row r="36" spans="2:10" x14ac:dyDescent="0.25">
      <c r="B36" s="45"/>
      <c r="C36" t="s">
        <v>7</v>
      </c>
      <c r="D36" s="6">
        <f>D8</f>
        <v>4</v>
      </c>
      <c r="E36" s="6">
        <f>H8</f>
        <v>8</v>
      </c>
      <c r="F36">
        <f>D36*E36</f>
        <v>32</v>
      </c>
      <c r="G36" s="6">
        <f>F8</f>
        <v>4</v>
      </c>
      <c r="I36">
        <f>_xlfn.FLOOR.MATH(E36/G36)</f>
        <v>2</v>
      </c>
      <c r="J36" s="46">
        <f>MOD(E36,G36)</f>
        <v>0</v>
      </c>
    </row>
    <row r="37" spans="2:10" x14ac:dyDescent="0.25">
      <c r="B37" s="45"/>
      <c r="F37" s="23">
        <f>SUM(F34:F36)</f>
        <v>48</v>
      </c>
      <c r="G37" s="47" t="s">
        <v>67</v>
      </c>
      <c r="H37" s="23">
        <f>U2</f>
        <v>48</v>
      </c>
      <c r="J37" s="48"/>
    </row>
    <row r="38" spans="2:10" x14ac:dyDescent="0.25">
      <c r="B38" s="45"/>
      <c r="I38" s="49" t="s">
        <v>59</v>
      </c>
      <c r="J38" s="50">
        <f>(D34*(G34*I34+J34))+(D35*(G35*I35+J35)+(D36*(G36*I36+J36)))</f>
        <v>48</v>
      </c>
    </row>
    <row r="39" spans="2:10" x14ac:dyDescent="0.25">
      <c r="B39" s="45"/>
      <c r="F39" s="24">
        <f>D34*G34+D35*G35+D36*G36</f>
        <v>23</v>
      </c>
      <c r="G39" s="25" t="s">
        <v>70</v>
      </c>
      <c r="H39" s="24">
        <f>X2</f>
        <v>23</v>
      </c>
      <c r="J39" s="48"/>
    </row>
    <row r="40" spans="2:10" x14ac:dyDescent="0.25">
      <c r="B40" s="45"/>
      <c r="J40" s="48"/>
    </row>
    <row r="41" spans="2:10" x14ac:dyDescent="0.25">
      <c r="B41" s="45"/>
      <c r="J41" s="48"/>
    </row>
    <row r="42" spans="2:10" x14ac:dyDescent="0.25">
      <c r="B42" s="45" t="s">
        <v>41</v>
      </c>
      <c r="C42" t="s">
        <v>19</v>
      </c>
      <c r="D42" t="s">
        <v>42</v>
      </c>
      <c r="E42" s="5" t="s">
        <v>57</v>
      </c>
      <c r="F42" t="s">
        <v>43</v>
      </c>
      <c r="G42" s="12" t="s">
        <v>58</v>
      </c>
      <c r="H42" t="s">
        <v>66</v>
      </c>
      <c r="I42" t="s">
        <v>62</v>
      </c>
      <c r="J42" s="48" t="s">
        <v>63</v>
      </c>
    </row>
    <row r="43" spans="2:10" x14ac:dyDescent="0.25">
      <c r="B43" s="45"/>
      <c r="C43" t="s">
        <v>2</v>
      </c>
      <c r="D43" s="6">
        <f>D3</f>
        <v>1</v>
      </c>
      <c r="E43" s="6">
        <f>I3</f>
        <v>0</v>
      </c>
      <c r="F43">
        <f>D43*E43</f>
        <v>0</v>
      </c>
      <c r="G43" s="6">
        <f>F3</f>
        <v>1</v>
      </c>
      <c r="I43">
        <f>_xlfn.FLOOR.MATH(E43/G43)</f>
        <v>0</v>
      </c>
      <c r="J43" s="46">
        <f>MOD(E43,G43)</f>
        <v>0</v>
      </c>
    </row>
    <row r="44" spans="2:10" x14ac:dyDescent="0.25">
      <c r="B44" s="45"/>
      <c r="C44" t="s">
        <v>3</v>
      </c>
      <c r="D44" s="6">
        <f>D4</f>
        <v>3</v>
      </c>
      <c r="E44" s="6">
        <f>I4</f>
        <v>4</v>
      </c>
      <c r="F44">
        <f>D44*E44</f>
        <v>12</v>
      </c>
      <c r="G44" s="6">
        <f>F4</f>
        <v>2</v>
      </c>
      <c r="I44">
        <f>_xlfn.FLOOR.MATH(E44/G44)</f>
        <v>2</v>
      </c>
      <c r="J44" s="46">
        <f>MOD(E44,G44)</f>
        <v>0</v>
      </c>
    </row>
    <row r="45" spans="2:10" x14ac:dyDescent="0.25">
      <c r="B45" s="45"/>
      <c r="C45" t="s">
        <v>4</v>
      </c>
      <c r="D45" s="6">
        <f>D5</f>
        <v>3</v>
      </c>
      <c r="E45" s="6">
        <f>I5</f>
        <v>11</v>
      </c>
      <c r="F45">
        <f>D45*E45</f>
        <v>33</v>
      </c>
      <c r="G45" s="6">
        <f>F5</f>
        <v>4</v>
      </c>
      <c r="I45">
        <f>_xlfn.FLOOR.MATH(E45/G45)</f>
        <v>2</v>
      </c>
      <c r="J45" s="46">
        <f>MOD(E45,G45)</f>
        <v>3</v>
      </c>
    </row>
    <row r="46" spans="2:10" x14ac:dyDescent="0.25">
      <c r="B46" s="45"/>
      <c r="F46" s="23">
        <f>SUM(F43:F45)</f>
        <v>45</v>
      </c>
      <c r="G46" t="s">
        <v>68</v>
      </c>
      <c r="H46" s="23">
        <f>R2</f>
        <v>45</v>
      </c>
      <c r="J46" s="48"/>
    </row>
    <row r="47" spans="2:10" x14ac:dyDescent="0.25">
      <c r="B47" s="45"/>
      <c r="G47" t="s">
        <v>69</v>
      </c>
      <c r="H47" s="52">
        <f>S2</f>
        <v>3</v>
      </c>
      <c r="J47" s="48"/>
    </row>
    <row r="48" spans="2:10" x14ac:dyDescent="0.25">
      <c r="B48" s="45"/>
      <c r="H48" s="23">
        <f>SUM(H46:H47)</f>
        <v>48</v>
      </c>
      <c r="J48" s="48"/>
    </row>
    <row r="49" spans="2:15" x14ac:dyDescent="0.25">
      <c r="B49" s="45"/>
      <c r="I49" s="49" t="s">
        <v>60</v>
      </c>
      <c r="J49" s="50">
        <f>SUM(D43*(G43*I43+J43)+(D44*(G44*I44+J44)+(D45*(G45*I45+J45))))</f>
        <v>45</v>
      </c>
    </row>
    <row r="50" spans="2:15" x14ac:dyDescent="0.25">
      <c r="B50" s="54"/>
      <c r="C50" s="55"/>
      <c r="D50" s="55"/>
      <c r="E50" s="55"/>
      <c r="F50" s="59">
        <f>D43*G43+D44*G44+D45*G45</f>
        <v>19</v>
      </c>
      <c r="G50" s="57" t="s">
        <v>51</v>
      </c>
      <c r="H50" s="59">
        <f>T2</f>
        <v>19</v>
      </c>
      <c r="I50" s="55"/>
      <c r="J50" s="58"/>
    </row>
    <row r="52" spans="2:15" x14ac:dyDescent="0.25">
      <c r="B52" s="23" t="s">
        <v>77</v>
      </c>
      <c r="E52" s="23" t="s">
        <v>71</v>
      </c>
      <c r="F52" s="26">
        <f>F50</f>
        <v>19</v>
      </c>
    </row>
    <row r="53" spans="2:15" x14ac:dyDescent="0.25">
      <c r="B53" s="30" t="s">
        <v>88</v>
      </c>
      <c r="C53" s="34" t="s">
        <v>80</v>
      </c>
    </row>
    <row r="54" spans="2:15" x14ac:dyDescent="0.25">
      <c r="B54" s="23" t="s">
        <v>52</v>
      </c>
      <c r="C54" t="s">
        <v>79</v>
      </c>
      <c r="D54" t="s">
        <v>42</v>
      </c>
      <c r="E54" t="s">
        <v>78</v>
      </c>
      <c r="F54" t="s">
        <v>72</v>
      </c>
      <c r="G54" t="s">
        <v>73</v>
      </c>
      <c r="H54" t="s">
        <v>98</v>
      </c>
      <c r="J54" t="s">
        <v>79</v>
      </c>
      <c r="K54" t="s">
        <v>42</v>
      </c>
      <c r="L54" t="s">
        <v>78</v>
      </c>
      <c r="M54" t="s">
        <v>74</v>
      </c>
      <c r="N54" t="s">
        <v>75</v>
      </c>
      <c r="O54" t="s">
        <v>76</v>
      </c>
    </row>
    <row r="55" spans="2:15" x14ac:dyDescent="0.25">
      <c r="C55" s="27" t="s">
        <v>2</v>
      </c>
      <c r="D55" s="6">
        <f>D13</f>
        <v>1</v>
      </c>
      <c r="E55" s="6">
        <f>G13</f>
        <v>1</v>
      </c>
      <c r="F55" s="35">
        <f t="shared" ref="F55:G57" si="1">I13</f>
        <v>0</v>
      </c>
      <c r="G55" s="6">
        <f t="shared" si="1"/>
        <v>0</v>
      </c>
      <c r="H55" s="27">
        <f>D55*(E55*F55+G55)</f>
        <v>0</v>
      </c>
      <c r="J55" s="27" t="s">
        <v>5</v>
      </c>
      <c r="K55" s="6">
        <f>D21</f>
        <v>1</v>
      </c>
      <c r="L55" s="6">
        <f>G21</f>
        <v>1</v>
      </c>
      <c r="M55" s="19">
        <f t="shared" ref="M55:N57" si="2">I21</f>
        <v>0</v>
      </c>
      <c r="N55" s="8">
        <f t="shared" si="2"/>
        <v>0</v>
      </c>
      <c r="O55">
        <f>K55*(L55*M55+N55)</f>
        <v>0</v>
      </c>
    </row>
    <row r="56" spans="2:15" x14ac:dyDescent="0.25">
      <c r="C56" s="28" t="s">
        <v>3</v>
      </c>
      <c r="D56" s="6">
        <f t="shared" ref="D56:D57" si="3">D14</f>
        <v>3</v>
      </c>
      <c r="E56" s="6">
        <f t="shared" ref="E56:E57" si="4">G14</f>
        <v>2</v>
      </c>
      <c r="F56" s="36">
        <f t="shared" si="1"/>
        <v>2</v>
      </c>
      <c r="G56" s="6">
        <f t="shared" si="1"/>
        <v>0</v>
      </c>
      <c r="H56" s="28">
        <f t="shared" ref="H56:H57" si="5">D56*(E56*F56+G56)</f>
        <v>12</v>
      </c>
      <c r="J56" s="28" t="s">
        <v>6</v>
      </c>
      <c r="K56" s="6">
        <f>D22</f>
        <v>2</v>
      </c>
      <c r="L56" s="6">
        <f t="shared" ref="L56:L57" si="6">G22</f>
        <v>3</v>
      </c>
      <c r="M56" s="19">
        <f t="shared" si="2"/>
        <v>1</v>
      </c>
      <c r="N56" s="8">
        <f t="shared" si="2"/>
        <v>2</v>
      </c>
      <c r="O56">
        <f t="shared" ref="O56:O57" si="7">K56*(L56*M56+N56)</f>
        <v>10</v>
      </c>
    </row>
    <row r="57" spans="2:15" x14ac:dyDescent="0.25">
      <c r="C57" s="29" t="s">
        <v>4</v>
      </c>
      <c r="D57" s="6">
        <f t="shared" si="3"/>
        <v>3</v>
      </c>
      <c r="E57" s="6">
        <f t="shared" si="4"/>
        <v>4</v>
      </c>
      <c r="F57" s="37">
        <f t="shared" si="1"/>
        <v>3</v>
      </c>
      <c r="G57" s="15">
        <f t="shared" si="1"/>
        <v>0</v>
      </c>
      <c r="H57" s="29">
        <f t="shared" si="5"/>
        <v>36</v>
      </c>
      <c r="J57" s="29" t="s">
        <v>7</v>
      </c>
      <c r="K57" s="6">
        <f>D23</f>
        <v>4</v>
      </c>
      <c r="L57" s="6">
        <f t="shared" si="6"/>
        <v>4</v>
      </c>
      <c r="M57" s="19">
        <f t="shared" si="2"/>
        <v>2</v>
      </c>
      <c r="N57" s="8">
        <f t="shared" si="2"/>
        <v>1</v>
      </c>
      <c r="O57">
        <f t="shared" si="7"/>
        <v>36</v>
      </c>
    </row>
    <row r="58" spans="2:15" x14ac:dyDescent="0.25">
      <c r="H58" s="23">
        <f>SUM(H55:H57)</f>
        <v>48</v>
      </c>
      <c r="O58" s="23">
        <f>SUM(O55:O57)</f>
        <v>46</v>
      </c>
    </row>
    <row r="59" spans="2:15" x14ac:dyDescent="0.25">
      <c r="B59" s="30" t="s">
        <v>89</v>
      </c>
      <c r="C59" s="34" t="s">
        <v>81</v>
      </c>
    </row>
    <row r="60" spans="2:15" x14ac:dyDescent="0.25">
      <c r="B60" s="30"/>
      <c r="C60" s="31"/>
    </row>
    <row r="61" spans="2:15" x14ac:dyDescent="0.25">
      <c r="B61" t="s">
        <v>46</v>
      </c>
      <c r="C61" t="s">
        <v>47</v>
      </c>
      <c r="D61" t="s">
        <v>48</v>
      </c>
      <c r="E61" t="s">
        <v>49</v>
      </c>
      <c r="F61" t="s">
        <v>24</v>
      </c>
    </row>
    <row r="62" spans="2:15" x14ac:dyDescent="0.25">
      <c r="B62" s="27" t="s">
        <v>2</v>
      </c>
      <c r="C62">
        <v>1</v>
      </c>
      <c r="D62" s="27" t="s">
        <v>5</v>
      </c>
      <c r="E62">
        <v>1</v>
      </c>
      <c r="F62" s="27">
        <v>0</v>
      </c>
      <c r="H62" s="27">
        <f>F62</f>
        <v>0</v>
      </c>
    </row>
    <row r="63" spans="2:15" x14ac:dyDescent="0.25">
      <c r="B63" s="28" t="s">
        <v>3</v>
      </c>
      <c r="C63">
        <v>1</v>
      </c>
      <c r="D63" s="28" t="s">
        <v>6</v>
      </c>
      <c r="E63">
        <v>1</v>
      </c>
      <c r="F63" s="28">
        <v>2</v>
      </c>
      <c r="H63" s="28">
        <f>SUM(F63:F68)</f>
        <v>12</v>
      </c>
    </row>
    <row r="64" spans="2:15" x14ac:dyDescent="0.25">
      <c r="B64" s="28" t="s">
        <v>3</v>
      </c>
      <c r="C64">
        <v>1</v>
      </c>
      <c r="D64" s="28" t="s">
        <v>6</v>
      </c>
      <c r="E64">
        <v>2</v>
      </c>
      <c r="F64" s="28">
        <v>2</v>
      </c>
    </row>
    <row r="65" spans="2:8" x14ac:dyDescent="0.25">
      <c r="B65" s="28" t="s">
        <v>3</v>
      </c>
      <c r="C65">
        <v>2</v>
      </c>
      <c r="D65" s="28" t="s">
        <v>6</v>
      </c>
      <c r="E65">
        <v>1</v>
      </c>
      <c r="F65" s="28">
        <v>2</v>
      </c>
    </row>
    <row r="66" spans="2:8" x14ac:dyDescent="0.25">
      <c r="B66" s="28" t="s">
        <v>3</v>
      </c>
      <c r="C66">
        <v>2</v>
      </c>
      <c r="D66" s="28" t="s">
        <v>6</v>
      </c>
      <c r="E66">
        <v>2</v>
      </c>
      <c r="F66" s="28">
        <v>2</v>
      </c>
    </row>
    <row r="67" spans="2:8" x14ac:dyDescent="0.25">
      <c r="B67" s="28" t="s">
        <v>3</v>
      </c>
      <c r="C67">
        <v>3</v>
      </c>
      <c r="D67" s="28" t="s">
        <v>6</v>
      </c>
      <c r="E67">
        <v>1</v>
      </c>
      <c r="F67" s="28">
        <v>2</v>
      </c>
    </row>
    <row r="68" spans="2:8" x14ac:dyDescent="0.25">
      <c r="B68" s="28" t="s">
        <v>3</v>
      </c>
      <c r="C68">
        <v>3</v>
      </c>
      <c r="D68" s="28" t="s">
        <v>6</v>
      </c>
      <c r="E68">
        <v>2</v>
      </c>
      <c r="F68" s="28">
        <v>2</v>
      </c>
    </row>
    <row r="69" spans="2:8" x14ac:dyDescent="0.25">
      <c r="B69" s="29" t="s">
        <v>4</v>
      </c>
      <c r="C69">
        <v>1</v>
      </c>
      <c r="D69" s="29" t="s">
        <v>7</v>
      </c>
      <c r="E69">
        <v>1</v>
      </c>
      <c r="F69" s="29">
        <v>2</v>
      </c>
      <c r="H69" s="29">
        <f>SUM(F69:F83)</f>
        <v>36</v>
      </c>
    </row>
    <row r="70" spans="2:8" x14ac:dyDescent="0.25">
      <c r="B70" s="29" t="s">
        <v>4</v>
      </c>
      <c r="C70">
        <v>1</v>
      </c>
      <c r="D70" s="29" t="s">
        <v>7</v>
      </c>
      <c r="E70">
        <v>2</v>
      </c>
      <c r="F70" s="29">
        <v>2</v>
      </c>
    </row>
    <row r="71" spans="2:8" x14ac:dyDescent="0.25">
      <c r="B71" s="29" t="s">
        <v>4</v>
      </c>
      <c r="C71">
        <v>1</v>
      </c>
      <c r="D71" s="29" t="s">
        <v>7</v>
      </c>
      <c r="E71">
        <v>3</v>
      </c>
      <c r="F71" s="29">
        <v>2</v>
      </c>
    </row>
    <row r="72" spans="2:8" x14ac:dyDescent="0.25">
      <c r="B72" s="29" t="s">
        <v>4</v>
      </c>
      <c r="C72">
        <v>1</v>
      </c>
      <c r="D72" s="29" t="s">
        <v>7</v>
      </c>
      <c r="E72">
        <v>4</v>
      </c>
      <c r="F72" s="29">
        <v>2</v>
      </c>
    </row>
    <row r="73" spans="2:8" x14ac:dyDescent="0.25">
      <c r="B73" s="29" t="s">
        <v>4</v>
      </c>
      <c r="C73">
        <v>1</v>
      </c>
      <c r="D73" s="29" t="s">
        <v>7</v>
      </c>
      <c r="E73">
        <v>1</v>
      </c>
      <c r="F73" s="32">
        <v>4</v>
      </c>
    </row>
    <row r="74" spans="2:8" x14ac:dyDescent="0.25">
      <c r="B74" s="29" t="s">
        <v>4</v>
      </c>
      <c r="C74">
        <v>2</v>
      </c>
      <c r="D74" s="29" t="s">
        <v>7</v>
      </c>
      <c r="E74">
        <v>1</v>
      </c>
      <c r="F74" s="29">
        <v>2</v>
      </c>
    </row>
    <row r="75" spans="2:8" x14ac:dyDescent="0.25">
      <c r="B75" s="29" t="s">
        <v>4</v>
      </c>
      <c r="C75">
        <v>2</v>
      </c>
      <c r="D75" s="29" t="s">
        <v>7</v>
      </c>
      <c r="E75">
        <v>2</v>
      </c>
      <c r="F75" s="29">
        <v>2</v>
      </c>
    </row>
    <row r="76" spans="2:8" x14ac:dyDescent="0.25">
      <c r="B76" s="29" t="s">
        <v>4</v>
      </c>
      <c r="C76">
        <v>2</v>
      </c>
      <c r="D76" s="29" t="s">
        <v>7</v>
      </c>
      <c r="E76">
        <v>3</v>
      </c>
      <c r="F76" s="29">
        <v>2</v>
      </c>
    </row>
    <row r="77" spans="2:8" x14ac:dyDescent="0.25">
      <c r="B77" s="29" t="s">
        <v>4</v>
      </c>
      <c r="C77">
        <v>2</v>
      </c>
      <c r="D77" s="29" t="s">
        <v>7</v>
      </c>
      <c r="E77">
        <v>4</v>
      </c>
      <c r="F77" s="29">
        <v>2</v>
      </c>
    </row>
    <row r="78" spans="2:8" x14ac:dyDescent="0.25">
      <c r="B78" s="29" t="s">
        <v>4</v>
      </c>
      <c r="C78">
        <v>2</v>
      </c>
      <c r="D78" s="29" t="s">
        <v>7</v>
      </c>
      <c r="E78">
        <v>1</v>
      </c>
      <c r="F78" s="32">
        <v>4</v>
      </c>
    </row>
    <row r="79" spans="2:8" x14ac:dyDescent="0.25">
      <c r="B79" s="29" t="s">
        <v>4</v>
      </c>
      <c r="C79">
        <v>3</v>
      </c>
      <c r="D79" s="29" t="s">
        <v>7</v>
      </c>
      <c r="E79">
        <v>1</v>
      </c>
      <c r="F79" s="29">
        <v>2</v>
      </c>
    </row>
    <row r="80" spans="2:8" x14ac:dyDescent="0.25">
      <c r="B80" s="29" t="s">
        <v>4</v>
      </c>
      <c r="C80">
        <v>3</v>
      </c>
      <c r="D80" s="29" t="s">
        <v>7</v>
      </c>
      <c r="E80">
        <v>2</v>
      </c>
      <c r="F80" s="29">
        <v>2</v>
      </c>
    </row>
    <row r="81" spans="2:11" x14ac:dyDescent="0.25">
      <c r="B81" s="29" t="s">
        <v>4</v>
      </c>
      <c r="C81">
        <v>3</v>
      </c>
      <c r="D81" s="29" t="s">
        <v>7</v>
      </c>
      <c r="E81">
        <v>3</v>
      </c>
      <c r="F81" s="29">
        <v>2</v>
      </c>
    </row>
    <row r="82" spans="2:11" x14ac:dyDescent="0.25">
      <c r="B82" s="29" t="s">
        <v>4</v>
      </c>
      <c r="C82">
        <v>3</v>
      </c>
      <c r="D82" s="29" t="s">
        <v>7</v>
      </c>
      <c r="E82">
        <v>4</v>
      </c>
      <c r="F82" s="29">
        <v>2</v>
      </c>
    </row>
    <row r="83" spans="2:11" ht="15.75" thickBot="1" x14ac:dyDescent="0.3">
      <c r="B83" s="29" t="s">
        <v>4</v>
      </c>
      <c r="C83">
        <v>3</v>
      </c>
      <c r="D83" s="29" t="s">
        <v>7</v>
      </c>
      <c r="E83">
        <v>2</v>
      </c>
      <c r="F83" s="32">
        <v>4</v>
      </c>
      <c r="H83" s="33"/>
    </row>
    <row r="84" spans="2:11" ht="15.75" thickTop="1" x14ac:dyDescent="0.25">
      <c r="H84" s="23">
        <f>SUM(H62:H83)</f>
        <v>48</v>
      </c>
    </row>
    <row r="86" spans="2:11" s="5" customFormat="1" ht="45" x14ac:dyDescent="0.25">
      <c r="B86" s="39" t="s">
        <v>82</v>
      </c>
      <c r="C86" s="5" t="s">
        <v>83</v>
      </c>
      <c r="D86" s="5" t="s">
        <v>84</v>
      </c>
      <c r="E86" s="5" t="s">
        <v>86</v>
      </c>
      <c r="F86" s="5" t="s">
        <v>87</v>
      </c>
      <c r="G86" s="5" t="s">
        <v>99</v>
      </c>
      <c r="H86" s="5" t="s">
        <v>90</v>
      </c>
      <c r="I86" s="5" t="s">
        <v>91</v>
      </c>
      <c r="J86" s="5" t="s">
        <v>96</v>
      </c>
    </row>
    <row r="87" spans="2:11" x14ac:dyDescent="0.25">
      <c r="B87" s="40" t="s">
        <v>2</v>
      </c>
      <c r="C87" s="60">
        <f>F55</f>
        <v>0</v>
      </c>
      <c r="D87" s="41">
        <f>F62</f>
        <v>0</v>
      </c>
      <c r="E87" s="61">
        <f>E55</f>
        <v>1</v>
      </c>
      <c r="F87" s="41">
        <f>C62</f>
        <v>1</v>
      </c>
      <c r="G87" s="41">
        <f>H55</f>
        <v>0</v>
      </c>
      <c r="H87" s="41">
        <f>F62</f>
        <v>0</v>
      </c>
      <c r="I87" s="61">
        <f>D55</f>
        <v>1</v>
      </c>
      <c r="J87" s="44">
        <f>C62/E87</f>
        <v>1</v>
      </c>
      <c r="K87" s="38"/>
    </row>
    <row r="88" spans="2:11" x14ac:dyDescent="0.25">
      <c r="B88" s="45" t="s">
        <v>3</v>
      </c>
      <c r="C88" s="7">
        <f>F56</f>
        <v>2</v>
      </c>
      <c r="D88">
        <f>F63</f>
        <v>2</v>
      </c>
      <c r="E88" s="6">
        <f>E56</f>
        <v>2</v>
      </c>
      <c r="F88">
        <f>COUNT(C63:C68)/D56</f>
        <v>2</v>
      </c>
      <c r="G88">
        <f>H56</f>
        <v>12</v>
      </c>
      <c r="H88">
        <f>SUM(F63:F68)</f>
        <v>12</v>
      </c>
      <c r="I88" s="6">
        <f>D56</f>
        <v>3</v>
      </c>
      <c r="J88" s="48">
        <f>COUNT(C63:C68)/E88</f>
        <v>3</v>
      </c>
      <c r="K88" s="38"/>
    </row>
    <row r="89" spans="2:11" x14ac:dyDescent="0.25">
      <c r="B89" s="45" t="s">
        <v>4</v>
      </c>
      <c r="C89" s="7">
        <f>F57</f>
        <v>3</v>
      </c>
      <c r="D89">
        <f>F69</f>
        <v>2</v>
      </c>
      <c r="E89" s="6">
        <f>E57</f>
        <v>4</v>
      </c>
      <c r="F89">
        <f>COUNT(C69:C83)/D57</f>
        <v>5</v>
      </c>
      <c r="G89">
        <f>H57</f>
        <v>36</v>
      </c>
      <c r="H89">
        <f>SUM(F69:F83)</f>
        <v>36</v>
      </c>
      <c r="I89" s="6">
        <f>D57</f>
        <v>3</v>
      </c>
      <c r="J89" s="48">
        <f>COUNT(C69:C83)/E89</f>
        <v>3.75</v>
      </c>
      <c r="K89" s="38"/>
    </row>
    <row r="90" spans="2:11" x14ac:dyDescent="0.25">
      <c r="B90" s="45" t="s">
        <v>85</v>
      </c>
      <c r="C90" s="7">
        <f>C89+G57</f>
        <v>3</v>
      </c>
      <c r="D90">
        <f>F73</f>
        <v>4</v>
      </c>
      <c r="E90" s="62"/>
      <c r="G90">
        <f>SUM(G87:G89)</f>
        <v>48</v>
      </c>
      <c r="H90" s="23">
        <f>SUM(H87:H89)</f>
        <v>48</v>
      </c>
      <c r="J90" s="48"/>
    </row>
    <row r="91" spans="2:11" x14ac:dyDescent="0.25">
      <c r="B91" s="54"/>
      <c r="C91" s="55"/>
      <c r="D91" s="55"/>
      <c r="E91" s="55"/>
      <c r="F91" s="55"/>
      <c r="G91" s="55"/>
      <c r="H91" s="55"/>
      <c r="I91" s="55"/>
      <c r="J91" s="58"/>
    </row>
    <row r="92" spans="2:11" s="5" customFormat="1" ht="45" x14ac:dyDescent="0.25">
      <c r="B92" s="63"/>
      <c r="C92" s="64" t="s">
        <v>92</v>
      </c>
      <c r="D92" s="64" t="s">
        <v>84</v>
      </c>
      <c r="E92" s="64" t="s">
        <v>93</v>
      </c>
      <c r="F92" s="64" t="s">
        <v>94</v>
      </c>
      <c r="G92" s="64" t="s">
        <v>100</v>
      </c>
      <c r="H92" s="64" t="s">
        <v>95</v>
      </c>
      <c r="I92" s="64" t="s">
        <v>91</v>
      </c>
      <c r="J92" s="65" t="s">
        <v>97</v>
      </c>
    </row>
    <row r="93" spans="2:11" x14ac:dyDescent="0.25">
      <c r="B93" s="45" t="s">
        <v>5</v>
      </c>
      <c r="C93" s="7">
        <f>I21</f>
        <v>0</v>
      </c>
      <c r="D93">
        <f>F62</f>
        <v>0</v>
      </c>
      <c r="E93" s="6">
        <f>G21</f>
        <v>1</v>
      </c>
      <c r="F93">
        <f>E62</f>
        <v>1</v>
      </c>
      <c r="G93">
        <f>C93*E93*I93</f>
        <v>0</v>
      </c>
      <c r="H93">
        <f>F62</f>
        <v>0</v>
      </c>
      <c r="I93" s="6">
        <f>D21</f>
        <v>1</v>
      </c>
      <c r="J93" s="48">
        <v>1</v>
      </c>
    </row>
    <row r="94" spans="2:11" x14ac:dyDescent="0.25">
      <c r="B94" s="45" t="s">
        <v>6</v>
      </c>
      <c r="C94" s="66">
        <f t="shared" ref="C94:C95" si="8">I22</f>
        <v>1</v>
      </c>
      <c r="D94" s="67">
        <f>F63</f>
        <v>2</v>
      </c>
      <c r="E94" s="68">
        <f>G22</f>
        <v>3</v>
      </c>
      <c r="F94" s="67">
        <f>2</f>
        <v>2</v>
      </c>
      <c r="G94" s="12">
        <f>(C94*E94+J22)*I94</f>
        <v>10</v>
      </c>
      <c r="H94" s="67">
        <f>SUM(F63:F68)</f>
        <v>12</v>
      </c>
      <c r="I94" s="6">
        <f t="shared" ref="I94:I95" si="9">D22</f>
        <v>2</v>
      </c>
      <c r="J94" s="48">
        <v>2</v>
      </c>
    </row>
    <row r="95" spans="2:11" x14ac:dyDescent="0.25">
      <c r="B95" s="45" t="s">
        <v>7</v>
      </c>
      <c r="C95" s="7">
        <f t="shared" si="8"/>
        <v>2</v>
      </c>
      <c r="D95">
        <f>F69</f>
        <v>2</v>
      </c>
      <c r="E95" s="6">
        <f>G23</f>
        <v>4</v>
      </c>
      <c r="F95">
        <v>4</v>
      </c>
      <c r="G95">
        <f>(C95*E95+J23)*I95</f>
        <v>36</v>
      </c>
      <c r="H95">
        <f>SUM(F69:F83)</f>
        <v>36</v>
      </c>
      <c r="I95" s="6">
        <f t="shared" si="9"/>
        <v>4</v>
      </c>
      <c r="J95" s="48">
        <v>4</v>
      </c>
    </row>
    <row r="96" spans="2:11" x14ac:dyDescent="0.25">
      <c r="B96" s="45"/>
      <c r="C96" s="7"/>
      <c r="G96" s="67">
        <f>SUM(G93:G95)</f>
        <v>46</v>
      </c>
      <c r="H96" s="23">
        <f>SUM(H93:H95)</f>
        <v>48</v>
      </c>
      <c r="J96" s="48"/>
    </row>
    <row r="97" spans="2:10" x14ac:dyDescent="0.25">
      <c r="B97" s="54"/>
      <c r="C97" s="69"/>
      <c r="D97" s="55"/>
      <c r="E97" s="55"/>
      <c r="F97" s="55"/>
      <c r="G97" s="70" t="s">
        <v>101</v>
      </c>
      <c r="H97" s="55"/>
      <c r="I97" s="55"/>
      <c r="J97" s="58"/>
    </row>
    <row r="98" spans="2:10" x14ac:dyDescent="0.25">
      <c r="B98" s="71" t="s">
        <v>102</v>
      </c>
    </row>
    <row r="99" spans="2:10" x14ac:dyDescent="0.25">
      <c r="E99" s="23" t="s">
        <v>103</v>
      </c>
    </row>
    <row r="100" spans="2:10" x14ac:dyDescent="0.25">
      <c r="E100" t="s">
        <v>104</v>
      </c>
    </row>
    <row r="101" spans="2:10" x14ac:dyDescent="0.25">
      <c r="E101" t="s">
        <v>105</v>
      </c>
    </row>
    <row r="102" spans="2:10" x14ac:dyDescent="0.25">
      <c r="E102" t="s">
        <v>106</v>
      </c>
    </row>
    <row r="103" spans="2:10" x14ac:dyDescent="0.25">
      <c r="E103" t="s">
        <v>114</v>
      </c>
    </row>
    <row r="104" spans="2:10" x14ac:dyDescent="0.25">
      <c r="E104" t="s">
        <v>107</v>
      </c>
    </row>
    <row r="105" spans="2:10" x14ac:dyDescent="0.25">
      <c r="E105" t="s">
        <v>113</v>
      </c>
    </row>
    <row r="106" spans="2:10" x14ac:dyDescent="0.25">
      <c r="E106" t="s">
        <v>108</v>
      </c>
    </row>
    <row r="107" spans="2:10" x14ac:dyDescent="0.25">
      <c r="E107" t="s">
        <v>115</v>
      </c>
    </row>
    <row r="108" spans="2:10" x14ac:dyDescent="0.25">
      <c r="E108" t="s">
        <v>109</v>
      </c>
    </row>
    <row r="109" spans="2:10" x14ac:dyDescent="0.25">
      <c r="E109" t="s">
        <v>110</v>
      </c>
    </row>
    <row r="110" spans="2:10" x14ac:dyDescent="0.25">
      <c r="E110" t="s">
        <v>111</v>
      </c>
    </row>
    <row r="111" spans="2:10" x14ac:dyDescent="0.25">
      <c r="E111" t="s">
        <v>112</v>
      </c>
    </row>
    <row r="113" spans="5:5" x14ac:dyDescent="0.25">
      <c r="E113" t="s">
        <v>116</v>
      </c>
    </row>
    <row r="114" spans="5:5" x14ac:dyDescent="0.25">
      <c r="E114" t="s">
        <v>117</v>
      </c>
    </row>
    <row r="115" spans="5:5" x14ac:dyDescent="0.25">
      <c r="E115" t="s">
        <v>118</v>
      </c>
    </row>
    <row r="116" spans="5:5" x14ac:dyDescent="0.25">
      <c r="E116" t="s">
        <v>119</v>
      </c>
    </row>
    <row r="117" spans="5:5" x14ac:dyDescent="0.25">
      <c r="E117" t="s">
        <v>120</v>
      </c>
    </row>
    <row r="118" spans="5:5" x14ac:dyDescent="0.25">
      <c r="E118" t="s">
        <v>121</v>
      </c>
    </row>
    <row r="119" spans="5:5" x14ac:dyDescent="0.25">
      <c r="E119" t="s">
        <v>112</v>
      </c>
    </row>
    <row r="120" spans="5:5" x14ac:dyDescent="0.25">
      <c r="E120" t="s">
        <v>122</v>
      </c>
    </row>
    <row r="121" spans="5:5" x14ac:dyDescent="0.25">
      <c r="E121" t="s">
        <v>118</v>
      </c>
    </row>
    <row r="122" spans="5:5" x14ac:dyDescent="0.25">
      <c r="E122" t="s">
        <v>123</v>
      </c>
    </row>
    <row r="123" spans="5:5" x14ac:dyDescent="0.25">
      <c r="E123" t="s">
        <v>127</v>
      </c>
    </row>
    <row r="124" spans="5:5" x14ac:dyDescent="0.25">
      <c r="E124" t="s">
        <v>124</v>
      </c>
    </row>
    <row r="125" spans="5:5" x14ac:dyDescent="0.25">
      <c r="E125" t="s">
        <v>125</v>
      </c>
    </row>
    <row r="126" spans="5:5" x14ac:dyDescent="0.25">
      <c r="E126" t="s">
        <v>126</v>
      </c>
    </row>
  </sheetData>
  <hyperlinks>
    <hyperlink ref="C53" r:id="rId1" xr:uid="{1A2FFCCA-F09C-4590-9CC2-2A0C3F8BABFA}"/>
    <hyperlink ref="C59" r:id="rId2" xr:uid="{E8CC959B-ACE4-4113-A8C5-61DD77F6A07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2024-11-15T11:13:10Z</dcterms:modified>
</cp:coreProperties>
</file>