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tables/table11.xml" ContentType="application/vnd.openxmlformats-officedocument.spreadsheetml.table+xml"/>
  <Override PartName="/xl/comments10.xml" ContentType="application/vnd.openxmlformats-officedocument.spreadsheetml.comments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comments14.xml" ContentType="application/vnd.openxmlformats-officedocument.spreadsheetml.comments+xml"/>
  <Override PartName="/xl/tables/table16.xml" ContentType="application/vnd.openxmlformats-officedocument.spreadsheetml.table+xml"/>
  <Override PartName="/xl/comments15.xml" ContentType="application/vnd.openxmlformats-officedocument.spreadsheetml.comments+xml"/>
  <Override PartName="/xl/tables/table17.xml" ContentType="application/vnd.openxmlformats-officedocument.spreadsheetml.table+xml"/>
  <Override PartName="/xl/comments16.xml" ContentType="application/vnd.openxmlformats-officedocument.spreadsheetml.comments+xml"/>
  <Override PartName="/xl/tables/table18.xml" ContentType="application/vnd.openxmlformats-officedocument.spreadsheetml.table+xml"/>
  <Override PartName="/xl/comments17.xml" ContentType="application/vnd.openxmlformats-officedocument.spreadsheetml.comments+xml"/>
  <Override PartName="/xl/tables/table19.xml" ContentType="application/vnd.openxmlformats-officedocument.spreadsheetml.table+xml"/>
  <Override PartName="/xl/comments18.xml" ContentType="application/vnd.openxmlformats-officedocument.spreadsheetml.comments+xml"/>
  <Override PartName="/xl/tables/table20.xml" ContentType="application/vnd.openxmlformats-officedocument.spreadsheetml.table+xml"/>
  <Override PartName="/xl/comments19.xml" ContentType="application/vnd.openxmlformats-officedocument.spreadsheetml.comments+xml"/>
  <Override PartName="/xl/tables/table21.xml" ContentType="application/vnd.openxmlformats-officedocument.spreadsheetml.table+xml"/>
  <Override PartName="/xl/comments20.xml" ContentType="application/vnd.openxmlformats-officedocument.spreadsheetml.comments+xml"/>
  <Override PartName="/xl/tables/table22.xml" ContentType="application/vnd.openxmlformats-officedocument.spreadsheetml.table+xml"/>
  <Override PartName="/xl/comments21.xml" ContentType="application/vnd.openxmlformats-officedocument.spreadsheetml.comments+xml"/>
  <Override PartName="/xl/tables/table23.xml" ContentType="application/vnd.openxmlformats-officedocument.spreadsheetml.table+xml"/>
  <Override PartName="/xl/comments22.xml" ContentType="application/vnd.openxmlformats-officedocument.spreadsheetml.comments+xml"/>
  <Override PartName="/xl/tables/table24.xml" ContentType="application/vnd.openxmlformats-officedocument.spreadsheetml.table+xml"/>
  <Override PartName="/xl/comments23.xml" ContentType="application/vnd.openxmlformats-officedocument.spreadsheetml.comments+xml"/>
  <Override PartName="/xl/tables/table25.xml" ContentType="application/vnd.openxmlformats-officedocument.spreadsheetml.table+xml"/>
  <Override PartName="/xl/comments24.xml" ContentType="application/vnd.openxmlformats-officedocument.spreadsheetml.comments+xml"/>
  <Override PartName="/xl/tables/table26.xml" ContentType="application/vnd.openxmlformats-officedocument.spreadsheetml.table+xml"/>
  <Override PartName="/xl/comments25.xml" ContentType="application/vnd.openxmlformats-officedocument.spreadsheetml.comments+xml"/>
  <Override PartName="/xl/tables/table27.xml" ContentType="application/vnd.openxmlformats-officedocument.spreadsheetml.table+xml"/>
  <Override PartName="/xl/comments26.xml" ContentType="application/vnd.openxmlformats-officedocument.spreadsheetml.comments+xml"/>
  <Override PartName="/xl/tables/table28.xml" ContentType="application/vnd.openxmlformats-officedocument.spreadsheetml.table+xml"/>
  <Override PartName="/xl/comments27.xml" ContentType="application/vnd.openxmlformats-officedocument.spreadsheetml.comments+xml"/>
  <Override PartName="/xl/tables/table29.xml" ContentType="application/vnd.openxmlformats-officedocument.spreadsheetml.table+xml"/>
  <Override PartName="/xl/comments28.xml" ContentType="application/vnd.openxmlformats-officedocument.spreadsheetml.comments+xml"/>
  <Override PartName="/xl/tables/table30.xml" ContentType="application/vnd.openxmlformats-officedocument.spreadsheetml.table+xml"/>
  <Override PartName="/xl/comments29.xml" ContentType="application/vnd.openxmlformats-officedocument.spreadsheetml.comments+xml"/>
  <Override PartName="/xl/tables/table31.xml" ContentType="application/vnd.openxmlformats-officedocument.spreadsheetml.table+xml"/>
  <Override PartName="/xl/comments30.xml" ContentType="application/vnd.openxmlformats-officedocument.spreadsheetml.comments+xml"/>
  <Override PartName="/xl/tables/table32.xml" ContentType="application/vnd.openxmlformats-officedocument.spreadsheetml.table+xml"/>
  <Override PartName="/xl/comments31.xml" ContentType="application/vnd.openxmlformats-officedocument.spreadsheetml.comments+xml"/>
  <Override PartName="/xl/tables/table33.xml" ContentType="application/vnd.openxmlformats-officedocument.spreadsheetml.table+xml"/>
  <Override PartName="/xl/comments3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murshudov\Downloads\"/>
    </mc:Choice>
  </mc:AlternateContent>
  <xr:revisionPtr revIDLastSave="0" documentId="13_ncr:1_{D8AFF5C4-94AA-498D-A990-D460A3FB1ACA}" xr6:coauthVersionLast="47" xr6:coauthVersionMax="47" xr10:uidLastSave="{00000000-0000-0000-0000-000000000000}"/>
  <bookViews>
    <workbookView xWindow="-120" yWindow="-16320" windowWidth="29040" windowHeight="15720" tabRatio="796" xr2:uid="{6F746299-888B-4694-BF17-EF8ADDF65C1D}"/>
  </bookViews>
  <sheets>
    <sheet name="Totals" sheetId="49" r:id="rId1"/>
    <sheet name="TOTALS-P" sheetId="103" state="hidden" r:id="rId2"/>
    <sheet name="Template" sheetId="73" r:id="rId3"/>
    <sheet name="Process01" sheetId="5" r:id="rId4"/>
    <sheet name="Process02" sheetId="67" r:id="rId5"/>
    <sheet name="Process03" sheetId="74" r:id="rId6"/>
    <sheet name="Process04" sheetId="76" r:id="rId7"/>
    <sheet name="Process05" sheetId="77" r:id="rId8"/>
    <sheet name="Process06" sheetId="78" r:id="rId9"/>
    <sheet name="Process07" sheetId="79" r:id="rId10"/>
    <sheet name="Process08" sheetId="80" r:id="rId11"/>
    <sheet name="Process09" sheetId="81" r:id="rId12"/>
    <sheet name="Process 10" sheetId="82" r:id="rId13"/>
    <sheet name="Process 11" sheetId="83" r:id="rId14"/>
    <sheet name="Process 12" sheetId="84" r:id="rId15"/>
    <sheet name="Process 13" sheetId="85" r:id="rId16"/>
    <sheet name="Process 14" sheetId="86" r:id="rId17"/>
    <sheet name="Process 15" sheetId="87" r:id="rId18"/>
    <sheet name="Process 16" sheetId="88" r:id="rId19"/>
    <sheet name="Process 17" sheetId="89" r:id="rId20"/>
    <sheet name="Process 18" sheetId="90" r:id="rId21"/>
    <sheet name="Process 19" sheetId="91" r:id="rId22"/>
    <sheet name="Process 20" sheetId="92" r:id="rId23"/>
    <sheet name="Process 21" sheetId="93" r:id="rId24"/>
    <sheet name="Process 22" sheetId="94" r:id="rId25"/>
    <sheet name="Process 23" sheetId="95" r:id="rId26"/>
    <sheet name="Process 24" sheetId="96" r:id="rId27"/>
    <sheet name="Process 25" sheetId="97" r:id="rId28"/>
    <sheet name="Process 26" sheetId="98" r:id="rId29"/>
    <sheet name="Process 27" sheetId="99" r:id="rId30"/>
    <sheet name="Process 28" sheetId="100" r:id="rId31"/>
    <sheet name="Process 29" sheetId="101" r:id="rId32"/>
    <sheet name="Process 30" sheetId="102" r:id="rId33"/>
  </sheets>
  <definedNames>
    <definedName name="ExternalData_1" localSheetId="1" hidden="1">'TOTALS-P'!$A$1:$B$34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49" l="1"/>
  <c r="W8" i="49"/>
  <c r="W7" i="49"/>
  <c r="W6" i="49"/>
  <c r="W4" i="49"/>
  <c r="W3" i="49"/>
  <c r="W2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3" i="49"/>
  <c r="T34" i="49"/>
  <c r="D5" i="49" l="1"/>
  <c r="C39" i="67"/>
  <c r="C45" i="67"/>
  <c r="C33" i="67"/>
  <c r="C32" i="67"/>
  <c r="C26" i="67"/>
  <c r="C16" i="67"/>
  <c r="C57" i="74"/>
  <c r="C51" i="74"/>
  <c r="C45" i="74"/>
  <c r="C39" i="74"/>
  <c r="C33" i="74"/>
  <c r="C32" i="74"/>
  <c r="C26" i="74"/>
  <c r="C16" i="74"/>
  <c r="D34" i="49" l="1"/>
  <c r="D8" i="49" l="1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D10" i="49"/>
  <c r="D9" i="49"/>
  <c r="D6" i="49"/>
  <c r="N63" i="102"/>
  <c r="M63" i="102"/>
  <c r="L63" i="102"/>
  <c r="K63" i="102"/>
  <c r="J63" i="102"/>
  <c r="I63" i="102"/>
  <c r="H63" i="102"/>
  <c r="G63" i="102"/>
  <c r="F63" i="102"/>
  <c r="E63" i="102"/>
  <c r="D63" i="102"/>
  <c r="C63" i="102"/>
  <c r="N57" i="102"/>
  <c r="M57" i="102"/>
  <c r="L57" i="102"/>
  <c r="K57" i="102"/>
  <c r="J57" i="102"/>
  <c r="I57" i="102"/>
  <c r="H57" i="102"/>
  <c r="G57" i="102"/>
  <c r="F57" i="102"/>
  <c r="E57" i="102"/>
  <c r="D57" i="102"/>
  <c r="C57" i="102"/>
  <c r="N51" i="102"/>
  <c r="M51" i="102"/>
  <c r="L51" i="102"/>
  <c r="K51" i="102"/>
  <c r="J51" i="102"/>
  <c r="I51" i="102"/>
  <c r="H51" i="102"/>
  <c r="G51" i="102"/>
  <c r="F51" i="102"/>
  <c r="E51" i="102"/>
  <c r="D51" i="102"/>
  <c r="C51" i="102"/>
  <c r="N45" i="102"/>
  <c r="M45" i="102"/>
  <c r="L45" i="102"/>
  <c r="K45" i="102"/>
  <c r="J45" i="102"/>
  <c r="I45" i="102"/>
  <c r="H45" i="102"/>
  <c r="G45" i="102"/>
  <c r="F45" i="102"/>
  <c r="E45" i="102"/>
  <c r="D45" i="102"/>
  <c r="C45" i="102"/>
  <c r="N39" i="102"/>
  <c r="M39" i="102"/>
  <c r="L39" i="102"/>
  <c r="K39" i="102"/>
  <c r="J39" i="102"/>
  <c r="I39" i="102"/>
  <c r="H39" i="102"/>
  <c r="G39" i="102"/>
  <c r="F39" i="102"/>
  <c r="E39" i="102"/>
  <c r="D39" i="102"/>
  <c r="C39" i="102"/>
  <c r="N33" i="102"/>
  <c r="M33" i="102"/>
  <c r="L33" i="102"/>
  <c r="K33" i="102"/>
  <c r="J33" i="102"/>
  <c r="I33" i="102"/>
  <c r="H33" i="102"/>
  <c r="G33" i="102"/>
  <c r="F33" i="102"/>
  <c r="E33" i="102"/>
  <c r="D33" i="102"/>
  <c r="C33" i="102"/>
  <c r="N32" i="102"/>
  <c r="M32" i="102"/>
  <c r="L32" i="102"/>
  <c r="K32" i="102"/>
  <c r="J32" i="102"/>
  <c r="I32" i="102"/>
  <c r="H32" i="102"/>
  <c r="G32" i="102"/>
  <c r="F32" i="102"/>
  <c r="E32" i="102"/>
  <c r="D32" i="102"/>
  <c r="C32" i="102"/>
  <c r="N26" i="102"/>
  <c r="M26" i="102"/>
  <c r="L26" i="102"/>
  <c r="K26" i="102"/>
  <c r="J26" i="102"/>
  <c r="I26" i="102"/>
  <c r="H26" i="102"/>
  <c r="G26" i="102"/>
  <c r="F26" i="102"/>
  <c r="E26" i="102"/>
  <c r="D26" i="102"/>
  <c r="C26" i="102"/>
  <c r="N16" i="102"/>
  <c r="M16" i="102"/>
  <c r="L16" i="102"/>
  <c r="K16" i="102"/>
  <c r="J16" i="102"/>
  <c r="I16" i="102"/>
  <c r="H16" i="102"/>
  <c r="G16" i="102"/>
  <c r="F16" i="102"/>
  <c r="E16" i="102"/>
  <c r="D16" i="102"/>
  <c r="C16" i="102"/>
  <c r="N63" i="101"/>
  <c r="M63" i="101"/>
  <c r="L63" i="101"/>
  <c r="K63" i="101"/>
  <c r="J63" i="101"/>
  <c r="I63" i="101"/>
  <c r="H63" i="101"/>
  <c r="G63" i="101"/>
  <c r="F63" i="101"/>
  <c r="E63" i="101"/>
  <c r="D63" i="101"/>
  <c r="C63" i="101"/>
  <c r="N57" i="101"/>
  <c r="M57" i="101"/>
  <c r="L57" i="101"/>
  <c r="K57" i="101"/>
  <c r="J57" i="101"/>
  <c r="I57" i="101"/>
  <c r="H57" i="101"/>
  <c r="G57" i="101"/>
  <c r="F57" i="101"/>
  <c r="E57" i="101"/>
  <c r="D57" i="101"/>
  <c r="C57" i="101"/>
  <c r="N51" i="101"/>
  <c r="M51" i="101"/>
  <c r="L51" i="101"/>
  <c r="K51" i="101"/>
  <c r="J51" i="101"/>
  <c r="I51" i="101"/>
  <c r="H51" i="101"/>
  <c r="G51" i="101"/>
  <c r="F51" i="101"/>
  <c r="E51" i="101"/>
  <c r="D51" i="101"/>
  <c r="C51" i="101"/>
  <c r="N45" i="101"/>
  <c r="M45" i="101"/>
  <c r="L45" i="101"/>
  <c r="K45" i="101"/>
  <c r="J45" i="101"/>
  <c r="I45" i="101"/>
  <c r="H45" i="101"/>
  <c r="G45" i="101"/>
  <c r="F45" i="101"/>
  <c r="E45" i="101"/>
  <c r="D45" i="101"/>
  <c r="C45" i="101"/>
  <c r="N39" i="101"/>
  <c r="M39" i="101"/>
  <c r="L39" i="101"/>
  <c r="K39" i="101"/>
  <c r="J39" i="101"/>
  <c r="I39" i="101"/>
  <c r="H39" i="101"/>
  <c r="G39" i="101"/>
  <c r="F39" i="101"/>
  <c r="E39" i="101"/>
  <c r="D39" i="101"/>
  <c r="C39" i="101"/>
  <c r="N33" i="101"/>
  <c r="M33" i="101"/>
  <c r="L33" i="101"/>
  <c r="K33" i="101"/>
  <c r="J33" i="101"/>
  <c r="I33" i="101"/>
  <c r="H33" i="101"/>
  <c r="G33" i="101"/>
  <c r="F33" i="101"/>
  <c r="E33" i="101"/>
  <c r="D33" i="101"/>
  <c r="C33" i="101"/>
  <c r="N32" i="101"/>
  <c r="M32" i="101"/>
  <c r="L32" i="101"/>
  <c r="K32" i="101"/>
  <c r="J32" i="101"/>
  <c r="I32" i="101"/>
  <c r="H32" i="101"/>
  <c r="G32" i="101"/>
  <c r="F32" i="101"/>
  <c r="E32" i="101"/>
  <c r="D32" i="101"/>
  <c r="C32" i="101"/>
  <c r="N26" i="101"/>
  <c r="M26" i="101"/>
  <c r="L26" i="101"/>
  <c r="K26" i="101"/>
  <c r="J26" i="101"/>
  <c r="I26" i="101"/>
  <c r="H26" i="101"/>
  <c r="G26" i="101"/>
  <c r="F26" i="101"/>
  <c r="E26" i="101"/>
  <c r="D26" i="101"/>
  <c r="C26" i="101"/>
  <c r="N16" i="101"/>
  <c r="M16" i="101"/>
  <c r="L16" i="101"/>
  <c r="K16" i="101"/>
  <c r="J16" i="101"/>
  <c r="I16" i="101"/>
  <c r="H16" i="101"/>
  <c r="G16" i="101"/>
  <c r="F16" i="101"/>
  <c r="E16" i="101"/>
  <c r="D16" i="101"/>
  <c r="C16" i="101"/>
  <c r="N63" i="100"/>
  <c r="M63" i="100"/>
  <c r="L63" i="100"/>
  <c r="K63" i="100"/>
  <c r="J63" i="100"/>
  <c r="I63" i="100"/>
  <c r="H63" i="100"/>
  <c r="G63" i="100"/>
  <c r="F63" i="100"/>
  <c r="E63" i="100"/>
  <c r="D63" i="100"/>
  <c r="C63" i="100"/>
  <c r="N57" i="100"/>
  <c r="M57" i="100"/>
  <c r="L57" i="100"/>
  <c r="K57" i="100"/>
  <c r="J57" i="100"/>
  <c r="I57" i="100"/>
  <c r="H57" i="100"/>
  <c r="G57" i="100"/>
  <c r="F57" i="100"/>
  <c r="E57" i="100"/>
  <c r="D57" i="100"/>
  <c r="C57" i="100"/>
  <c r="N51" i="100"/>
  <c r="M51" i="100"/>
  <c r="L51" i="100"/>
  <c r="K51" i="100"/>
  <c r="J51" i="100"/>
  <c r="I51" i="100"/>
  <c r="H51" i="100"/>
  <c r="G51" i="100"/>
  <c r="F51" i="100"/>
  <c r="E51" i="100"/>
  <c r="D51" i="100"/>
  <c r="C51" i="100"/>
  <c r="N45" i="100"/>
  <c r="M45" i="100"/>
  <c r="L45" i="100"/>
  <c r="K45" i="100"/>
  <c r="J45" i="100"/>
  <c r="I45" i="100"/>
  <c r="H45" i="100"/>
  <c r="G45" i="100"/>
  <c r="F45" i="100"/>
  <c r="E45" i="100"/>
  <c r="D45" i="100"/>
  <c r="C45" i="100"/>
  <c r="N39" i="100"/>
  <c r="M39" i="100"/>
  <c r="L39" i="100"/>
  <c r="K39" i="100"/>
  <c r="J39" i="100"/>
  <c r="I39" i="100"/>
  <c r="H39" i="100"/>
  <c r="G39" i="100"/>
  <c r="F39" i="100"/>
  <c r="E39" i="100"/>
  <c r="D39" i="100"/>
  <c r="C39" i="100"/>
  <c r="N33" i="100"/>
  <c r="M33" i="100"/>
  <c r="L33" i="100"/>
  <c r="K33" i="100"/>
  <c r="J33" i="100"/>
  <c r="I33" i="100"/>
  <c r="H33" i="100"/>
  <c r="G33" i="100"/>
  <c r="F33" i="100"/>
  <c r="E33" i="100"/>
  <c r="D33" i="100"/>
  <c r="C33" i="100"/>
  <c r="N32" i="100"/>
  <c r="M32" i="100"/>
  <c r="L32" i="100"/>
  <c r="K32" i="100"/>
  <c r="J32" i="100"/>
  <c r="I32" i="100"/>
  <c r="H32" i="100"/>
  <c r="G32" i="100"/>
  <c r="F32" i="100"/>
  <c r="E32" i="100"/>
  <c r="D32" i="100"/>
  <c r="C32" i="100"/>
  <c r="N26" i="100"/>
  <c r="M26" i="100"/>
  <c r="L26" i="100"/>
  <c r="K26" i="100"/>
  <c r="J26" i="100"/>
  <c r="I26" i="100"/>
  <c r="H26" i="100"/>
  <c r="G26" i="100"/>
  <c r="F26" i="100"/>
  <c r="E26" i="100"/>
  <c r="D26" i="100"/>
  <c r="C26" i="100"/>
  <c r="N16" i="100"/>
  <c r="M16" i="100"/>
  <c r="L16" i="100"/>
  <c r="K16" i="100"/>
  <c r="J16" i="100"/>
  <c r="I16" i="100"/>
  <c r="H16" i="100"/>
  <c r="G16" i="100"/>
  <c r="F16" i="100"/>
  <c r="E16" i="100"/>
  <c r="D16" i="100"/>
  <c r="C16" i="100"/>
  <c r="N63" i="99"/>
  <c r="M63" i="99"/>
  <c r="L63" i="99"/>
  <c r="K63" i="99"/>
  <c r="J63" i="99"/>
  <c r="I63" i="99"/>
  <c r="H63" i="99"/>
  <c r="G63" i="99"/>
  <c r="F63" i="99"/>
  <c r="E63" i="99"/>
  <c r="D63" i="99"/>
  <c r="C63" i="99"/>
  <c r="N57" i="99"/>
  <c r="M57" i="99"/>
  <c r="L57" i="99"/>
  <c r="K57" i="99"/>
  <c r="J57" i="99"/>
  <c r="I57" i="99"/>
  <c r="H57" i="99"/>
  <c r="G57" i="99"/>
  <c r="F57" i="99"/>
  <c r="E57" i="99"/>
  <c r="D57" i="99"/>
  <c r="C57" i="99"/>
  <c r="N51" i="99"/>
  <c r="M51" i="99"/>
  <c r="L51" i="99"/>
  <c r="K51" i="99"/>
  <c r="J51" i="99"/>
  <c r="I51" i="99"/>
  <c r="H51" i="99"/>
  <c r="G51" i="99"/>
  <c r="F51" i="99"/>
  <c r="E51" i="99"/>
  <c r="D51" i="99"/>
  <c r="C51" i="99"/>
  <c r="N45" i="99"/>
  <c r="M45" i="99"/>
  <c r="L45" i="99"/>
  <c r="K45" i="99"/>
  <c r="J45" i="99"/>
  <c r="I45" i="99"/>
  <c r="H45" i="99"/>
  <c r="G45" i="99"/>
  <c r="F45" i="99"/>
  <c r="E45" i="99"/>
  <c r="D45" i="99"/>
  <c r="C45" i="99"/>
  <c r="N39" i="99"/>
  <c r="M39" i="99"/>
  <c r="L39" i="99"/>
  <c r="K39" i="99"/>
  <c r="J39" i="99"/>
  <c r="I39" i="99"/>
  <c r="H39" i="99"/>
  <c r="G39" i="99"/>
  <c r="F39" i="99"/>
  <c r="E39" i="99"/>
  <c r="D39" i="99"/>
  <c r="C39" i="99"/>
  <c r="N33" i="99"/>
  <c r="M33" i="99"/>
  <c r="L33" i="99"/>
  <c r="K33" i="99"/>
  <c r="J33" i="99"/>
  <c r="I33" i="99"/>
  <c r="H33" i="99"/>
  <c r="G33" i="99"/>
  <c r="F33" i="99"/>
  <c r="E33" i="99"/>
  <c r="D33" i="99"/>
  <c r="C33" i="99"/>
  <c r="N32" i="99"/>
  <c r="M32" i="99"/>
  <c r="L32" i="99"/>
  <c r="K32" i="99"/>
  <c r="J32" i="99"/>
  <c r="I32" i="99"/>
  <c r="H32" i="99"/>
  <c r="G32" i="99"/>
  <c r="F32" i="99"/>
  <c r="E32" i="99"/>
  <c r="D32" i="99"/>
  <c r="C32" i="99"/>
  <c r="N26" i="99"/>
  <c r="M26" i="99"/>
  <c r="L26" i="99"/>
  <c r="K26" i="99"/>
  <c r="J26" i="99"/>
  <c r="I26" i="99"/>
  <c r="H26" i="99"/>
  <c r="G26" i="99"/>
  <c r="F26" i="99"/>
  <c r="E26" i="99"/>
  <c r="D26" i="99"/>
  <c r="C26" i="99"/>
  <c r="N16" i="99"/>
  <c r="M16" i="99"/>
  <c r="L16" i="99"/>
  <c r="K16" i="99"/>
  <c r="J16" i="99"/>
  <c r="I16" i="99"/>
  <c r="H16" i="99"/>
  <c r="G16" i="99"/>
  <c r="F16" i="99"/>
  <c r="E16" i="99"/>
  <c r="D16" i="99"/>
  <c r="C16" i="99"/>
  <c r="N63" i="98"/>
  <c r="M63" i="98"/>
  <c r="L63" i="98"/>
  <c r="K63" i="98"/>
  <c r="J63" i="98"/>
  <c r="I63" i="98"/>
  <c r="H63" i="98"/>
  <c r="G63" i="98"/>
  <c r="F63" i="98"/>
  <c r="E63" i="98"/>
  <c r="D63" i="98"/>
  <c r="C63" i="98"/>
  <c r="N57" i="98"/>
  <c r="M57" i="98"/>
  <c r="L57" i="98"/>
  <c r="K57" i="98"/>
  <c r="J57" i="98"/>
  <c r="I57" i="98"/>
  <c r="H57" i="98"/>
  <c r="G57" i="98"/>
  <c r="F57" i="98"/>
  <c r="E57" i="98"/>
  <c r="D57" i="98"/>
  <c r="C57" i="98"/>
  <c r="N51" i="98"/>
  <c r="M51" i="98"/>
  <c r="L51" i="98"/>
  <c r="K51" i="98"/>
  <c r="J51" i="98"/>
  <c r="I51" i="98"/>
  <c r="H51" i="98"/>
  <c r="G51" i="98"/>
  <c r="F51" i="98"/>
  <c r="E51" i="98"/>
  <c r="D51" i="98"/>
  <c r="C51" i="98"/>
  <c r="N45" i="98"/>
  <c r="M45" i="98"/>
  <c r="L45" i="98"/>
  <c r="K45" i="98"/>
  <c r="J45" i="98"/>
  <c r="I45" i="98"/>
  <c r="H45" i="98"/>
  <c r="G45" i="98"/>
  <c r="F45" i="98"/>
  <c r="E45" i="98"/>
  <c r="D45" i="98"/>
  <c r="C45" i="98"/>
  <c r="N39" i="98"/>
  <c r="M39" i="98"/>
  <c r="L39" i="98"/>
  <c r="K39" i="98"/>
  <c r="J39" i="98"/>
  <c r="I39" i="98"/>
  <c r="H39" i="98"/>
  <c r="G39" i="98"/>
  <c r="F39" i="98"/>
  <c r="E39" i="98"/>
  <c r="D39" i="98"/>
  <c r="C39" i="98"/>
  <c r="N33" i="98"/>
  <c r="M33" i="98"/>
  <c r="L33" i="98"/>
  <c r="K33" i="98"/>
  <c r="J33" i="98"/>
  <c r="I33" i="98"/>
  <c r="H33" i="98"/>
  <c r="G33" i="98"/>
  <c r="F33" i="98"/>
  <c r="E33" i="98"/>
  <c r="D33" i="98"/>
  <c r="C33" i="98"/>
  <c r="N32" i="98"/>
  <c r="M32" i="98"/>
  <c r="L32" i="98"/>
  <c r="K32" i="98"/>
  <c r="J32" i="98"/>
  <c r="I32" i="98"/>
  <c r="H32" i="98"/>
  <c r="G32" i="98"/>
  <c r="F32" i="98"/>
  <c r="E32" i="98"/>
  <c r="D32" i="98"/>
  <c r="C32" i="98"/>
  <c r="N26" i="98"/>
  <c r="M26" i="98"/>
  <c r="L26" i="98"/>
  <c r="K26" i="98"/>
  <c r="J26" i="98"/>
  <c r="I26" i="98"/>
  <c r="H26" i="98"/>
  <c r="G26" i="98"/>
  <c r="F26" i="98"/>
  <c r="E26" i="98"/>
  <c r="D26" i="98"/>
  <c r="C26" i="98"/>
  <c r="N16" i="98"/>
  <c r="M16" i="98"/>
  <c r="L16" i="98"/>
  <c r="K16" i="98"/>
  <c r="J16" i="98"/>
  <c r="I16" i="98"/>
  <c r="H16" i="98"/>
  <c r="G16" i="98"/>
  <c r="F16" i="98"/>
  <c r="E16" i="98"/>
  <c r="D16" i="98"/>
  <c r="C16" i="98"/>
  <c r="N63" i="97"/>
  <c r="M63" i="97"/>
  <c r="L63" i="97"/>
  <c r="K63" i="97"/>
  <c r="J63" i="97"/>
  <c r="I63" i="97"/>
  <c r="H63" i="97"/>
  <c r="G63" i="97"/>
  <c r="F63" i="97"/>
  <c r="E63" i="97"/>
  <c r="D63" i="97"/>
  <c r="C63" i="97"/>
  <c r="N57" i="97"/>
  <c r="M57" i="97"/>
  <c r="L57" i="97"/>
  <c r="K57" i="97"/>
  <c r="J57" i="97"/>
  <c r="I57" i="97"/>
  <c r="H57" i="97"/>
  <c r="G57" i="97"/>
  <c r="F57" i="97"/>
  <c r="E57" i="97"/>
  <c r="D57" i="97"/>
  <c r="C57" i="97"/>
  <c r="N51" i="97"/>
  <c r="M51" i="97"/>
  <c r="L51" i="97"/>
  <c r="K51" i="97"/>
  <c r="J51" i="97"/>
  <c r="I51" i="97"/>
  <c r="H51" i="97"/>
  <c r="G51" i="97"/>
  <c r="F51" i="97"/>
  <c r="E51" i="97"/>
  <c r="D51" i="97"/>
  <c r="C51" i="97"/>
  <c r="N45" i="97"/>
  <c r="M45" i="97"/>
  <c r="L45" i="97"/>
  <c r="K45" i="97"/>
  <c r="J45" i="97"/>
  <c r="I45" i="97"/>
  <c r="H45" i="97"/>
  <c r="G45" i="97"/>
  <c r="F45" i="97"/>
  <c r="E45" i="97"/>
  <c r="D45" i="97"/>
  <c r="C45" i="97"/>
  <c r="N39" i="97"/>
  <c r="M39" i="97"/>
  <c r="L39" i="97"/>
  <c r="K39" i="97"/>
  <c r="J39" i="97"/>
  <c r="I39" i="97"/>
  <c r="H39" i="97"/>
  <c r="G39" i="97"/>
  <c r="F39" i="97"/>
  <c r="E39" i="97"/>
  <c r="D39" i="97"/>
  <c r="C39" i="97"/>
  <c r="N33" i="97"/>
  <c r="M33" i="97"/>
  <c r="L33" i="97"/>
  <c r="K33" i="97"/>
  <c r="J33" i="97"/>
  <c r="I33" i="97"/>
  <c r="H33" i="97"/>
  <c r="G33" i="97"/>
  <c r="F33" i="97"/>
  <c r="E33" i="97"/>
  <c r="D33" i="97"/>
  <c r="C33" i="97"/>
  <c r="N32" i="97"/>
  <c r="M32" i="97"/>
  <c r="L32" i="97"/>
  <c r="K32" i="97"/>
  <c r="J32" i="97"/>
  <c r="I32" i="97"/>
  <c r="H32" i="97"/>
  <c r="G32" i="97"/>
  <c r="F32" i="97"/>
  <c r="E32" i="97"/>
  <c r="D32" i="97"/>
  <c r="C32" i="97"/>
  <c r="N26" i="97"/>
  <c r="M26" i="97"/>
  <c r="L26" i="97"/>
  <c r="K26" i="97"/>
  <c r="J26" i="97"/>
  <c r="I26" i="97"/>
  <c r="H26" i="97"/>
  <c r="G26" i="97"/>
  <c r="F26" i="97"/>
  <c r="E26" i="97"/>
  <c r="D26" i="97"/>
  <c r="C26" i="97"/>
  <c r="N16" i="97"/>
  <c r="M16" i="97"/>
  <c r="L16" i="97"/>
  <c r="K16" i="97"/>
  <c r="J16" i="97"/>
  <c r="I16" i="97"/>
  <c r="H16" i="97"/>
  <c r="G16" i="97"/>
  <c r="F16" i="97"/>
  <c r="E16" i="97"/>
  <c r="D16" i="97"/>
  <c r="C16" i="97"/>
  <c r="N63" i="96"/>
  <c r="M63" i="96"/>
  <c r="L63" i="96"/>
  <c r="K63" i="96"/>
  <c r="J63" i="96"/>
  <c r="I63" i="96"/>
  <c r="H63" i="96"/>
  <c r="G63" i="96"/>
  <c r="F63" i="96"/>
  <c r="E63" i="96"/>
  <c r="D63" i="96"/>
  <c r="C63" i="96"/>
  <c r="N57" i="96"/>
  <c r="M57" i="96"/>
  <c r="L57" i="96"/>
  <c r="K57" i="96"/>
  <c r="J57" i="96"/>
  <c r="I57" i="96"/>
  <c r="H57" i="96"/>
  <c r="G57" i="96"/>
  <c r="F57" i="96"/>
  <c r="E57" i="96"/>
  <c r="D57" i="96"/>
  <c r="C57" i="96"/>
  <c r="N51" i="96"/>
  <c r="M51" i="96"/>
  <c r="L51" i="96"/>
  <c r="K51" i="96"/>
  <c r="J51" i="96"/>
  <c r="I51" i="96"/>
  <c r="H51" i="96"/>
  <c r="G51" i="96"/>
  <c r="F51" i="96"/>
  <c r="E51" i="96"/>
  <c r="D51" i="96"/>
  <c r="C51" i="96"/>
  <c r="N45" i="96"/>
  <c r="M45" i="96"/>
  <c r="L45" i="96"/>
  <c r="K45" i="96"/>
  <c r="J45" i="96"/>
  <c r="I45" i="96"/>
  <c r="H45" i="96"/>
  <c r="G45" i="96"/>
  <c r="F45" i="96"/>
  <c r="E45" i="96"/>
  <c r="D45" i="96"/>
  <c r="C45" i="96"/>
  <c r="N39" i="96"/>
  <c r="M39" i="96"/>
  <c r="L39" i="96"/>
  <c r="K39" i="96"/>
  <c r="J39" i="96"/>
  <c r="I39" i="96"/>
  <c r="H39" i="96"/>
  <c r="G39" i="96"/>
  <c r="F39" i="96"/>
  <c r="E39" i="96"/>
  <c r="D39" i="96"/>
  <c r="C39" i="96"/>
  <c r="N33" i="96"/>
  <c r="M33" i="96"/>
  <c r="L33" i="96"/>
  <c r="K33" i="96"/>
  <c r="J33" i="96"/>
  <c r="I33" i="96"/>
  <c r="H33" i="96"/>
  <c r="G33" i="96"/>
  <c r="F33" i="96"/>
  <c r="E33" i="96"/>
  <c r="D33" i="96"/>
  <c r="C33" i="96"/>
  <c r="N32" i="96"/>
  <c r="M32" i="96"/>
  <c r="L32" i="96"/>
  <c r="K32" i="96"/>
  <c r="J32" i="96"/>
  <c r="I32" i="96"/>
  <c r="H32" i="96"/>
  <c r="G32" i="96"/>
  <c r="F32" i="96"/>
  <c r="E32" i="96"/>
  <c r="D32" i="96"/>
  <c r="C32" i="96"/>
  <c r="N26" i="96"/>
  <c r="M26" i="96"/>
  <c r="L26" i="96"/>
  <c r="K26" i="96"/>
  <c r="J26" i="96"/>
  <c r="I26" i="96"/>
  <c r="H26" i="96"/>
  <c r="G26" i="96"/>
  <c r="F26" i="96"/>
  <c r="E26" i="96"/>
  <c r="D26" i="96"/>
  <c r="C26" i="96"/>
  <c r="N16" i="96"/>
  <c r="M16" i="96"/>
  <c r="L16" i="96"/>
  <c r="K16" i="96"/>
  <c r="J16" i="96"/>
  <c r="I16" i="96"/>
  <c r="H16" i="96"/>
  <c r="G16" i="96"/>
  <c r="F16" i="96"/>
  <c r="E16" i="96"/>
  <c r="D16" i="96"/>
  <c r="C16" i="96"/>
  <c r="N63" i="95"/>
  <c r="M63" i="95"/>
  <c r="L63" i="95"/>
  <c r="K63" i="95"/>
  <c r="J63" i="95"/>
  <c r="I63" i="95"/>
  <c r="H63" i="95"/>
  <c r="G63" i="95"/>
  <c r="F63" i="95"/>
  <c r="E63" i="95"/>
  <c r="D63" i="95"/>
  <c r="C63" i="95"/>
  <c r="N57" i="95"/>
  <c r="M57" i="95"/>
  <c r="L57" i="95"/>
  <c r="K57" i="95"/>
  <c r="J57" i="95"/>
  <c r="I57" i="95"/>
  <c r="H57" i="95"/>
  <c r="G57" i="95"/>
  <c r="F57" i="95"/>
  <c r="E57" i="95"/>
  <c r="D57" i="95"/>
  <c r="C57" i="95"/>
  <c r="N51" i="95"/>
  <c r="M51" i="95"/>
  <c r="L51" i="95"/>
  <c r="K51" i="95"/>
  <c r="J51" i="95"/>
  <c r="I51" i="95"/>
  <c r="H51" i="95"/>
  <c r="G51" i="95"/>
  <c r="F51" i="95"/>
  <c r="E51" i="95"/>
  <c r="D51" i="95"/>
  <c r="C51" i="95"/>
  <c r="N45" i="95"/>
  <c r="M45" i="95"/>
  <c r="L45" i="95"/>
  <c r="K45" i="95"/>
  <c r="J45" i="95"/>
  <c r="I45" i="95"/>
  <c r="H45" i="95"/>
  <c r="G45" i="95"/>
  <c r="F45" i="95"/>
  <c r="E45" i="95"/>
  <c r="D45" i="95"/>
  <c r="C45" i="95"/>
  <c r="N39" i="95"/>
  <c r="M39" i="95"/>
  <c r="L39" i="95"/>
  <c r="K39" i="95"/>
  <c r="J39" i="95"/>
  <c r="I39" i="95"/>
  <c r="H39" i="95"/>
  <c r="G39" i="95"/>
  <c r="F39" i="95"/>
  <c r="E39" i="95"/>
  <c r="D39" i="95"/>
  <c r="C39" i="95"/>
  <c r="N33" i="95"/>
  <c r="M33" i="95"/>
  <c r="L33" i="95"/>
  <c r="K33" i="95"/>
  <c r="J33" i="95"/>
  <c r="I33" i="95"/>
  <c r="H33" i="95"/>
  <c r="G33" i="95"/>
  <c r="F33" i="95"/>
  <c r="E33" i="95"/>
  <c r="D33" i="95"/>
  <c r="C33" i="95"/>
  <c r="N32" i="95"/>
  <c r="M32" i="95"/>
  <c r="L32" i="95"/>
  <c r="K32" i="95"/>
  <c r="J32" i="95"/>
  <c r="I32" i="95"/>
  <c r="H32" i="95"/>
  <c r="G32" i="95"/>
  <c r="F32" i="95"/>
  <c r="E32" i="95"/>
  <c r="D32" i="95"/>
  <c r="C32" i="95"/>
  <c r="N26" i="95"/>
  <c r="M26" i="95"/>
  <c r="L26" i="95"/>
  <c r="K26" i="95"/>
  <c r="J26" i="95"/>
  <c r="I26" i="95"/>
  <c r="H26" i="95"/>
  <c r="G26" i="95"/>
  <c r="F26" i="95"/>
  <c r="E26" i="95"/>
  <c r="D26" i="95"/>
  <c r="C26" i="95"/>
  <c r="N16" i="95"/>
  <c r="M16" i="95"/>
  <c r="L16" i="95"/>
  <c r="K16" i="95"/>
  <c r="J16" i="95"/>
  <c r="I16" i="95"/>
  <c r="H16" i="95"/>
  <c r="G16" i="95"/>
  <c r="F16" i="95"/>
  <c r="E16" i="95"/>
  <c r="D16" i="95"/>
  <c r="C16" i="95"/>
  <c r="N63" i="94"/>
  <c r="M63" i="94"/>
  <c r="L63" i="94"/>
  <c r="K63" i="94"/>
  <c r="J63" i="94"/>
  <c r="I63" i="94"/>
  <c r="H63" i="94"/>
  <c r="G63" i="94"/>
  <c r="F63" i="94"/>
  <c r="E63" i="94"/>
  <c r="D63" i="94"/>
  <c r="C63" i="94"/>
  <c r="N57" i="94"/>
  <c r="M57" i="94"/>
  <c r="L57" i="94"/>
  <c r="K57" i="94"/>
  <c r="J57" i="94"/>
  <c r="I57" i="94"/>
  <c r="H57" i="94"/>
  <c r="G57" i="94"/>
  <c r="F57" i="94"/>
  <c r="E57" i="94"/>
  <c r="D57" i="94"/>
  <c r="C57" i="94"/>
  <c r="N51" i="94"/>
  <c r="M51" i="94"/>
  <c r="L51" i="94"/>
  <c r="K51" i="94"/>
  <c r="J51" i="94"/>
  <c r="I51" i="94"/>
  <c r="H51" i="94"/>
  <c r="G51" i="94"/>
  <c r="F51" i="94"/>
  <c r="E51" i="94"/>
  <c r="D51" i="94"/>
  <c r="C51" i="94"/>
  <c r="N45" i="94"/>
  <c r="M45" i="94"/>
  <c r="L45" i="94"/>
  <c r="K45" i="94"/>
  <c r="J45" i="94"/>
  <c r="I45" i="94"/>
  <c r="H45" i="94"/>
  <c r="G45" i="94"/>
  <c r="F45" i="94"/>
  <c r="E45" i="94"/>
  <c r="D45" i="94"/>
  <c r="C45" i="94"/>
  <c r="N39" i="94"/>
  <c r="M39" i="94"/>
  <c r="L39" i="94"/>
  <c r="K39" i="94"/>
  <c r="J39" i="94"/>
  <c r="I39" i="94"/>
  <c r="H39" i="94"/>
  <c r="G39" i="94"/>
  <c r="F39" i="94"/>
  <c r="E39" i="94"/>
  <c r="D39" i="94"/>
  <c r="C39" i="94"/>
  <c r="N33" i="94"/>
  <c r="M33" i="94"/>
  <c r="L33" i="94"/>
  <c r="K33" i="94"/>
  <c r="J33" i="94"/>
  <c r="I33" i="94"/>
  <c r="H33" i="94"/>
  <c r="G33" i="94"/>
  <c r="F33" i="94"/>
  <c r="E33" i="94"/>
  <c r="D33" i="94"/>
  <c r="C33" i="94"/>
  <c r="N32" i="94"/>
  <c r="M32" i="94"/>
  <c r="L32" i="94"/>
  <c r="K32" i="94"/>
  <c r="J32" i="94"/>
  <c r="I32" i="94"/>
  <c r="H32" i="94"/>
  <c r="G32" i="94"/>
  <c r="F32" i="94"/>
  <c r="E32" i="94"/>
  <c r="D32" i="94"/>
  <c r="C32" i="94"/>
  <c r="N26" i="94"/>
  <c r="M26" i="94"/>
  <c r="L26" i="94"/>
  <c r="K26" i="94"/>
  <c r="J26" i="94"/>
  <c r="I26" i="94"/>
  <c r="H26" i="94"/>
  <c r="G26" i="94"/>
  <c r="F26" i="94"/>
  <c r="E26" i="94"/>
  <c r="D26" i="94"/>
  <c r="C26" i="94"/>
  <c r="N16" i="94"/>
  <c r="M16" i="94"/>
  <c r="L16" i="94"/>
  <c r="K16" i="94"/>
  <c r="J16" i="94"/>
  <c r="I16" i="94"/>
  <c r="H16" i="94"/>
  <c r="G16" i="94"/>
  <c r="F16" i="94"/>
  <c r="E16" i="94"/>
  <c r="D16" i="94"/>
  <c r="C16" i="94"/>
  <c r="N63" i="93"/>
  <c r="M63" i="93"/>
  <c r="L63" i="93"/>
  <c r="K63" i="93"/>
  <c r="J63" i="93"/>
  <c r="I63" i="93"/>
  <c r="H63" i="93"/>
  <c r="G63" i="93"/>
  <c r="F63" i="93"/>
  <c r="E63" i="93"/>
  <c r="D63" i="93"/>
  <c r="C63" i="93"/>
  <c r="N57" i="93"/>
  <c r="M57" i="93"/>
  <c r="L57" i="93"/>
  <c r="K57" i="93"/>
  <c r="J57" i="93"/>
  <c r="I57" i="93"/>
  <c r="H57" i="93"/>
  <c r="G57" i="93"/>
  <c r="F57" i="93"/>
  <c r="E57" i="93"/>
  <c r="D57" i="93"/>
  <c r="C57" i="93"/>
  <c r="N51" i="93"/>
  <c r="M51" i="93"/>
  <c r="L51" i="93"/>
  <c r="K51" i="93"/>
  <c r="J51" i="93"/>
  <c r="I51" i="93"/>
  <c r="H51" i="93"/>
  <c r="G51" i="93"/>
  <c r="F51" i="93"/>
  <c r="E51" i="93"/>
  <c r="D51" i="93"/>
  <c r="C51" i="93"/>
  <c r="N45" i="93"/>
  <c r="M45" i="93"/>
  <c r="L45" i="93"/>
  <c r="K45" i="93"/>
  <c r="J45" i="93"/>
  <c r="I45" i="93"/>
  <c r="H45" i="93"/>
  <c r="G45" i="93"/>
  <c r="F45" i="93"/>
  <c r="E45" i="93"/>
  <c r="D45" i="93"/>
  <c r="C45" i="93"/>
  <c r="N39" i="93"/>
  <c r="M39" i="93"/>
  <c r="L39" i="93"/>
  <c r="K39" i="93"/>
  <c r="J39" i="93"/>
  <c r="I39" i="93"/>
  <c r="H39" i="93"/>
  <c r="G39" i="93"/>
  <c r="F39" i="93"/>
  <c r="E39" i="93"/>
  <c r="D39" i="93"/>
  <c r="C39" i="93"/>
  <c r="N33" i="93"/>
  <c r="M33" i="93"/>
  <c r="L33" i="93"/>
  <c r="K33" i="93"/>
  <c r="J33" i="93"/>
  <c r="I33" i="93"/>
  <c r="H33" i="93"/>
  <c r="G33" i="93"/>
  <c r="F33" i="93"/>
  <c r="E33" i="93"/>
  <c r="D33" i="93"/>
  <c r="C33" i="93"/>
  <c r="N32" i="93"/>
  <c r="M32" i="93"/>
  <c r="L32" i="93"/>
  <c r="K32" i="93"/>
  <c r="J32" i="93"/>
  <c r="I32" i="93"/>
  <c r="H32" i="93"/>
  <c r="G32" i="93"/>
  <c r="F32" i="93"/>
  <c r="E32" i="93"/>
  <c r="D32" i="93"/>
  <c r="C32" i="93"/>
  <c r="N26" i="93"/>
  <c r="M26" i="93"/>
  <c r="L26" i="93"/>
  <c r="K26" i="93"/>
  <c r="J26" i="93"/>
  <c r="I26" i="93"/>
  <c r="H26" i="93"/>
  <c r="G26" i="93"/>
  <c r="F26" i="93"/>
  <c r="E26" i="93"/>
  <c r="D26" i="93"/>
  <c r="C26" i="93"/>
  <c r="N16" i="93"/>
  <c r="M16" i="93"/>
  <c r="L16" i="93"/>
  <c r="K16" i="93"/>
  <c r="J16" i="93"/>
  <c r="I16" i="93"/>
  <c r="H16" i="93"/>
  <c r="G16" i="93"/>
  <c r="F16" i="93"/>
  <c r="E16" i="93"/>
  <c r="D16" i="93"/>
  <c r="C16" i="93"/>
  <c r="N63" i="92"/>
  <c r="M63" i="92"/>
  <c r="L63" i="92"/>
  <c r="K63" i="92"/>
  <c r="J63" i="92"/>
  <c r="I63" i="92"/>
  <c r="H63" i="92"/>
  <c r="G63" i="92"/>
  <c r="F63" i="92"/>
  <c r="E63" i="92"/>
  <c r="D63" i="92"/>
  <c r="C63" i="92"/>
  <c r="N57" i="92"/>
  <c r="M57" i="92"/>
  <c r="L57" i="92"/>
  <c r="K57" i="92"/>
  <c r="J57" i="92"/>
  <c r="I57" i="92"/>
  <c r="H57" i="92"/>
  <c r="G57" i="92"/>
  <c r="F57" i="92"/>
  <c r="E57" i="92"/>
  <c r="D57" i="92"/>
  <c r="C57" i="92"/>
  <c r="N51" i="92"/>
  <c r="M51" i="92"/>
  <c r="L51" i="92"/>
  <c r="K51" i="92"/>
  <c r="J51" i="92"/>
  <c r="I51" i="92"/>
  <c r="H51" i="92"/>
  <c r="G51" i="92"/>
  <c r="F51" i="92"/>
  <c r="E51" i="92"/>
  <c r="D51" i="92"/>
  <c r="C51" i="92"/>
  <c r="N45" i="92"/>
  <c r="M45" i="92"/>
  <c r="L45" i="92"/>
  <c r="K45" i="92"/>
  <c r="J45" i="92"/>
  <c r="I45" i="92"/>
  <c r="H45" i="92"/>
  <c r="G45" i="92"/>
  <c r="F45" i="92"/>
  <c r="E45" i="92"/>
  <c r="D45" i="92"/>
  <c r="C45" i="92"/>
  <c r="N39" i="92"/>
  <c r="M39" i="92"/>
  <c r="L39" i="92"/>
  <c r="K39" i="92"/>
  <c r="J39" i="92"/>
  <c r="I39" i="92"/>
  <c r="H39" i="92"/>
  <c r="G39" i="92"/>
  <c r="F39" i="92"/>
  <c r="E39" i="92"/>
  <c r="D39" i="92"/>
  <c r="C39" i="92"/>
  <c r="N33" i="92"/>
  <c r="M33" i="92"/>
  <c r="L33" i="92"/>
  <c r="K33" i="92"/>
  <c r="J33" i="92"/>
  <c r="I33" i="92"/>
  <c r="H33" i="92"/>
  <c r="G33" i="92"/>
  <c r="F33" i="92"/>
  <c r="E33" i="92"/>
  <c r="D33" i="92"/>
  <c r="C33" i="92"/>
  <c r="N32" i="92"/>
  <c r="N13" i="92" s="1" a="1"/>
  <c r="N13" i="92" s="1"/>
  <c r="P24" i="49" s="1"/>
  <c r="M32" i="92"/>
  <c r="L32" i="92"/>
  <c r="K32" i="92"/>
  <c r="J32" i="92"/>
  <c r="I32" i="92"/>
  <c r="H32" i="92"/>
  <c r="G32" i="92"/>
  <c r="F32" i="92"/>
  <c r="E32" i="92"/>
  <c r="D32" i="92"/>
  <c r="C32" i="92"/>
  <c r="N26" i="92"/>
  <c r="M26" i="92"/>
  <c r="L26" i="92"/>
  <c r="K26" i="92"/>
  <c r="J26" i="92"/>
  <c r="I26" i="92"/>
  <c r="H26" i="92"/>
  <c r="G26" i="92"/>
  <c r="F26" i="92"/>
  <c r="E26" i="92"/>
  <c r="D26" i="92"/>
  <c r="C26" i="92"/>
  <c r="N16" i="92"/>
  <c r="M16" i="92"/>
  <c r="L16" i="92"/>
  <c r="K16" i="92"/>
  <c r="J16" i="92"/>
  <c r="I16" i="92"/>
  <c r="H16" i="92"/>
  <c r="G16" i="92"/>
  <c r="F16" i="92"/>
  <c r="E16" i="92"/>
  <c r="D16" i="92"/>
  <c r="D13" i="92" s="1" a="1"/>
  <c r="D13" i="92" s="1"/>
  <c r="F24" i="49" s="1"/>
  <c r="C16" i="92"/>
  <c r="N63" i="91"/>
  <c r="M63" i="91"/>
  <c r="L63" i="91"/>
  <c r="K63" i="91"/>
  <c r="J63" i="91"/>
  <c r="I63" i="91"/>
  <c r="H63" i="91"/>
  <c r="G63" i="91"/>
  <c r="F63" i="91"/>
  <c r="E63" i="91"/>
  <c r="D63" i="91"/>
  <c r="C63" i="91"/>
  <c r="N57" i="91"/>
  <c r="M57" i="91"/>
  <c r="L57" i="91"/>
  <c r="K57" i="91"/>
  <c r="J57" i="91"/>
  <c r="I57" i="91"/>
  <c r="H57" i="91"/>
  <c r="G57" i="91"/>
  <c r="F57" i="91"/>
  <c r="E57" i="91"/>
  <c r="D57" i="91"/>
  <c r="C57" i="91"/>
  <c r="N51" i="91"/>
  <c r="M51" i="91"/>
  <c r="L51" i="91"/>
  <c r="K51" i="91"/>
  <c r="J51" i="91"/>
  <c r="I51" i="91"/>
  <c r="H51" i="91"/>
  <c r="G51" i="91"/>
  <c r="F51" i="91"/>
  <c r="E51" i="91"/>
  <c r="D51" i="91"/>
  <c r="C51" i="91"/>
  <c r="N45" i="91"/>
  <c r="M45" i="91"/>
  <c r="L45" i="91"/>
  <c r="K45" i="91"/>
  <c r="J45" i="91"/>
  <c r="I45" i="91"/>
  <c r="H45" i="91"/>
  <c r="G45" i="91"/>
  <c r="F45" i="91"/>
  <c r="E45" i="91"/>
  <c r="D45" i="91"/>
  <c r="C45" i="91"/>
  <c r="N39" i="91"/>
  <c r="M39" i="91"/>
  <c r="L39" i="91"/>
  <c r="K39" i="91"/>
  <c r="J39" i="91"/>
  <c r="I39" i="91"/>
  <c r="H39" i="91"/>
  <c r="G39" i="91"/>
  <c r="F39" i="91"/>
  <c r="E39" i="91"/>
  <c r="D39" i="91"/>
  <c r="C39" i="91"/>
  <c r="N33" i="91"/>
  <c r="M33" i="91"/>
  <c r="L33" i="91"/>
  <c r="K33" i="91"/>
  <c r="J33" i="91"/>
  <c r="I33" i="91"/>
  <c r="H33" i="91"/>
  <c r="G33" i="91"/>
  <c r="F33" i="91"/>
  <c r="E33" i="91"/>
  <c r="D33" i="91"/>
  <c r="C33" i="91"/>
  <c r="N32" i="91"/>
  <c r="M32" i="91"/>
  <c r="L32" i="91"/>
  <c r="K32" i="91"/>
  <c r="J32" i="91"/>
  <c r="I32" i="91"/>
  <c r="H32" i="91"/>
  <c r="G32" i="91"/>
  <c r="F32" i="91"/>
  <c r="E32" i="91"/>
  <c r="D32" i="91"/>
  <c r="C32" i="91"/>
  <c r="N26" i="91"/>
  <c r="M26" i="91"/>
  <c r="L26" i="91"/>
  <c r="K26" i="91"/>
  <c r="J26" i="91"/>
  <c r="I26" i="91"/>
  <c r="H26" i="91"/>
  <c r="G26" i="91"/>
  <c r="F26" i="91"/>
  <c r="E26" i="91"/>
  <c r="D26" i="91"/>
  <c r="C26" i="91"/>
  <c r="N16" i="91"/>
  <c r="M16" i="91"/>
  <c r="L16" i="91"/>
  <c r="K16" i="91"/>
  <c r="J16" i="91"/>
  <c r="I16" i="91"/>
  <c r="H16" i="91"/>
  <c r="G16" i="91"/>
  <c r="F16" i="91"/>
  <c r="E16" i="91"/>
  <c r="D16" i="91"/>
  <c r="C16" i="91"/>
  <c r="N63" i="90"/>
  <c r="M63" i="90"/>
  <c r="L63" i="90"/>
  <c r="K63" i="90"/>
  <c r="J63" i="90"/>
  <c r="I63" i="90"/>
  <c r="H63" i="90"/>
  <c r="G63" i="90"/>
  <c r="F63" i="90"/>
  <c r="E63" i="90"/>
  <c r="D63" i="90"/>
  <c r="C63" i="90"/>
  <c r="N57" i="90"/>
  <c r="M57" i="90"/>
  <c r="L57" i="90"/>
  <c r="K57" i="90"/>
  <c r="J57" i="90"/>
  <c r="I57" i="90"/>
  <c r="H57" i="90"/>
  <c r="G57" i="90"/>
  <c r="F57" i="90"/>
  <c r="E57" i="90"/>
  <c r="D57" i="90"/>
  <c r="C57" i="90"/>
  <c r="N51" i="90"/>
  <c r="M51" i="90"/>
  <c r="L51" i="90"/>
  <c r="K51" i="90"/>
  <c r="J51" i="90"/>
  <c r="I51" i="90"/>
  <c r="H51" i="90"/>
  <c r="G51" i="90"/>
  <c r="F51" i="90"/>
  <c r="E51" i="90"/>
  <c r="D51" i="90"/>
  <c r="C51" i="90"/>
  <c r="N45" i="90"/>
  <c r="M45" i="90"/>
  <c r="L45" i="90"/>
  <c r="K45" i="90"/>
  <c r="J45" i="90"/>
  <c r="I45" i="90"/>
  <c r="H45" i="90"/>
  <c r="G45" i="90"/>
  <c r="F45" i="90"/>
  <c r="E45" i="90"/>
  <c r="D45" i="90"/>
  <c r="C45" i="90"/>
  <c r="N39" i="90"/>
  <c r="M39" i="90"/>
  <c r="L39" i="90"/>
  <c r="K39" i="90"/>
  <c r="J39" i="90"/>
  <c r="I39" i="90"/>
  <c r="H39" i="90"/>
  <c r="G39" i="90"/>
  <c r="F39" i="90"/>
  <c r="E39" i="90"/>
  <c r="D39" i="90"/>
  <c r="C39" i="90"/>
  <c r="N33" i="90"/>
  <c r="M33" i="90"/>
  <c r="L33" i="90"/>
  <c r="K33" i="90"/>
  <c r="J33" i="90"/>
  <c r="I33" i="90"/>
  <c r="H33" i="90"/>
  <c r="G33" i="90"/>
  <c r="F33" i="90"/>
  <c r="E33" i="90"/>
  <c r="D33" i="90"/>
  <c r="C33" i="90"/>
  <c r="N32" i="90"/>
  <c r="M32" i="90"/>
  <c r="L32" i="90"/>
  <c r="K32" i="90"/>
  <c r="J32" i="90"/>
  <c r="I32" i="90"/>
  <c r="H32" i="90"/>
  <c r="G32" i="90"/>
  <c r="F32" i="90"/>
  <c r="E32" i="90"/>
  <c r="D32" i="90"/>
  <c r="C32" i="90"/>
  <c r="N26" i="90"/>
  <c r="M26" i="90"/>
  <c r="L26" i="90"/>
  <c r="K26" i="90"/>
  <c r="J26" i="90"/>
  <c r="I26" i="90"/>
  <c r="H26" i="90"/>
  <c r="G26" i="90"/>
  <c r="F26" i="90"/>
  <c r="E26" i="90"/>
  <c r="D26" i="90"/>
  <c r="C26" i="90"/>
  <c r="N16" i="90"/>
  <c r="M16" i="90"/>
  <c r="L16" i="90"/>
  <c r="K16" i="90"/>
  <c r="J16" i="90"/>
  <c r="I16" i="90"/>
  <c r="H16" i="90"/>
  <c r="G16" i="90"/>
  <c r="F16" i="90"/>
  <c r="E16" i="90"/>
  <c r="D16" i="90"/>
  <c r="C16" i="90"/>
  <c r="N63" i="89"/>
  <c r="M63" i="89"/>
  <c r="L63" i="89"/>
  <c r="K63" i="89"/>
  <c r="J63" i="89"/>
  <c r="I63" i="89"/>
  <c r="H63" i="89"/>
  <c r="G63" i="89"/>
  <c r="F63" i="89"/>
  <c r="E63" i="89"/>
  <c r="D63" i="89"/>
  <c r="C63" i="89"/>
  <c r="N57" i="89"/>
  <c r="M57" i="89"/>
  <c r="L57" i="89"/>
  <c r="K57" i="89"/>
  <c r="J57" i="89"/>
  <c r="I57" i="89"/>
  <c r="H57" i="89"/>
  <c r="G57" i="89"/>
  <c r="F57" i="89"/>
  <c r="E57" i="89"/>
  <c r="D57" i="89"/>
  <c r="C57" i="89"/>
  <c r="N51" i="89"/>
  <c r="M51" i="89"/>
  <c r="L51" i="89"/>
  <c r="K51" i="89"/>
  <c r="J51" i="89"/>
  <c r="I51" i="89"/>
  <c r="H51" i="89"/>
  <c r="G51" i="89"/>
  <c r="F51" i="89"/>
  <c r="E51" i="89"/>
  <c r="D51" i="89"/>
  <c r="C51" i="89"/>
  <c r="N45" i="89"/>
  <c r="M45" i="89"/>
  <c r="L45" i="89"/>
  <c r="K45" i="89"/>
  <c r="J45" i="89"/>
  <c r="I45" i="89"/>
  <c r="H45" i="89"/>
  <c r="G45" i="89"/>
  <c r="F45" i="89"/>
  <c r="E45" i="89"/>
  <c r="D45" i="89"/>
  <c r="C45" i="89"/>
  <c r="N39" i="89"/>
  <c r="M39" i="89"/>
  <c r="L39" i="89"/>
  <c r="K39" i="89"/>
  <c r="J39" i="89"/>
  <c r="I39" i="89"/>
  <c r="H39" i="89"/>
  <c r="G39" i="89"/>
  <c r="F39" i="89"/>
  <c r="E39" i="89"/>
  <c r="D39" i="89"/>
  <c r="C39" i="89"/>
  <c r="N33" i="89"/>
  <c r="M33" i="89"/>
  <c r="L33" i="89"/>
  <c r="K33" i="89"/>
  <c r="J33" i="89"/>
  <c r="I33" i="89"/>
  <c r="H33" i="89"/>
  <c r="G33" i="89"/>
  <c r="F33" i="89"/>
  <c r="E33" i="89"/>
  <c r="D33" i="89"/>
  <c r="C33" i="89"/>
  <c r="N32" i="89"/>
  <c r="M32" i="89"/>
  <c r="L32" i="89"/>
  <c r="K32" i="89"/>
  <c r="J32" i="89"/>
  <c r="I32" i="89"/>
  <c r="H32" i="89"/>
  <c r="G32" i="89"/>
  <c r="F32" i="89"/>
  <c r="E32" i="89"/>
  <c r="D32" i="89"/>
  <c r="C32" i="89"/>
  <c r="N26" i="89"/>
  <c r="M26" i="89"/>
  <c r="L26" i="89"/>
  <c r="K26" i="89"/>
  <c r="J26" i="89"/>
  <c r="I26" i="89"/>
  <c r="H26" i="89"/>
  <c r="G26" i="89"/>
  <c r="F26" i="89"/>
  <c r="E26" i="89"/>
  <c r="D26" i="89"/>
  <c r="D13" i="89" s="1" a="1"/>
  <c r="D13" i="89" s="1"/>
  <c r="F21" i="49" s="1"/>
  <c r="C26" i="89"/>
  <c r="C13" i="89" s="1" a="1"/>
  <c r="C13" i="89" s="1"/>
  <c r="E21" i="49" s="1"/>
  <c r="N16" i="89"/>
  <c r="M16" i="89"/>
  <c r="L16" i="89"/>
  <c r="K16" i="89"/>
  <c r="J16" i="89"/>
  <c r="I16" i="89"/>
  <c r="H16" i="89"/>
  <c r="G16" i="89"/>
  <c r="F16" i="89"/>
  <c r="E16" i="89"/>
  <c r="D16" i="89"/>
  <c r="C16" i="89"/>
  <c r="N63" i="88"/>
  <c r="M63" i="88"/>
  <c r="L63" i="88"/>
  <c r="K63" i="88"/>
  <c r="J63" i="88"/>
  <c r="I63" i="88"/>
  <c r="H63" i="88"/>
  <c r="G63" i="88"/>
  <c r="F63" i="88"/>
  <c r="E63" i="88"/>
  <c r="D63" i="88"/>
  <c r="C63" i="88"/>
  <c r="N57" i="88"/>
  <c r="M57" i="88"/>
  <c r="L57" i="88"/>
  <c r="K57" i="88"/>
  <c r="J57" i="88"/>
  <c r="I57" i="88"/>
  <c r="H57" i="88"/>
  <c r="G57" i="88"/>
  <c r="F57" i="88"/>
  <c r="E57" i="88"/>
  <c r="D57" i="88"/>
  <c r="C57" i="88"/>
  <c r="N51" i="88"/>
  <c r="M51" i="88"/>
  <c r="L51" i="88"/>
  <c r="K51" i="88"/>
  <c r="J51" i="88"/>
  <c r="I51" i="88"/>
  <c r="H51" i="88"/>
  <c r="G51" i="88"/>
  <c r="F51" i="88"/>
  <c r="E51" i="88"/>
  <c r="D51" i="88"/>
  <c r="C51" i="88"/>
  <c r="N45" i="88"/>
  <c r="M45" i="88"/>
  <c r="L45" i="88"/>
  <c r="K45" i="88"/>
  <c r="J45" i="88"/>
  <c r="I45" i="88"/>
  <c r="H45" i="88"/>
  <c r="G45" i="88"/>
  <c r="F45" i="88"/>
  <c r="E45" i="88"/>
  <c r="D45" i="88"/>
  <c r="C45" i="88"/>
  <c r="N39" i="88"/>
  <c r="M39" i="88"/>
  <c r="L39" i="88"/>
  <c r="K39" i="88"/>
  <c r="J39" i="88"/>
  <c r="I39" i="88"/>
  <c r="H39" i="88"/>
  <c r="G39" i="88"/>
  <c r="F39" i="88"/>
  <c r="E39" i="88"/>
  <c r="D39" i="88"/>
  <c r="C39" i="88"/>
  <c r="N33" i="88"/>
  <c r="M33" i="88"/>
  <c r="L33" i="88"/>
  <c r="K33" i="88"/>
  <c r="J33" i="88"/>
  <c r="I33" i="88"/>
  <c r="H33" i="88"/>
  <c r="G33" i="88"/>
  <c r="F33" i="88"/>
  <c r="E33" i="88"/>
  <c r="D33" i="88"/>
  <c r="C33" i="88"/>
  <c r="N32" i="88"/>
  <c r="M32" i="88"/>
  <c r="L32" i="88"/>
  <c r="K32" i="88"/>
  <c r="J32" i="88"/>
  <c r="I32" i="88"/>
  <c r="H32" i="88"/>
  <c r="G32" i="88"/>
  <c r="F32" i="88"/>
  <c r="E32" i="88"/>
  <c r="D32" i="88"/>
  <c r="C32" i="88"/>
  <c r="N26" i="88"/>
  <c r="M26" i="88"/>
  <c r="L26" i="88"/>
  <c r="K26" i="88"/>
  <c r="J26" i="88"/>
  <c r="I26" i="88"/>
  <c r="H26" i="88"/>
  <c r="G26" i="88"/>
  <c r="F26" i="88"/>
  <c r="E26" i="88"/>
  <c r="D26" i="88"/>
  <c r="C26" i="88"/>
  <c r="N16" i="88"/>
  <c r="M16" i="88"/>
  <c r="L16" i="88"/>
  <c r="K16" i="88"/>
  <c r="J16" i="88"/>
  <c r="I16" i="88"/>
  <c r="H16" i="88"/>
  <c r="G16" i="88"/>
  <c r="F16" i="88"/>
  <c r="E16" i="88"/>
  <c r="D16" i="88"/>
  <c r="C16" i="88"/>
  <c r="N63" i="87"/>
  <c r="M63" i="87"/>
  <c r="L63" i="87"/>
  <c r="K63" i="87"/>
  <c r="J63" i="87"/>
  <c r="I63" i="87"/>
  <c r="H63" i="87"/>
  <c r="G63" i="87"/>
  <c r="F63" i="87"/>
  <c r="E63" i="87"/>
  <c r="D63" i="87"/>
  <c r="C63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N16" i="87"/>
  <c r="M16" i="87"/>
  <c r="L16" i="87"/>
  <c r="K16" i="87"/>
  <c r="J16" i="87"/>
  <c r="I16" i="87"/>
  <c r="H16" i="87"/>
  <c r="G16" i="87"/>
  <c r="F16" i="87"/>
  <c r="E16" i="87"/>
  <c r="D16" i="87"/>
  <c r="C16" i="87"/>
  <c r="N63" i="86"/>
  <c r="M63" i="86"/>
  <c r="L63" i="86"/>
  <c r="K63" i="86"/>
  <c r="J63" i="86"/>
  <c r="I63" i="86"/>
  <c r="H63" i="86"/>
  <c r="G63" i="86"/>
  <c r="F63" i="86"/>
  <c r="E63" i="86"/>
  <c r="D63" i="86"/>
  <c r="C63" i="86"/>
  <c r="N57" i="86"/>
  <c r="M57" i="86"/>
  <c r="L57" i="86"/>
  <c r="K57" i="86"/>
  <c r="J57" i="86"/>
  <c r="I57" i="86"/>
  <c r="H57" i="86"/>
  <c r="G57" i="86"/>
  <c r="F57" i="86"/>
  <c r="E57" i="86"/>
  <c r="D57" i="86"/>
  <c r="C57" i="86"/>
  <c r="N51" i="86"/>
  <c r="M51" i="86"/>
  <c r="L51" i="86"/>
  <c r="K51" i="86"/>
  <c r="J51" i="86"/>
  <c r="I51" i="86"/>
  <c r="H51" i="86"/>
  <c r="G51" i="86"/>
  <c r="F51" i="86"/>
  <c r="E51" i="86"/>
  <c r="D51" i="86"/>
  <c r="C51" i="86"/>
  <c r="N45" i="86"/>
  <c r="M45" i="86"/>
  <c r="L45" i="86"/>
  <c r="K45" i="86"/>
  <c r="J45" i="86"/>
  <c r="I45" i="86"/>
  <c r="H45" i="86"/>
  <c r="G45" i="86"/>
  <c r="F45" i="86"/>
  <c r="E45" i="86"/>
  <c r="D45" i="86"/>
  <c r="C45" i="86"/>
  <c r="N39" i="86"/>
  <c r="M39" i="86"/>
  <c r="L39" i="86"/>
  <c r="K39" i="86"/>
  <c r="J39" i="86"/>
  <c r="I39" i="86"/>
  <c r="H39" i="86"/>
  <c r="G39" i="86"/>
  <c r="F39" i="86"/>
  <c r="E39" i="86"/>
  <c r="D39" i="86"/>
  <c r="C39" i="86"/>
  <c r="N33" i="86"/>
  <c r="M33" i="86"/>
  <c r="L33" i="86"/>
  <c r="K33" i="86"/>
  <c r="J33" i="86"/>
  <c r="I33" i="86"/>
  <c r="H33" i="86"/>
  <c r="G33" i="86"/>
  <c r="F33" i="86"/>
  <c r="E33" i="86"/>
  <c r="D33" i="86"/>
  <c r="C33" i="86"/>
  <c r="N32" i="86"/>
  <c r="M32" i="86"/>
  <c r="L32" i="86"/>
  <c r="K32" i="86"/>
  <c r="J32" i="86"/>
  <c r="I32" i="86"/>
  <c r="H32" i="86"/>
  <c r="G32" i="86"/>
  <c r="F32" i="86"/>
  <c r="E32" i="86"/>
  <c r="D32" i="86"/>
  <c r="C32" i="86"/>
  <c r="N26" i="86"/>
  <c r="M26" i="86"/>
  <c r="L26" i="86"/>
  <c r="K26" i="86"/>
  <c r="J26" i="86"/>
  <c r="I26" i="86"/>
  <c r="H26" i="86"/>
  <c r="G26" i="86"/>
  <c r="F26" i="86"/>
  <c r="E26" i="86"/>
  <c r="D26" i="86"/>
  <c r="C26" i="86"/>
  <c r="N16" i="86"/>
  <c r="M16" i="86"/>
  <c r="L16" i="86"/>
  <c r="K16" i="86"/>
  <c r="J16" i="86"/>
  <c r="I16" i="86"/>
  <c r="H16" i="86"/>
  <c r="G16" i="86"/>
  <c r="G13" i="86" s="1" a="1"/>
  <c r="G13" i="86" s="1"/>
  <c r="I18" i="49" s="1"/>
  <c r="F16" i="86"/>
  <c r="E16" i="86"/>
  <c r="D16" i="86"/>
  <c r="D13" i="86" s="1" a="1"/>
  <c r="D13" i="86" s="1"/>
  <c r="F18" i="49" s="1"/>
  <c r="C16" i="86"/>
  <c r="N63" i="85"/>
  <c r="M63" i="85"/>
  <c r="L63" i="85"/>
  <c r="K63" i="85"/>
  <c r="J63" i="85"/>
  <c r="I63" i="85"/>
  <c r="H63" i="85"/>
  <c r="G63" i="85"/>
  <c r="F63" i="85"/>
  <c r="E63" i="85"/>
  <c r="D63" i="85"/>
  <c r="C63" i="85"/>
  <c r="N57" i="85"/>
  <c r="M57" i="85"/>
  <c r="L57" i="85"/>
  <c r="K57" i="85"/>
  <c r="J57" i="85"/>
  <c r="I57" i="85"/>
  <c r="H57" i="85"/>
  <c r="G57" i="85"/>
  <c r="F57" i="85"/>
  <c r="E57" i="85"/>
  <c r="D57" i="85"/>
  <c r="C57" i="85"/>
  <c r="N51" i="85"/>
  <c r="M51" i="85"/>
  <c r="L51" i="85"/>
  <c r="K51" i="85"/>
  <c r="J51" i="85"/>
  <c r="I51" i="85"/>
  <c r="H51" i="85"/>
  <c r="G51" i="85"/>
  <c r="F51" i="85"/>
  <c r="E51" i="85"/>
  <c r="D51" i="85"/>
  <c r="C51" i="85"/>
  <c r="N45" i="85"/>
  <c r="M45" i="85"/>
  <c r="L45" i="85"/>
  <c r="K45" i="85"/>
  <c r="J45" i="85"/>
  <c r="I45" i="85"/>
  <c r="H45" i="85"/>
  <c r="G45" i="85"/>
  <c r="F45" i="85"/>
  <c r="E45" i="85"/>
  <c r="D45" i="85"/>
  <c r="C45" i="85"/>
  <c r="N39" i="85"/>
  <c r="M39" i="85"/>
  <c r="L39" i="85"/>
  <c r="K39" i="85"/>
  <c r="J39" i="85"/>
  <c r="I39" i="85"/>
  <c r="H39" i="85"/>
  <c r="G39" i="85"/>
  <c r="F39" i="85"/>
  <c r="E39" i="85"/>
  <c r="D39" i="85"/>
  <c r="C39" i="85"/>
  <c r="N33" i="85"/>
  <c r="M33" i="85"/>
  <c r="L33" i="85"/>
  <c r="K33" i="85"/>
  <c r="J33" i="85"/>
  <c r="I33" i="85"/>
  <c r="H33" i="85"/>
  <c r="G33" i="85"/>
  <c r="F33" i="85"/>
  <c r="E33" i="85"/>
  <c r="D33" i="85"/>
  <c r="C33" i="85"/>
  <c r="N32" i="85"/>
  <c r="M32" i="85"/>
  <c r="L32" i="85"/>
  <c r="K32" i="85"/>
  <c r="J32" i="85"/>
  <c r="I32" i="85"/>
  <c r="H32" i="85"/>
  <c r="G32" i="85"/>
  <c r="F32" i="85"/>
  <c r="E32" i="85"/>
  <c r="D32" i="85"/>
  <c r="C32" i="85"/>
  <c r="N26" i="85"/>
  <c r="M26" i="85"/>
  <c r="L26" i="85"/>
  <c r="K26" i="85"/>
  <c r="J26" i="85"/>
  <c r="I26" i="85"/>
  <c r="H26" i="85"/>
  <c r="G26" i="85"/>
  <c r="F26" i="85"/>
  <c r="E26" i="85"/>
  <c r="D26" i="85"/>
  <c r="C26" i="85"/>
  <c r="N16" i="85"/>
  <c r="M16" i="85"/>
  <c r="L16" i="85"/>
  <c r="K16" i="85"/>
  <c r="J16" i="85"/>
  <c r="I16" i="85"/>
  <c r="H16" i="85"/>
  <c r="G16" i="85"/>
  <c r="F16" i="85"/>
  <c r="E16" i="85"/>
  <c r="D16" i="85"/>
  <c r="C16" i="85"/>
  <c r="N63" i="84"/>
  <c r="M63" i="84"/>
  <c r="L63" i="84"/>
  <c r="K63" i="84"/>
  <c r="J63" i="84"/>
  <c r="I63" i="84"/>
  <c r="H63" i="84"/>
  <c r="G63" i="84"/>
  <c r="F63" i="84"/>
  <c r="E63" i="84"/>
  <c r="D63" i="84"/>
  <c r="C63" i="84"/>
  <c r="N57" i="84"/>
  <c r="M57" i="84"/>
  <c r="L57" i="84"/>
  <c r="K57" i="84"/>
  <c r="J57" i="84"/>
  <c r="I57" i="84"/>
  <c r="H57" i="84"/>
  <c r="G57" i="84"/>
  <c r="F57" i="84"/>
  <c r="E57" i="84"/>
  <c r="D57" i="84"/>
  <c r="C57" i="84"/>
  <c r="N51" i="84"/>
  <c r="M51" i="84"/>
  <c r="L51" i="84"/>
  <c r="K51" i="84"/>
  <c r="J51" i="84"/>
  <c r="I51" i="84"/>
  <c r="H51" i="84"/>
  <c r="G51" i="84"/>
  <c r="F51" i="84"/>
  <c r="E51" i="84"/>
  <c r="D51" i="84"/>
  <c r="C51" i="84"/>
  <c r="N45" i="84"/>
  <c r="M45" i="84"/>
  <c r="L45" i="84"/>
  <c r="K45" i="84"/>
  <c r="J45" i="84"/>
  <c r="I45" i="84"/>
  <c r="H45" i="84"/>
  <c r="G45" i="84"/>
  <c r="F45" i="84"/>
  <c r="E45" i="84"/>
  <c r="D45" i="84"/>
  <c r="C45" i="84"/>
  <c r="N39" i="84"/>
  <c r="M39" i="84"/>
  <c r="L39" i="84"/>
  <c r="K39" i="84"/>
  <c r="J39" i="84"/>
  <c r="I39" i="84"/>
  <c r="H39" i="84"/>
  <c r="G39" i="84"/>
  <c r="F39" i="84"/>
  <c r="E39" i="84"/>
  <c r="D39" i="84"/>
  <c r="C39" i="84"/>
  <c r="N33" i="84"/>
  <c r="M33" i="84"/>
  <c r="L33" i="84"/>
  <c r="K33" i="84"/>
  <c r="J33" i="84"/>
  <c r="I33" i="84"/>
  <c r="H33" i="84"/>
  <c r="G33" i="84"/>
  <c r="F33" i="84"/>
  <c r="E33" i="84"/>
  <c r="D33" i="84"/>
  <c r="C33" i="84"/>
  <c r="N32" i="84"/>
  <c r="M32" i="84"/>
  <c r="L32" i="84"/>
  <c r="K32" i="84"/>
  <c r="J32" i="84"/>
  <c r="I32" i="84"/>
  <c r="H32" i="84"/>
  <c r="G32" i="84"/>
  <c r="F32" i="84"/>
  <c r="E32" i="84"/>
  <c r="D32" i="84"/>
  <c r="C32" i="84"/>
  <c r="N26" i="84"/>
  <c r="M26" i="84"/>
  <c r="L26" i="84"/>
  <c r="K26" i="84"/>
  <c r="J26" i="84"/>
  <c r="I26" i="84"/>
  <c r="H26" i="84"/>
  <c r="G26" i="84"/>
  <c r="F26" i="84"/>
  <c r="E26" i="84"/>
  <c r="D26" i="84"/>
  <c r="C26" i="84"/>
  <c r="N16" i="84"/>
  <c r="M16" i="84"/>
  <c r="L16" i="84"/>
  <c r="K16" i="84"/>
  <c r="J16" i="84"/>
  <c r="I16" i="84"/>
  <c r="H16" i="84"/>
  <c r="G16" i="84"/>
  <c r="F16" i="84"/>
  <c r="E16" i="84"/>
  <c r="D16" i="84"/>
  <c r="C16" i="84"/>
  <c r="N63" i="83"/>
  <c r="M63" i="83"/>
  <c r="L63" i="83"/>
  <c r="K63" i="83"/>
  <c r="J63" i="83"/>
  <c r="I63" i="83"/>
  <c r="H63" i="83"/>
  <c r="G63" i="83"/>
  <c r="F63" i="83"/>
  <c r="E63" i="83"/>
  <c r="D63" i="83"/>
  <c r="C63" i="83"/>
  <c r="N57" i="83"/>
  <c r="M57" i="83"/>
  <c r="L57" i="83"/>
  <c r="K57" i="83"/>
  <c r="J57" i="83"/>
  <c r="I57" i="83"/>
  <c r="H57" i="83"/>
  <c r="G57" i="83"/>
  <c r="F57" i="83"/>
  <c r="E57" i="83"/>
  <c r="D57" i="83"/>
  <c r="C57" i="83"/>
  <c r="N51" i="83"/>
  <c r="M51" i="83"/>
  <c r="L51" i="83"/>
  <c r="K51" i="83"/>
  <c r="J51" i="83"/>
  <c r="I51" i="83"/>
  <c r="H51" i="83"/>
  <c r="G51" i="83"/>
  <c r="F51" i="83"/>
  <c r="E51" i="83"/>
  <c r="D51" i="83"/>
  <c r="C51" i="83"/>
  <c r="N45" i="83"/>
  <c r="M45" i="83"/>
  <c r="L45" i="83"/>
  <c r="K45" i="83"/>
  <c r="J45" i="83"/>
  <c r="I45" i="83"/>
  <c r="H45" i="83"/>
  <c r="G45" i="83"/>
  <c r="F45" i="83"/>
  <c r="E45" i="83"/>
  <c r="D45" i="83"/>
  <c r="C45" i="83"/>
  <c r="N39" i="83"/>
  <c r="M39" i="83"/>
  <c r="L39" i="83"/>
  <c r="K39" i="83"/>
  <c r="J39" i="83"/>
  <c r="I39" i="83"/>
  <c r="H39" i="83"/>
  <c r="G39" i="83"/>
  <c r="F39" i="83"/>
  <c r="E39" i="83"/>
  <c r="D39" i="83"/>
  <c r="C39" i="83"/>
  <c r="N33" i="83"/>
  <c r="M33" i="83"/>
  <c r="L33" i="83"/>
  <c r="K33" i="83"/>
  <c r="J33" i="83"/>
  <c r="I33" i="83"/>
  <c r="H33" i="83"/>
  <c r="G33" i="83"/>
  <c r="F33" i="83"/>
  <c r="E33" i="83"/>
  <c r="D33" i="83"/>
  <c r="C33" i="83"/>
  <c r="N32" i="83"/>
  <c r="M32" i="83"/>
  <c r="L32" i="83"/>
  <c r="K32" i="83"/>
  <c r="J32" i="83"/>
  <c r="I32" i="83"/>
  <c r="H32" i="83"/>
  <c r="G32" i="83"/>
  <c r="F32" i="83"/>
  <c r="E32" i="83"/>
  <c r="D32" i="83"/>
  <c r="C32" i="83"/>
  <c r="N26" i="83"/>
  <c r="M26" i="83"/>
  <c r="L26" i="83"/>
  <c r="K26" i="83"/>
  <c r="J26" i="83"/>
  <c r="I26" i="83"/>
  <c r="H26" i="83"/>
  <c r="G26" i="83"/>
  <c r="F26" i="83"/>
  <c r="E26" i="83"/>
  <c r="D26" i="83"/>
  <c r="C26" i="83"/>
  <c r="N16" i="83"/>
  <c r="M16" i="83"/>
  <c r="L16" i="83"/>
  <c r="K16" i="83"/>
  <c r="J16" i="83"/>
  <c r="I16" i="83"/>
  <c r="H16" i="83"/>
  <c r="G16" i="83"/>
  <c r="F16" i="83"/>
  <c r="E16" i="83"/>
  <c r="D16" i="83"/>
  <c r="C16" i="83"/>
  <c r="N63" i="82"/>
  <c r="M63" i="82"/>
  <c r="L63" i="82"/>
  <c r="K63" i="82"/>
  <c r="J63" i="82"/>
  <c r="I63" i="82"/>
  <c r="H63" i="82"/>
  <c r="G63" i="82"/>
  <c r="F63" i="82"/>
  <c r="E63" i="82"/>
  <c r="D63" i="82"/>
  <c r="C63" i="82"/>
  <c r="N57" i="82"/>
  <c r="M57" i="82"/>
  <c r="L57" i="82"/>
  <c r="K57" i="82"/>
  <c r="J57" i="82"/>
  <c r="I57" i="82"/>
  <c r="H57" i="82"/>
  <c r="G57" i="82"/>
  <c r="F57" i="82"/>
  <c r="E57" i="82"/>
  <c r="D57" i="82"/>
  <c r="C57" i="82"/>
  <c r="N51" i="82"/>
  <c r="M51" i="82"/>
  <c r="L51" i="82"/>
  <c r="K51" i="82"/>
  <c r="J51" i="82"/>
  <c r="I51" i="82"/>
  <c r="H51" i="82"/>
  <c r="G51" i="82"/>
  <c r="F51" i="82"/>
  <c r="E51" i="82"/>
  <c r="D51" i="82"/>
  <c r="C51" i="82"/>
  <c r="N45" i="82"/>
  <c r="M45" i="82"/>
  <c r="L45" i="82"/>
  <c r="K45" i="82"/>
  <c r="J45" i="82"/>
  <c r="I45" i="82"/>
  <c r="H45" i="82"/>
  <c r="G45" i="82"/>
  <c r="F45" i="82"/>
  <c r="E45" i="82"/>
  <c r="D45" i="82"/>
  <c r="C45" i="82"/>
  <c r="N39" i="82"/>
  <c r="M39" i="82"/>
  <c r="L39" i="82"/>
  <c r="K39" i="82"/>
  <c r="J39" i="82"/>
  <c r="I39" i="82"/>
  <c r="H39" i="82"/>
  <c r="G39" i="82"/>
  <c r="F39" i="82"/>
  <c r="E39" i="82"/>
  <c r="D39" i="82"/>
  <c r="C39" i="82"/>
  <c r="N33" i="82"/>
  <c r="M33" i="82"/>
  <c r="L33" i="82"/>
  <c r="K33" i="82"/>
  <c r="J33" i="82"/>
  <c r="I33" i="82"/>
  <c r="H33" i="82"/>
  <c r="G33" i="82"/>
  <c r="F33" i="82"/>
  <c r="E33" i="82"/>
  <c r="D33" i="82"/>
  <c r="C33" i="82"/>
  <c r="N32" i="82"/>
  <c r="M32" i="82"/>
  <c r="L32" i="82"/>
  <c r="K32" i="82"/>
  <c r="J32" i="82"/>
  <c r="I32" i="82"/>
  <c r="H32" i="82"/>
  <c r="G32" i="82"/>
  <c r="F32" i="82"/>
  <c r="E32" i="82"/>
  <c r="D32" i="82"/>
  <c r="C32" i="82"/>
  <c r="N26" i="82"/>
  <c r="M26" i="82"/>
  <c r="L26" i="82"/>
  <c r="K26" i="82"/>
  <c r="J26" i="82"/>
  <c r="I26" i="82"/>
  <c r="H26" i="82"/>
  <c r="G26" i="82"/>
  <c r="F26" i="82"/>
  <c r="E26" i="82"/>
  <c r="D26" i="82"/>
  <c r="C26" i="82"/>
  <c r="N16" i="82"/>
  <c r="M16" i="82"/>
  <c r="L16" i="82"/>
  <c r="K16" i="82"/>
  <c r="J16" i="82"/>
  <c r="I16" i="82"/>
  <c r="H16" i="82"/>
  <c r="G16" i="82"/>
  <c r="F16" i="82"/>
  <c r="E16" i="82"/>
  <c r="D16" i="82"/>
  <c r="C16" i="82"/>
  <c r="N63" i="81"/>
  <c r="M63" i="81"/>
  <c r="L63" i="81"/>
  <c r="K63" i="81"/>
  <c r="J63" i="81"/>
  <c r="I63" i="81"/>
  <c r="H63" i="81"/>
  <c r="G63" i="81"/>
  <c r="F63" i="81"/>
  <c r="E63" i="81"/>
  <c r="D63" i="81"/>
  <c r="C63" i="81"/>
  <c r="N57" i="81"/>
  <c r="M57" i="81"/>
  <c r="L57" i="81"/>
  <c r="K57" i="81"/>
  <c r="J57" i="81"/>
  <c r="I57" i="81"/>
  <c r="H57" i="81"/>
  <c r="G57" i="81"/>
  <c r="F57" i="81"/>
  <c r="E57" i="81"/>
  <c r="D57" i="81"/>
  <c r="C57" i="81"/>
  <c r="N51" i="81"/>
  <c r="M51" i="81"/>
  <c r="L51" i="81"/>
  <c r="K51" i="81"/>
  <c r="J51" i="81"/>
  <c r="I51" i="81"/>
  <c r="H51" i="81"/>
  <c r="G51" i="81"/>
  <c r="F51" i="81"/>
  <c r="E51" i="81"/>
  <c r="D51" i="81"/>
  <c r="C51" i="81"/>
  <c r="N45" i="81"/>
  <c r="M45" i="81"/>
  <c r="L45" i="81"/>
  <c r="K45" i="81"/>
  <c r="J45" i="81"/>
  <c r="I45" i="81"/>
  <c r="H45" i="81"/>
  <c r="G45" i="81"/>
  <c r="F45" i="81"/>
  <c r="E45" i="81"/>
  <c r="D45" i="81"/>
  <c r="C45" i="81"/>
  <c r="N39" i="81"/>
  <c r="M39" i="81"/>
  <c r="L39" i="81"/>
  <c r="K39" i="81"/>
  <c r="J39" i="81"/>
  <c r="I39" i="81"/>
  <c r="H39" i="81"/>
  <c r="G39" i="81"/>
  <c r="F39" i="81"/>
  <c r="E39" i="81"/>
  <c r="D39" i="81"/>
  <c r="C39" i="81"/>
  <c r="N33" i="81"/>
  <c r="M33" i="81"/>
  <c r="L33" i="81"/>
  <c r="K33" i="81"/>
  <c r="J33" i="81"/>
  <c r="I33" i="81"/>
  <c r="H33" i="81"/>
  <c r="G33" i="81"/>
  <c r="F33" i="81"/>
  <c r="E33" i="81"/>
  <c r="D33" i="81"/>
  <c r="C33" i="81"/>
  <c r="N32" i="81"/>
  <c r="M32" i="81"/>
  <c r="L32" i="81"/>
  <c r="K32" i="81"/>
  <c r="J32" i="81"/>
  <c r="I32" i="81"/>
  <c r="H32" i="81"/>
  <c r="G32" i="81"/>
  <c r="F32" i="81"/>
  <c r="E32" i="81"/>
  <c r="D32" i="81"/>
  <c r="C32" i="81"/>
  <c r="N26" i="81"/>
  <c r="M26" i="81"/>
  <c r="L26" i="81"/>
  <c r="K26" i="81"/>
  <c r="J26" i="81"/>
  <c r="I26" i="81"/>
  <c r="H26" i="81"/>
  <c r="G26" i="81"/>
  <c r="F26" i="81"/>
  <c r="E26" i="81"/>
  <c r="D26" i="81"/>
  <c r="C26" i="81"/>
  <c r="N16" i="81"/>
  <c r="M16" i="81"/>
  <c r="L16" i="81"/>
  <c r="K16" i="81"/>
  <c r="K13" i="81" s="1" a="1"/>
  <c r="K13" i="81" s="1"/>
  <c r="M13" i="49" s="1"/>
  <c r="J16" i="81"/>
  <c r="I16" i="81"/>
  <c r="I13" i="81" s="1" a="1"/>
  <c r="I13" i="81" s="1"/>
  <c r="K13" i="49" s="1"/>
  <c r="H16" i="81"/>
  <c r="G16" i="81"/>
  <c r="F16" i="81"/>
  <c r="E16" i="81"/>
  <c r="D16" i="81"/>
  <c r="C16" i="81"/>
  <c r="N63" i="80"/>
  <c r="M63" i="80"/>
  <c r="L63" i="80"/>
  <c r="K63" i="80"/>
  <c r="J63" i="80"/>
  <c r="I63" i="80"/>
  <c r="H63" i="80"/>
  <c r="G63" i="80"/>
  <c r="F63" i="80"/>
  <c r="E63" i="80"/>
  <c r="D63" i="80"/>
  <c r="C63" i="80"/>
  <c r="N57" i="80"/>
  <c r="M57" i="80"/>
  <c r="L57" i="80"/>
  <c r="K57" i="80"/>
  <c r="J57" i="80"/>
  <c r="I57" i="80"/>
  <c r="H57" i="80"/>
  <c r="G57" i="80"/>
  <c r="F57" i="80"/>
  <c r="E57" i="80"/>
  <c r="D57" i="80"/>
  <c r="C57" i="80"/>
  <c r="N51" i="80"/>
  <c r="M51" i="80"/>
  <c r="L51" i="80"/>
  <c r="K51" i="80"/>
  <c r="J51" i="80"/>
  <c r="I51" i="80"/>
  <c r="H51" i="80"/>
  <c r="G51" i="80"/>
  <c r="F51" i="80"/>
  <c r="E51" i="80"/>
  <c r="D51" i="80"/>
  <c r="C51" i="80"/>
  <c r="N45" i="80"/>
  <c r="M45" i="80"/>
  <c r="L45" i="80"/>
  <c r="K45" i="80"/>
  <c r="J45" i="80"/>
  <c r="I45" i="80"/>
  <c r="H45" i="80"/>
  <c r="G45" i="80"/>
  <c r="F45" i="80"/>
  <c r="E45" i="80"/>
  <c r="D45" i="80"/>
  <c r="C45" i="80"/>
  <c r="N39" i="80"/>
  <c r="N13" i="80" s="1" a="1"/>
  <c r="N13" i="80" s="1"/>
  <c r="P12" i="49" s="1"/>
  <c r="M39" i="80"/>
  <c r="L39" i="80"/>
  <c r="K39" i="80"/>
  <c r="J39" i="80"/>
  <c r="I39" i="80"/>
  <c r="H39" i="80"/>
  <c r="G39" i="80"/>
  <c r="F39" i="80"/>
  <c r="E39" i="80"/>
  <c r="D39" i="80"/>
  <c r="C39" i="80"/>
  <c r="N33" i="80"/>
  <c r="M33" i="80"/>
  <c r="L33" i="80"/>
  <c r="K33" i="80"/>
  <c r="J33" i="80"/>
  <c r="I33" i="80"/>
  <c r="H33" i="80"/>
  <c r="G33" i="80"/>
  <c r="F33" i="80"/>
  <c r="E33" i="80"/>
  <c r="D33" i="80"/>
  <c r="C33" i="80"/>
  <c r="N32" i="80"/>
  <c r="M32" i="80"/>
  <c r="L32" i="80"/>
  <c r="K32" i="80"/>
  <c r="J32" i="80"/>
  <c r="I32" i="80"/>
  <c r="H32" i="80"/>
  <c r="G32" i="80"/>
  <c r="F32" i="80"/>
  <c r="E32" i="80"/>
  <c r="D32" i="80"/>
  <c r="C32" i="80"/>
  <c r="N26" i="80"/>
  <c r="M26" i="80"/>
  <c r="L26" i="80"/>
  <c r="K26" i="80"/>
  <c r="J26" i="80"/>
  <c r="I26" i="80"/>
  <c r="H26" i="80"/>
  <c r="G26" i="80"/>
  <c r="F26" i="80"/>
  <c r="E26" i="80"/>
  <c r="D26" i="80"/>
  <c r="C2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N63" i="79"/>
  <c r="M63" i="79"/>
  <c r="L63" i="79"/>
  <c r="K63" i="79"/>
  <c r="J63" i="79"/>
  <c r="I63" i="79"/>
  <c r="H63" i="79"/>
  <c r="G63" i="79"/>
  <c r="F63" i="79"/>
  <c r="E63" i="79"/>
  <c r="D63" i="79"/>
  <c r="C63" i="79"/>
  <c r="N57" i="79"/>
  <c r="M57" i="79"/>
  <c r="L57" i="79"/>
  <c r="K57" i="79"/>
  <c r="J57" i="79"/>
  <c r="I57" i="79"/>
  <c r="H57" i="79"/>
  <c r="G57" i="79"/>
  <c r="F57" i="79"/>
  <c r="E57" i="79"/>
  <c r="D57" i="79"/>
  <c r="C57" i="79"/>
  <c r="N51" i="79"/>
  <c r="M51" i="79"/>
  <c r="L51" i="79"/>
  <c r="K51" i="79"/>
  <c r="J51" i="79"/>
  <c r="I51" i="79"/>
  <c r="H51" i="79"/>
  <c r="G51" i="79"/>
  <c r="F51" i="79"/>
  <c r="E51" i="79"/>
  <c r="D51" i="79"/>
  <c r="C51" i="79"/>
  <c r="N45" i="79"/>
  <c r="M45" i="79"/>
  <c r="L45" i="79"/>
  <c r="K45" i="79"/>
  <c r="J45" i="79"/>
  <c r="I45" i="79"/>
  <c r="H45" i="79"/>
  <c r="G45" i="79"/>
  <c r="F45" i="79"/>
  <c r="E45" i="79"/>
  <c r="D45" i="79"/>
  <c r="C45" i="79"/>
  <c r="N39" i="79"/>
  <c r="M39" i="79"/>
  <c r="L39" i="79"/>
  <c r="K39" i="79"/>
  <c r="J39" i="79"/>
  <c r="I39" i="79"/>
  <c r="H39" i="79"/>
  <c r="G39" i="79"/>
  <c r="F39" i="79"/>
  <c r="E39" i="79"/>
  <c r="D39" i="79"/>
  <c r="C39" i="79"/>
  <c r="N33" i="79"/>
  <c r="M33" i="79"/>
  <c r="L33" i="79"/>
  <c r="K33" i="79"/>
  <c r="J33" i="79"/>
  <c r="I33" i="79"/>
  <c r="H33" i="79"/>
  <c r="G33" i="79"/>
  <c r="F33" i="79"/>
  <c r="E33" i="79"/>
  <c r="D33" i="79"/>
  <c r="C33" i="79"/>
  <c r="N32" i="79"/>
  <c r="M32" i="79"/>
  <c r="L32" i="79"/>
  <c r="K32" i="79"/>
  <c r="J32" i="79"/>
  <c r="I32" i="79"/>
  <c r="H32" i="79"/>
  <c r="G32" i="79"/>
  <c r="F32" i="79"/>
  <c r="E32" i="79"/>
  <c r="D32" i="79"/>
  <c r="C32" i="79"/>
  <c r="N26" i="79"/>
  <c r="M26" i="79"/>
  <c r="L26" i="79"/>
  <c r="K26" i="79"/>
  <c r="J26" i="79"/>
  <c r="I26" i="79"/>
  <c r="H26" i="79"/>
  <c r="G26" i="79"/>
  <c r="F26" i="79"/>
  <c r="E26" i="79"/>
  <c r="D26" i="79"/>
  <c r="D13" i="79" s="1" a="1"/>
  <c r="D13" i="79" s="1"/>
  <c r="F11" i="49" s="1"/>
  <c r="C26" i="79"/>
  <c r="N16" i="79"/>
  <c r="M16" i="79"/>
  <c r="L16" i="79"/>
  <c r="K16" i="79"/>
  <c r="J16" i="79"/>
  <c r="I16" i="79"/>
  <c r="H16" i="79"/>
  <c r="G16" i="79"/>
  <c r="F16" i="79"/>
  <c r="E16" i="79"/>
  <c r="D16" i="79"/>
  <c r="C16" i="79"/>
  <c r="N63" i="78"/>
  <c r="M63" i="78"/>
  <c r="L63" i="78"/>
  <c r="K63" i="78"/>
  <c r="J63" i="78"/>
  <c r="I63" i="78"/>
  <c r="H63" i="78"/>
  <c r="G63" i="78"/>
  <c r="F63" i="78"/>
  <c r="E63" i="78"/>
  <c r="D63" i="78"/>
  <c r="C63" i="78"/>
  <c r="N57" i="78"/>
  <c r="M57" i="78"/>
  <c r="L57" i="78"/>
  <c r="K57" i="78"/>
  <c r="J57" i="78"/>
  <c r="I57" i="78"/>
  <c r="H57" i="78"/>
  <c r="G57" i="78"/>
  <c r="F57" i="78"/>
  <c r="E57" i="78"/>
  <c r="D57" i="78"/>
  <c r="C57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N45" i="78"/>
  <c r="M45" i="78"/>
  <c r="L45" i="78"/>
  <c r="K45" i="78"/>
  <c r="J45" i="78"/>
  <c r="I45" i="78"/>
  <c r="H45" i="78"/>
  <c r="G45" i="78"/>
  <c r="F45" i="78"/>
  <c r="E45" i="78"/>
  <c r="D45" i="78"/>
  <c r="C45" i="78"/>
  <c r="N39" i="78"/>
  <c r="M39" i="78"/>
  <c r="L39" i="78"/>
  <c r="K39" i="78"/>
  <c r="J39" i="78"/>
  <c r="I39" i="78"/>
  <c r="H39" i="78"/>
  <c r="G39" i="78"/>
  <c r="F39" i="78"/>
  <c r="E39" i="78"/>
  <c r="D39" i="78"/>
  <c r="C39" i="78"/>
  <c r="N33" i="78"/>
  <c r="M33" i="78"/>
  <c r="L33" i="78"/>
  <c r="K33" i="78"/>
  <c r="J33" i="78"/>
  <c r="I33" i="78"/>
  <c r="H33" i="78"/>
  <c r="G33" i="78"/>
  <c r="F33" i="78"/>
  <c r="E33" i="78"/>
  <c r="D33" i="78"/>
  <c r="C33" i="78"/>
  <c r="N32" i="78"/>
  <c r="M32" i="78"/>
  <c r="L32" i="78"/>
  <c r="K32" i="78"/>
  <c r="J32" i="78"/>
  <c r="I32" i="78"/>
  <c r="H32" i="78"/>
  <c r="G32" i="78"/>
  <c r="F32" i="78"/>
  <c r="E32" i="78"/>
  <c r="D32" i="78"/>
  <c r="C32" i="78"/>
  <c r="N26" i="78"/>
  <c r="M26" i="78"/>
  <c r="L26" i="78"/>
  <c r="K26" i="78"/>
  <c r="J26" i="78"/>
  <c r="I26" i="78"/>
  <c r="H26" i="78"/>
  <c r="G26" i="78"/>
  <c r="F26" i="78"/>
  <c r="E26" i="78"/>
  <c r="D26" i="78"/>
  <c r="C26" i="78"/>
  <c r="N16" i="78"/>
  <c r="M16" i="78"/>
  <c r="L16" i="78"/>
  <c r="K16" i="78"/>
  <c r="J16" i="78"/>
  <c r="I16" i="78"/>
  <c r="H16" i="78"/>
  <c r="G16" i="78"/>
  <c r="F16" i="78"/>
  <c r="E16" i="78"/>
  <c r="D16" i="78"/>
  <c r="C16" i="78"/>
  <c r="N63" i="77"/>
  <c r="M63" i="77"/>
  <c r="L63" i="77"/>
  <c r="K63" i="77"/>
  <c r="J63" i="77"/>
  <c r="I63" i="77"/>
  <c r="H63" i="77"/>
  <c r="G63" i="77"/>
  <c r="F63" i="77"/>
  <c r="E63" i="77"/>
  <c r="D63" i="77"/>
  <c r="C63" i="77"/>
  <c r="N57" i="77"/>
  <c r="M57" i="77"/>
  <c r="L57" i="77"/>
  <c r="K57" i="77"/>
  <c r="J57" i="77"/>
  <c r="I57" i="77"/>
  <c r="H57" i="77"/>
  <c r="G57" i="77"/>
  <c r="F57" i="77"/>
  <c r="E57" i="77"/>
  <c r="D57" i="77"/>
  <c r="C57" i="77"/>
  <c r="N51" i="77"/>
  <c r="M51" i="77"/>
  <c r="L51" i="77"/>
  <c r="K51" i="77"/>
  <c r="J51" i="77"/>
  <c r="I51" i="77"/>
  <c r="H51" i="77"/>
  <c r="G51" i="77"/>
  <c r="F51" i="77"/>
  <c r="E51" i="77"/>
  <c r="D51" i="77"/>
  <c r="C51" i="77"/>
  <c r="N45" i="77"/>
  <c r="M45" i="77"/>
  <c r="L45" i="77"/>
  <c r="K45" i="77"/>
  <c r="J45" i="77"/>
  <c r="I45" i="77"/>
  <c r="H45" i="77"/>
  <c r="G45" i="77"/>
  <c r="F45" i="77"/>
  <c r="E45" i="77"/>
  <c r="D45" i="77"/>
  <c r="C45" i="77"/>
  <c r="N39" i="77"/>
  <c r="M39" i="77"/>
  <c r="L39" i="77"/>
  <c r="K39" i="77"/>
  <c r="J39" i="77"/>
  <c r="I39" i="77"/>
  <c r="H39" i="77"/>
  <c r="G39" i="77"/>
  <c r="F39" i="77"/>
  <c r="E39" i="77"/>
  <c r="D39" i="77"/>
  <c r="C39" i="77"/>
  <c r="N33" i="77"/>
  <c r="M33" i="77"/>
  <c r="L33" i="77"/>
  <c r="K33" i="77"/>
  <c r="J33" i="77"/>
  <c r="I33" i="77"/>
  <c r="H33" i="77"/>
  <c r="G33" i="77"/>
  <c r="F33" i="77"/>
  <c r="E33" i="77"/>
  <c r="D33" i="77"/>
  <c r="C33" i="77"/>
  <c r="N32" i="77"/>
  <c r="M32" i="77"/>
  <c r="L32" i="77"/>
  <c r="K32" i="77"/>
  <c r="J32" i="77"/>
  <c r="I32" i="77"/>
  <c r="H32" i="77"/>
  <c r="G32" i="77"/>
  <c r="F32" i="77"/>
  <c r="E32" i="77"/>
  <c r="D32" i="77"/>
  <c r="C32" i="77"/>
  <c r="N26" i="77"/>
  <c r="M26" i="77"/>
  <c r="L26" i="77"/>
  <c r="K26" i="77"/>
  <c r="J26" i="77"/>
  <c r="I26" i="77"/>
  <c r="H26" i="77"/>
  <c r="G26" i="77"/>
  <c r="F26" i="77"/>
  <c r="E26" i="77"/>
  <c r="D26" i="77"/>
  <c r="C26" i="77"/>
  <c r="N16" i="77"/>
  <c r="M16" i="77"/>
  <c r="L16" i="77"/>
  <c r="K16" i="77"/>
  <c r="J16" i="77"/>
  <c r="I16" i="77"/>
  <c r="H16" i="77"/>
  <c r="G16" i="77"/>
  <c r="F16" i="77"/>
  <c r="E16" i="77"/>
  <c r="D16" i="77"/>
  <c r="C16" i="77"/>
  <c r="N63" i="76"/>
  <c r="M63" i="76"/>
  <c r="L63" i="76"/>
  <c r="K63" i="76"/>
  <c r="J63" i="76"/>
  <c r="I63" i="76"/>
  <c r="H63" i="76"/>
  <c r="G63" i="76"/>
  <c r="F63" i="76"/>
  <c r="E63" i="76"/>
  <c r="D63" i="76"/>
  <c r="C63" i="76"/>
  <c r="N57" i="76"/>
  <c r="M57" i="76"/>
  <c r="L57" i="76"/>
  <c r="K57" i="76"/>
  <c r="J57" i="76"/>
  <c r="I57" i="76"/>
  <c r="H57" i="76"/>
  <c r="G57" i="76"/>
  <c r="F57" i="76"/>
  <c r="E57" i="76"/>
  <c r="D57" i="76"/>
  <c r="C57" i="76"/>
  <c r="N51" i="76"/>
  <c r="M51" i="76"/>
  <c r="L51" i="76"/>
  <c r="K51" i="76"/>
  <c r="J51" i="76"/>
  <c r="I51" i="76"/>
  <c r="H51" i="76"/>
  <c r="G51" i="76"/>
  <c r="F51" i="76"/>
  <c r="E51" i="76"/>
  <c r="D51" i="76"/>
  <c r="C51" i="76"/>
  <c r="N45" i="76"/>
  <c r="M45" i="76"/>
  <c r="L45" i="76"/>
  <c r="K45" i="76"/>
  <c r="J45" i="76"/>
  <c r="I45" i="76"/>
  <c r="H45" i="76"/>
  <c r="G45" i="76"/>
  <c r="F45" i="76"/>
  <c r="E45" i="76"/>
  <c r="D45" i="76"/>
  <c r="C45" i="76"/>
  <c r="N39" i="76"/>
  <c r="M39" i="76"/>
  <c r="L39" i="76"/>
  <c r="K39" i="76"/>
  <c r="J39" i="76"/>
  <c r="I39" i="76"/>
  <c r="H39" i="76"/>
  <c r="G39" i="76"/>
  <c r="F39" i="76"/>
  <c r="E39" i="76"/>
  <c r="D39" i="76"/>
  <c r="C39" i="76"/>
  <c r="N33" i="76"/>
  <c r="M33" i="76"/>
  <c r="L33" i="76"/>
  <c r="K33" i="76"/>
  <c r="J33" i="76"/>
  <c r="I33" i="76"/>
  <c r="H33" i="76"/>
  <c r="G33" i="76"/>
  <c r="F33" i="76"/>
  <c r="E33" i="76"/>
  <c r="D33" i="76"/>
  <c r="C33" i="76"/>
  <c r="N32" i="76"/>
  <c r="M32" i="76"/>
  <c r="L32" i="76"/>
  <c r="K32" i="76"/>
  <c r="J32" i="76"/>
  <c r="I32" i="76"/>
  <c r="H32" i="76"/>
  <c r="G32" i="76"/>
  <c r="F32" i="76"/>
  <c r="E32" i="76"/>
  <c r="D32" i="76"/>
  <c r="C32" i="76"/>
  <c r="N26" i="76"/>
  <c r="M26" i="76"/>
  <c r="L26" i="76"/>
  <c r="K26" i="76"/>
  <c r="J26" i="76"/>
  <c r="I26" i="76"/>
  <c r="H26" i="76"/>
  <c r="G26" i="76"/>
  <c r="F26" i="76"/>
  <c r="E26" i="76"/>
  <c r="D26" i="76"/>
  <c r="C26" i="76"/>
  <c r="N16" i="76"/>
  <c r="M16" i="76"/>
  <c r="L16" i="76"/>
  <c r="K16" i="76"/>
  <c r="J16" i="76"/>
  <c r="I16" i="76"/>
  <c r="H16" i="76"/>
  <c r="G16" i="76"/>
  <c r="F16" i="76"/>
  <c r="E16" i="76"/>
  <c r="D16" i="76"/>
  <c r="C16" i="76"/>
  <c r="C16" i="73"/>
  <c r="C32" i="73"/>
  <c r="C32" i="5"/>
  <c r="C16" i="5"/>
  <c r="N63" i="74"/>
  <c r="M63" i="74"/>
  <c r="L63" i="74"/>
  <c r="K63" i="74"/>
  <c r="J63" i="74"/>
  <c r="I63" i="74"/>
  <c r="H63" i="74"/>
  <c r="G63" i="74"/>
  <c r="F63" i="74"/>
  <c r="E63" i="74"/>
  <c r="D63" i="74"/>
  <c r="C63" i="74"/>
  <c r="N32" i="74"/>
  <c r="M32" i="74"/>
  <c r="L32" i="74"/>
  <c r="K32" i="74"/>
  <c r="J32" i="74"/>
  <c r="I32" i="74"/>
  <c r="H32" i="74"/>
  <c r="G32" i="74"/>
  <c r="F32" i="74"/>
  <c r="E32" i="74"/>
  <c r="D32" i="74"/>
  <c r="D7" i="49"/>
  <c r="F13" i="102" l="1" a="1"/>
  <c r="F13" i="102" s="1"/>
  <c r="H34" i="49" s="1"/>
  <c r="D13" i="102" a="1"/>
  <c r="D13" i="102" s="1"/>
  <c r="F34" i="49" s="1"/>
  <c r="C13" i="101" a="1"/>
  <c r="C13" i="101" s="1"/>
  <c r="D13" i="101" a="1"/>
  <c r="D13" i="101" s="1"/>
  <c r="F33" i="49" s="1"/>
  <c r="K13" i="101" a="1"/>
  <c r="K13" i="101" s="1"/>
  <c r="M33" i="49" s="1"/>
  <c r="H13" i="101" a="1"/>
  <c r="H13" i="101" s="1"/>
  <c r="J33" i="49" s="1"/>
  <c r="L13" i="96" a="1"/>
  <c r="L13" i="96" s="1"/>
  <c r="N28" i="49" s="1"/>
  <c r="H13" i="95" a="1"/>
  <c r="H13" i="95" s="1"/>
  <c r="J27" i="49" s="1"/>
  <c r="F13" i="95" a="1"/>
  <c r="F13" i="95" s="1"/>
  <c r="H27" i="49" s="1"/>
  <c r="N13" i="95" a="1"/>
  <c r="N13" i="95" s="1"/>
  <c r="P27" i="49" s="1"/>
  <c r="H13" i="94" a="1"/>
  <c r="H13" i="94" s="1"/>
  <c r="J26" i="49" s="1"/>
  <c r="N13" i="94" a="1"/>
  <c r="N13" i="94" s="1"/>
  <c r="P26" i="49" s="1"/>
  <c r="I13" i="92" a="1"/>
  <c r="I13" i="92" s="1"/>
  <c r="K24" i="49" s="1"/>
  <c r="F13" i="92" a="1"/>
  <c r="F13" i="92" s="1"/>
  <c r="H24" i="49" s="1"/>
  <c r="C13" i="90" a="1"/>
  <c r="C13" i="90" s="1"/>
  <c r="I13" i="90" a="1"/>
  <c r="I13" i="90" s="1"/>
  <c r="K22" i="49" s="1"/>
  <c r="I13" i="88" a="1"/>
  <c r="I13" i="88" s="1"/>
  <c r="K20" i="49" s="1"/>
  <c r="F13" i="88" a="1"/>
  <c r="F13" i="88" s="1"/>
  <c r="H20" i="49" s="1"/>
  <c r="J13" i="88" a="1"/>
  <c r="J13" i="88" s="1"/>
  <c r="L20" i="49" s="1"/>
  <c r="G13" i="88" a="1"/>
  <c r="G13" i="88" s="1"/>
  <c r="I20" i="49" s="1"/>
  <c r="D13" i="88" a="1"/>
  <c r="D13" i="88" s="1"/>
  <c r="F20" i="49" s="1"/>
  <c r="E13" i="88" a="1"/>
  <c r="E13" i="88" s="1"/>
  <c r="G20" i="49" s="1"/>
  <c r="I13" i="87" a="1"/>
  <c r="I13" i="87" s="1"/>
  <c r="K19" i="49" s="1"/>
  <c r="L13" i="87" a="1"/>
  <c r="L13" i="87" s="1"/>
  <c r="N19" i="49" s="1"/>
  <c r="D13" i="87" a="1"/>
  <c r="D13" i="87" s="1"/>
  <c r="F19" i="49" s="1"/>
  <c r="F13" i="85" a="1"/>
  <c r="F13" i="85" s="1"/>
  <c r="H17" i="49" s="1"/>
  <c r="G13" i="85" a="1"/>
  <c r="G13" i="85" s="1"/>
  <c r="I17" i="49" s="1"/>
  <c r="L13" i="85" a="1"/>
  <c r="L13" i="85" s="1"/>
  <c r="N17" i="49" s="1"/>
  <c r="D13" i="85" a="1"/>
  <c r="D13" i="85" s="1"/>
  <c r="F17" i="49" s="1"/>
  <c r="I13" i="85" a="1"/>
  <c r="I13" i="85" s="1"/>
  <c r="K17" i="49" s="1"/>
  <c r="F13" i="84" a="1"/>
  <c r="F13" i="84" s="1"/>
  <c r="H16" i="49" s="1"/>
  <c r="L13" i="82" a="1"/>
  <c r="L13" i="82" s="1"/>
  <c r="N14" i="49" s="1"/>
  <c r="L13" i="81" a="1"/>
  <c r="L13" i="81" s="1"/>
  <c r="N13" i="49" s="1"/>
  <c r="E13" i="77" a="1"/>
  <c r="E13" i="77" s="1"/>
  <c r="G9" i="49" s="1"/>
  <c r="M13" i="76" a="1"/>
  <c r="M13" i="76" s="1"/>
  <c r="O8" i="49" s="1"/>
  <c r="H13" i="85" a="1"/>
  <c r="H13" i="85" s="1"/>
  <c r="J17" i="49" s="1"/>
  <c r="H13" i="99" a="1"/>
  <c r="H13" i="99" s="1"/>
  <c r="J31" i="49" s="1"/>
  <c r="L13" i="101" a="1"/>
  <c r="L13" i="101" s="1"/>
  <c r="N33" i="49" s="1"/>
  <c r="J13" i="81" a="1"/>
  <c r="J13" i="81" s="1"/>
  <c r="L13" i="49" s="1"/>
  <c r="F13" i="99" a="1"/>
  <c r="F13" i="99" s="1"/>
  <c r="H31" i="49" s="1"/>
  <c r="J13" i="101" a="1"/>
  <c r="J13" i="101" s="1"/>
  <c r="L33" i="49" s="1"/>
  <c r="J13" i="76" a="1"/>
  <c r="J13" i="76" s="1"/>
  <c r="L8" i="49" s="1"/>
  <c r="G13" i="82" a="1"/>
  <c r="G13" i="82" s="1"/>
  <c r="I14" i="49" s="1"/>
  <c r="E13" i="84" a="1"/>
  <c r="E13" i="84" s="1"/>
  <c r="G16" i="49" s="1"/>
  <c r="J13" i="98" a="1"/>
  <c r="J13" i="98" s="1"/>
  <c r="L30" i="49" s="1"/>
  <c r="M13" i="92" a="1"/>
  <c r="M13" i="92" s="1"/>
  <c r="O24" i="49" s="1"/>
  <c r="H13" i="76" a="1"/>
  <c r="H13" i="76" s="1"/>
  <c r="J8" i="49" s="1"/>
  <c r="E13" i="85" a="1"/>
  <c r="E13" i="85" s="1"/>
  <c r="G17" i="49" s="1"/>
  <c r="E13" i="99" a="1"/>
  <c r="E13" i="99" s="1"/>
  <c r="G31" i="49" s="1"/>
  <c r="N13" i="101" a="1"/>
  <c r="N13" i="101" s="1"/>
  <c r="P33" i="49" s="1"/>
  <c r="G13" i="93" a="1"/>
  <c r="G13" i="93" s="1"/>
  <c r="I25" i="49" s="1"/>
  <c r="D13" i="96" a="1"/>
  <c r="D13" i="96" s="1"/>
  <c r="F28" i="49" s="1"/>
  <c r="M13" i="77" a="1"/>
  <c r="M13" i="77" s="1"/>
  <c r="O9" i="49" s="1"/>
  <c r="J13" i="83" a="1"/>
  <c r="J13" i="83" s="1"/>
  <c r="L15" i="49" s="1"/>
  <c r="M13" i="83" a="1"/>
  <c r="M13" i="83" s="1"/>
  <c r="O15" i="49" s="1"/>
  <c r="H13" i="83" a="1"/>
  <c r="H13" i="83" s="1"/>
  <c r="J15" i="49" s="1"/>
  <c r="N13" i="85" a="1"/>
  <c r="N13" i="85" s="1"/>
  <c r="P17" i="49" s="1"/>
  <c r="E13" i="93" a="1"/>
  <c r="E13" i="93" s="1"/>
  <c r="G25" i="49" s="1"/>
  <c r="H13" i="93" a="1"/>
  <c r="H13" i="93" s="1"/>
  <c r="J25" i="49" s="1"/>
  <c r="L13" i="93" a="1"/>
  <c r="L13" i="93" s="1"/>
  <c r="N25" i="49" s="1"/>
  <c r="E13" i="96" a="1"/>
  <c r="E13" i="96" s="1"/>
  <c r="G28" i="49" s="1"/>
  <c r="H13" i="96" a="1"/>
  <c r="H13" i="96" s="1"/>
  <c r="J28" i="49" s="1"/>
  <c r="J13" i="99" a="1"/>
  <c r="J13" i="99" s="1"/>
  <c r="L31" i="49" s="1"/>
  <c r="I13" i="76" a="1"/>
  <c r="I13" i="76" s="1"/>
  <c r="K8" i="49" s="1"/>
  <c r="D13" i="99" a="1"/>
  <c r="D13" i="99" s="1"/>
  <c r="F31" i="49" s="1"/>
  <c r="L13" i="83" a="1"/>
  <c r="L13" i="83" s="1"/>
  <c r="N15" i="49" s="1"/>
  <c r="I13" i="93" a="1"/>
  <c r="I13" i="93" s="1"/>
  <c r="K25" i="49" s="1"/>
  <c r="I13" i="96" a="1"/>
  <c r="I13" i="96" s="1"/>
  <c r="K28" i="49" s="1"/>
  <c r="J13" i="77" a="1"/>
  <c r="J13" i="77" s="1"/>
  <c r="L9" i="49" s="1"/>
  <c r="E13" i="81" a="1"/>
  <c r="E13" i="81" s="1"/>
  <c r="G13" i="49" s="1"/>
  <c r="H13" i="78" a="1"/>
  <c r="H13" i="78" s="1"/>
  <c r="J10" i="49" s="1"/>
  <c r="E13" i="82" a="1"/>
  <c r="E13" i="82" s="1"/>
  <c r="G14" i="49" s="1"/>
  <c r="G13" i="89" a="1"/>
  <c r="G13" i="89" s="1"/>
  <c r="I21" i="49" s="1"/>
  <c r="L13" i="89" a="1"/>
  <c r="L13" i="89" s="1"/>
  <c r="N21" i="49" s="1"/>
  <c r="N13" i="89" a="1"/>
  <c r="N13" i="89" s="1"/>
  <c r="P21" i="49" s="1"/>
  <c r="F13" i="100" a="1"/>
  <c r="F13" i="100" s="1"/>
  <c r="H32" i="49" s="1"/>
  <c r="I13" i="102" a="1"/>
  <c r="I13" i="102" s="1"/>
  <c r="K34" i="49" s="1"/>
  <c r="M13" i="89" a="1"/>
  <c r="M13" i="89" s="1"/>
  <c r="O21" i="49" s="1"/>
  <c r="I13" i="101" a="1"/>
  <c r="I13" i="101" s="1"/>
  <c r="K33" i="49" s="1"/>
  <c r="F13" i="81" a="1"/>
  <c r="F13" i="81" s="1"/>
  <c r="H13" i="49" s="1"/>
  <c r="L13" i="98" a="1"/>
  <c r="L13" i="98" s="1"/>
  <c r="N30" i="49" s="1"/>
  <c r="K13" i="99" a="1"/>
  <c r="K13" i="99" s="1"/>
  <c r="M31" i="49" s="1"/>
  <c r="M13" i="101" a="1"/>
  <c r="M13" i="101" s="1"/>
  <c r="O33" i="49" s="1"/>
  <c r="L13" i="76" a="1"/>
  <c r="L13" i="76" s="1"/>
  <c r="N8" i="49" s="1"/>
  <c r="L13" i="77" a="1"/>
  <c r="L13" i="77" s="1"/>
  <c r="N9" i="49" s="1"/>
  <c r="G13" i="81" a="1"/>
  <c r="G13" i="81" s="1"/>
  <c r="I13" i="49" s="1"/>
  <c r="G13" i="83" a="1"/>
  <c r="G13" i="83" s="1"/>
  <c r="I15" i="49" s="1"/>
  <c r="G13" i="92" a="1"/>
  <c r="G13" i="92" s="1"/>
  <c r="I24" i="49" s="1"/>
  <c r="D13" i="93" a="1"/>
  <c r="D13" i="93" s="1"/>
  <c r="F25" i="49" s="1"/>
  <c r="K13" i="93" a="1"/>
  <c r="K13" i="93" s="1"/>
  <c r="M25" i="49" s="1"/>
  <c r="G13" i="96" a="1"/>
  <c r="G13" i="96" s="1"/>
  <c r="I28" i="49" s="1"/>
  <c r="F13" i="96" a="1"/>
  <c r="F13" i="96" s="1"/>
  <c r="H28" i="49" s="1"/>
  <c r="D13" i="76" a="1"/>
  <c r="D13" i="76" s="1"/>
  <c r="F8" i="49" s="1"/>
  <c r="K13" i="76" a="1"/>
  <c r="K13" i="76" s="1"/>
  <c r="M8" i="49" s="1"/>
  <c r="H13" i="77" a="1"/>
  <c r="H13" i="77" s="1"/>
  <c r="J9" i="49" s="1"/>
  <c r="G13" i="78" a="1"/>
  <c r="G13" i="78" s="1"/>
  <c r="I10" i="49" s="1"/>
  <c r="M13" i="79" a="1"/>
  <c r="M13" i="79" s="1"/>
  <c r="O11" i="49" s="1"/>
  <c r="E13" i="76" a="1"/>
  <c r="E13" i="76" s="1"/>
  <c r="G8" i="49" s="1"/>
  <c r="G13" i="76" a="1"/>
  <c r="G13" i="76" s="1"/>
  <c r="I8" i="49" s="1"/>
  <c r="F13" i="78" a="1"/>
  <c r="F13" i="78" s="1"/>
  <c r="H10" i="49" s="1"/>
  <c r="M13" i="78" a="1"/>
  <c r="M13" i="78" s="1"/>
  <c r="O10" i="49" s="1"/>
  <c r="F13" i="76" a="1"/>
  <c r="F13" i="76" s="1"/>
  <c r="H8" i="49" s="1"/>
  <c r="E13" i="79" a="1"/>
  <c r="E13" i="79" s="1"/>
  <c r="G11" i="49" s="1"/>
  <c r="H13" i="82" a="1"/>
  <c r="H13" i="82" s="1"/>
  <c r="J14" i="49" s="1"/>
  <c r="H13" i="86" a="1"/>
  <c r="H13" i="86" s="1"/>
  <c r="J18" i="49" s="1"/>
  <c r="K13" i="86" a="1"/>
  <c r="K13" i="86" s="1"/>
  <c r="M18" i="49" s="1"/>
  <c r="H13" i="89" a="1"/>
  <c r="H13" i="89" s="1"/>
  <c r="J21" i="49" s="1"/>
  <c r="L13" i="94" a="1"/>
  <c r="L13" i="94" s="1"/>
  <c r="N26" i="49" s="1"/>
  <c r="D13" i="97" a="1"/>
  <c r="D13" i="97" s="1"/>
  <c r="F29" i="49" s="1"/>
  <c r="G13" i="97" a="1"/>
  <c r="G13" i="97" s="1"/>
  <c r="I29" i="49" s="1"/>
  <c r="N13" i="97" a="1"/>
  <c r="N13" i="97" s="1"/>
  <c r="P29" i="49" s="1"/>
  <c r="F13" i="97" a="1"/>
  <c r="F13" i="97" s="1"/>
  <c r="H29" i="49" s="1"/>
  <c r="G13" i="100" a="1"/>
  <c r="G13" i="100" s="1"/>
  <c r="I32" i="49" s="1"/>
  <c r="J13" i="100" a="1"/>
  <c r="J13" i="100" s="1"/>
  <c r="L32" i="49" s="1"/>
  <c r="E13" i="100" a="1"/>
  <c r="E13" i="100" s="1"/>
  <c r="G32" i="49" s="1"/>
  <c r="N13" i="100" a="1"/>
  <c r="N13" i="100" s="1"/>
  <c r="P32" i="49" s="1"/>
  <c r="J13" i="102" a="1"/>
  <c r="J13" i="102" s="1"/>
  <c r="L34" i="49" s="1"/>
  <c r="M13" i="102" a="1"/>
  <c r="M13" i="102" s="1"/>
  <c r="O34" i="49" s="1"/>
  <c r="E13" i="102" a="1"/>
  <c r="E13" i="102" s="1"/>
  <c r="G34" i="49" s="1"/>
  <c r="K13" i="85" a="1"/>
  <c r="K13" i="85" s="1"/>
  <c r="M17" i="49" s="1"/>
  <c r="N13" i="82" a="1"/>
  <c r="N13" i="82" s="1"/>
  <c r="P14" i="49" s="1"/>
  <c r="I13" i="77" a="1"/>
  <c r="I13" i="77" s="1"/>
  <c r="K9" i="49" s="1"/>
  <c r="K13" i="83" a="1"/>
  <c r="K13" i="83" s="1"/>
  <c r="M15" i="49" s="1"/>
  <c r="J13" i="78" a="1"/>
  <c r="J13" i="78" s="1"/>
  <c r="L10" i="49" s="1"/>
  <c r="E13" i="80" a="1"/>
  <c r="E13" i="80" s="1"/>
  <c r="G12" i="49" s="1"/>
  <c r="L13" i="80" a="1"/>
  <c r="L13" i="80" s="1"/>
  <c r="N12" i="49" s="1"/>
  <c r="H13" i="81" a="1"/>
  <c r="H13" i="81" s="1"/>
  <c r="J13" i="49" s="1"/>
  <c r="I13" i="84" a="1"/>
  <c r="I13" i="84" s="1"/>
  <c r="K16" i="49" s="1"/>
  <c r="I13" i="89" a="1"/>
  <c r="I13" i="89" s="1"/>
  <c r="K21" i="49" s="1"/>
  <c r="E13" i="90" a="1"/>
  <c r="E13" i="90" s="1"/>
  <c r="G22" i="49" s="1"/>
  <c r="J13" i="90" a="1"/>
  <c r="J13" i="90" s="1"/>
  <c r="L22" i="49" s="1"/>
  <c r="E13" i="97" a="1"/>
  <c r="E13" i="97" s="1"/>
  <c r="G29" i="49" s="1"/>
  <c r="H13" i="97" a="1"/>
  <c r="H13" i="97" s="1"/>
  <c r="J29" i="49" s="1"/>
  <c r="L13" i="97" a="1"/>
  <c r="L13" i="97" s="1"/>
  <c r="N29" i="49" s="1"/>
  <c r="K13" i="102" a="1"/>
  <c r="K13" i="102" s="1"/>
  <c r="M34" i="49" s="1"/>
  <c r="M13" i="85" a="1"/>
  <c r="M13" i="85" s="1"/>
  <c r="O17" i="49" s="1"/>
  <c r="F13" i="89" a="1"/>
  <c r="F13" i="89" s="1"/>
  <c r="H21" i="49" s="1"/>
  <c r="M13" i="82" a="1"/>
  <c r="M13" i="82" s="1"/>
  <c r="O14" i="49" s="1"/>
  <c r="N13" i="76" a="1"/>
  <c r="N13" i="76" s="1"/>
  <c r="P8" i="49" s="1"/>
  <c r="D13" i="81" a="1"/>
  <c r="D13" i="81" s="1"/>
  <c r="F13" i="49" s="1"/>
  <c r="K13" i="79" a="1"/>
  <c r="K13" i="79" s="1"/>
  <c r="M11" i="49" s="1"/>
  <c r="K13" i="78" a="1"/>
  <c r="K13" i="78" s="1"/>
  <c r="M10" i="49" s="1"/>
  <c r="F13" i="80" a="1"/>
  <c r="F13" i="80" s="1"/>
  <c r="H12" i="49" s="1"/>
  <c r="J13" i="84" a="1"/>
  <c r="J13" i="84" s="1"/>
  <c r="L16" i="49" s="1"/>
  <c r="M13" i="84" a="1"/>
  <c r="M13" i="84" s="1"/>
  <c r="O16" i="49" s="1"/>
  <c r="H13" i="84" a="1"/>
  <c r="H13" i="84" s="1"/>
  <c r="J16" i="49" s="1"/>
  <c r="J13" i="86" a="1"/>
  <c r="J13" i="86" s="1"/>
  <c r="L18" i="49" s="1"/>
  <c r="M13" i="86" a="1"/>
  <c r="M13" i="86" s="1"/>
  <c r="O18" i="49" s="1"/>
  <c r="J13" i="89" a="1"/>
  <c r="J13" i="89" s="1"/>
  <c r="L21" i="49" s="1"/>
  <c r="F13" i="90" a="1"/>
  <c r="F13" i="90" s="1"/>
  <c r="H22" i="49" s="1"/>
  <c r="D13" i="90" a="1"/>
  <c r="D13" i="90" s="1"/>
  <c r="F22" i="49" s="1"/>
  <c r="K13" i="90" a="1"/>
  <c r="K13" i="90" s="1"/>
  <c r="M22" i="49" s="1"/>
  <c r="F13" i="94" a="1"/>
  <c r="F13" i="94" s="1"/>
  <c r="H26" i="49" s="1"/>
  <c r="M13" i="94" a="1"/>
  <c r="M13" i="94" s="1"/>
  <c r="O26" i="49" s="1"/>
  <c r="H13" i="98" a="1"/>
  <c r="H13" i="98" s="1"/>
  <c r="J30" i="49" s="1"/>
  <c r="K13" i="87" a="1"/>
  <c r="K13" i="87" s="1"/>
  <c r="M19" i="49" s="1"/>
  <c r="K13" i="82" a="1"/>
  <c r="K13" i="82" s="1"/>
  <c r="M14" i="49" s="1"/>
  <c r="G13" i="77" a="1"/>
  <c r="G13" i="77" s="1"/>
  <c r="I9" i="49" s="1"/>
  <c r="L13" i="78" a="1"/>
  <c r="L13" i="78" s="1"/>
  <c r="N10" i="49" s="1"/>
  <c r="K13" i="84" a="1"/>
  <c r="K13" i="84" s="1"/>
  <c r="M16" i="49" s="1"/>
  <c r="D13" i="84" a="1"/>
  <c r="D13" i="84" s="1"/>
  <c r="F16" i="49" s="1"/>
  <c r="N13" i="91" a="1"/>
  <c r="N13" i="91" s="1"/>
  <c r="P23" i="49" s="1"/>
  <c r="J13" i="93" a="1"/>
  <c r="J13" i="93" s="1"/>
  <c r="L25" i="49" s="1"/>
  <c r="E13" i="94" a="1"/>
  <c r="E13" i="94" s="1"/>
  <c r="G26" i="49" s="1"/>
  <c r="J13" i="96" a="1"/>
  <c r="J13" i="96" s="1"/>
  <c r="L28" i="49" s="1"/>
  <c r="D13" i="98" a="1"/>
  <c r="D13" i="98" s="1"/>
  <c r="F30" i="49" s="1"/>
  <c r="G13" i="98" a="1"/>
  <c r="G13" i="98" s="1"/>
  <c r="I30" i="49" s="1"/>
  <c r="N13" i="98" a="1"/>
  <c r="N13" i="98" s="1"/>
  <c r="P30" i="49" s="1"/>
  <c r="I13" i="98" a="1"/>
  <c r="I13" i="98" s="1"/>
  <c r="K30" i="49" s="1"/>
  <c r="K13" i="77" a="1"/>
  <c r="K13" i="77" s="1"/>
  <c r="M9" i="49" s="1"/>
  <c r="I13" i="83" a="1"/>
  <c r="I13" i="83" s="1"/>
  <c r="K15" i="49" s="1"/>
  <c r="F13" i="79" a="1"/>
  <c r="F13" i="79" s="1"/>
  <c r="H11" i="49" s="1"/>
  <c r="D13" i="77" a="1"/>
  <c r="D13" i="77" s="1"/>
  <c r="F9" i="49" s="1"/>
  <c r="I13" i="79" a="1"/>
  <c r="I13" i="79" s="1"/>
  <c r="K11" i="49" s="1"/>
  <c r="N13" i="81" a="1"/>
  <c r="N13" i="81" s="1"/>
  <c r="P13" i="49" s="1"/>
  <c r="H13" i="87" a="1"/>
  <c r="H13" i="87" s="1"/>
  <c r="J19" i="49" s="1"/>
  <c r="F13" i="87" a="1"/>
  <c r="F13" i="87" s="1"/>
  <c r="H19" i="49" s="1"/>
  <c r="E13" i="87" a="1"/>
  <c r="E13" i="87" s="1"/>
  <c r="G19" i="49" s="1"/>
  <c r="H13" i="90" a="1"/>
  <c r="H13" i="90" s="1"/>
  <c r="J22" i="49" s="1"/>
  <c r="E13" i="91" a="1"/>
  <c r="E13" i="91" s="1"/>
  <c r="G23" i="49" s="1"/>
  <c r="E13" i="95" a="1"/>
  <c r="E13" i="95" s="1"/>
  <c r="G27" i="49" s="1"/>
  <c r="L13" i="95" a="1"/>
  <c r="L13" i="95" s="1"/>
  <c r="N27" i="49" s="1"/>
  <c r="K13" i="96" a="1"/>
  <c r="K13" i="96" s="1"/>
  <c r="M28" i="49" s="1"/>
  <c r="M13" i="97" a="1"/>
  <c r="M13" i="97" s="1"/>
  <c r="O29" i="49" s="1"/>
  <c r="F13" i="91" a="1"/>
  <c r="F13" i="91" s="1"/>
  <c r="H23" i="49" s="1"/>
  <c r="C13" i="95" a="1"/>
  <c r="C13" i="95" s="1"/>
  <c r="H13" i="79" a="1"/>
  <c r="H13" i="79" s="1"/>
  <c r="J11" i="49" s="1"/>
  <c r="D13" i="80" a="1"/>
  <c r="D13" i="80" s="1"/>
  <c r="F12" i="49" s="1"/>
  <c r="G13" i="80" a="1"/>
  <c r="G13" i="80" s="1"/>
  <c r="I12" i="49" s="1"/>
  <c r="I13" i="80" a="1"/>
  <c r="I13" i="80" s="1"/>
  <c r="K12" i="49" s="1"/>
  <c r="K13" i="80" a="1"/>
  <c r="K13" i="80" s="1"/>
  <c r="M12" i="49" s="1"/>
  <c r="G13" i="91" a="1"/>
  <c r="G13" i="91" s="1"/>
  <c r="I23" i="49" s="1"/>
  <c r="D13" i="95" a="1"/>
  <c r="D13" i="95" s="1"/>
  <c r="F27" i="49" s="1"/>
  <c r="E33" i="49"/>
  <c r="K13" i="88" a="1"/>
  <c r="K13" i="88" s="1"/>
  <c r="M20" i="49" s="1"/>
  <c r="K13" i="91" a="1"/>
  <c r="K13" i="91" s="1"/>
  <c r="M23" i="49" s="1"/>
  <c r="C13" i="76" a="1"/>
  <c r="C13" i="76" s="1"/>
  <c r="L13" i="90" a="1"/>
  <c r="L13" i="90" s="1"/>
  <c r="N22" i="49" s="1"/>
  <c r="H13" i="91" a="1"/>
  <c r="H13" i="91" s="1"/>
  <c r="J23" i="49" s="1"/>
  <c r="M13" i="80" a="1"/>
  <c r="M13" i="80" s="1"/>
  <c r="O12" i="49" s="1"/>
  <c r="H13" i="88" a="1"/>
  <c r="H13" i="88" s="1"/>
  <c r="J20" i="49" s="1"/>
  <c r="M13" i="88" a="1"/>
  <c r="M13" i="88" s="1"/>
  <c r="O20" i="49" s="1"/>
  <c r="M13" i="91" a="1"/>
  <c r="M13" i="91" s="1"/>
  <c r="O23" i="49" s="1"/>
  <c r="C13" i="92" a="1"/>
  <c r="C13" i="92" s="1"/>
  <c r="L13" i="102" a="1"/>
  <c r="L13" i="102" s="1"/>
  <c r="N34" i="49" s="1"/>
  <c r="F13" i="82" a="1"/>
  <c r="F13" i="82" s="1"/>
  <c r="H14" i="49" s="1"/>
  <c r="I13" i="86" a="1"/>
  <c r="I13" i="86" s="1"/>
  <c r="K18" i="49" s="1"/>
  <c r="L13" i="86" a="1"/>
  <c r="L13" i="86" s="1"/>
  <c r="N18" i="49" s="1"/>
  <c r="N13" i="86" a="1"/>
  <c r="N13" i="86" s="1"/>
  <c r="P18" i="49" s="1"/>
  <c r="C13" i="93" a="1"/>
  <c r="C13" i="93" s="1"/>
  <c r="F13" i="93" a="1"/>
  <c r="F13" i="93" s="1"/>
  <c r="H25" i="49" s="1"/>
  <c r="L13" i="100" a="1"/>
  <c r="L13" i="100" s="1"/>
  <c r="N32" i="49" s="1"/>
  <c r="G13" i="79" a="1"/>
  <c r="G13" i="79" s="1"/>
  <c r="I11" i="49" s="1"/>
  <c r="C13" i="80" a="1"/>
  <c r="C13" i="80" s="1"/>
  <c r="M13" i="98" a="1"/>
  <c r="M13" i="98" s="1"/>
  <c r="O30" i="49" s="1"/>
  <c r="N13" i="83" a="1"/>
  <c r="N13" i="83" s="1"/>
  <c r="P15" i="49" s="1"/>
  <c r="E22" i="49"/>
  <c r="E13" i="78" a="1"/>
  <c r="E13" i="78" s="1"/>
  <c r="G10" i="49" s="1"/>
  <c r="D13" i="83" a="1"/>
  <c r="D13" i="83" s="1"/>
  <c r="F15" i="49" s="1"/>
  <c r="H13" i="92" a="1"/>
  <c r="H13" i="92" s="1"/>
  <c r="J24" i="49" s="1"/>
  <c r="C13" i="77" a="1"/>
  <c r="C13" i="77" s="1"/>
  <c r="N13" i="77" a="1"/>
  <c r="N13" i="77" s="1"/>
  <c r="P9" i="49" s="1"/>
  <c r="C13" i="79" a="1"/>
  <c r="C13" i="79" s="1"/>
  <c r="L13" i="84" a="1"/>
  <c r="L13" i="84" s="1"/>
  <c r="N16" i="49" s="1"/>
  <c r="L13" i="88" a="1"/>
  <c r="L13" i="88" s="1"/>
  <c r="N20" i="49" s="1"/>
  <c r="K13" i="94" a="1"/>
  <c r="K13" i="94" s="1"/>
  <c r="M26" i="49" s="1"/>
  <c r="I13" i="95" a="1"/>
  <c r="I13" i="95" s="1"/>
  <c r="K27" i="49" s="1"/>
  <c r="I13" i="99" a="1"/>
  <c r="I13" i="99" s="1"/>
  <c r="K31" i="49" s="1"/>
  <c r="L13" i="79" a="1"/>
  <c r="L13" i="79" s="1"/>
  <c r="N11" i="49" s="1"/>
  <c r="J13" i="92" a="1"/>
  <c r="J13" i="92" s="1"/>
  <c r="L24" i="49" s="1"/>
  <c r="L13" i="92" a="1"/>
  <c r="L13" i="92" s="1"/>
  <c r="N24" i="49" s="1"/>
  <c r="J13" i="95" a="1"/>
  <c r="J13" i="95" s="1"/>
  <c r="L27" i="49" s="1"/>
  <c r="M13" i="95" a="1"/>
  <c r="M13" i="95" s="1"/>
  <c r="O27" i="49" s="1"/>
  <c r="I13" i="100" a="1"/>
  <c r="I13" i="100" s="1"/>
  <c r="K32" i="49" s="1"/>
  <c r="H13" i="80" a="1"/>
  <c r="H13" i="80" s="1"/>
  <c r="J12" i="49" s="1"/>
  <c r="D13" i="91" a="1"/>
  <c r="D13" i="91" s="1"/>
  <c r="F23" i="49" s="1"/>
  <c r="N13" i="88" a="1"/>
  <c r="N13" i="88" s="1"/>
  <c r="P20" i="49" s="1"/>
  <c r="L13" i="91" a="1"/>
  <c r="L13" i="91" s="1"/>
  <c r="N23" i="49" s="1"/>
  <c r="I13" i="78" a="1"/>
  <c r="I13" i="78" s="1"/>
  <c r="K10" i="49" s="1"/>
  <c r="D13" i="78" a="1"/>
  <c r="D13" i="78" s="1"/>
  <c r="F10" i="49" s="1"/>
  <c r="N13" i="79" a="1"/>
  <c r="N13" i="79" s="1"/>
  <c r="P11" i="49" s="1"/>
  <c r="J13" i="80" a="1"/>
  <c r="J13" i="80" s="1"/>
  <c r="L12" i="49" s="1"/>
  <c r="D13" i="82" a="1"/>
  <c r="D13" i="82" s="1"/>
  <c r="F14" i="49" s="1"/>
  <c r="J13" i="87" a="1"/>
  <c r="J13" i="87" s="1"/>
  <c r="L19" i="49" s="1"/>
  <c r="D13" i="94" a="1"/>
  <c r="D13" i="94" s="1"/>
  <c r="F26" i="49" s="1"/>
  <c r="G13" i="94" a="1"/>
  <c r="G13" i="94" s="1"/>
  <c r="I26" i="49" s="1"/>
  <c r="C13" i="98" a="1"/>
  <c r="C13" i="98" s="1"/>
  <c r="F13" i="98" a="1"/>
  <c r="F13" i="98" s="1"/>
  <c r="H30" i="49" s="1"/>
  <c r="L13" i="99" a="1"/>
  <c r="L13" i="99" s="1"/>
  <c r="N31" i="49" s="1"/>
  <c r="H13" i="100" a="1"/>
  <c r="H13" i="100" s="1"/>
  <c r="J32" i="49" s="1"/>
  <c r="M13" i="100" a="1"/>
  <c r="M13" i="100" s="1"/>
  <c r="O32" i="49" s="1"/>
  <c r="J13" i="79" a="1"/>
  <c r="J13" i="79" s="1"/>
  <c r="L11" i="49" s="1"/>
  <c r="M13" i="87" a="1"/>
  <c r="M13" i="87" s="1"/>
  <c r="O19" i="49" s="1"/>
  <c r="K13" i="89" a="1"/>
  <c r="K13" i="89" s="1"/>
  <c r="M21" i="49" s="1"/>
  <c r="J13" i="91" a="1"/>
  <c r="J13" i="91" s="1"/>
  <c r="L23" i="49" s="1"/>
  <c r="I13" i="97" a="1"/>
  <c r="I13" i="97" s="1"/>
  <c r="K29" i="49" s="1"/>
  <c r="C13" i="102" a="1"/>
  <c r="C13" i="102" s="1"/>
  <c r="E34" i="49" s="1"/>
  <c r="K13" i="100" a="1"/>
  <c r="K13" i="100" s="1"/>
  <c r="M32" i="49" s="1"/>
  <c r="C13" i="81" a="1"/>
  <c r="C13" i="81" s="1"/>
  <c r="C13" i="85" a="1"/>
  <c r="C13" i="85" s="1"/>
  <c r="N13" i="87" a="1"/>
  <c r="N13" i="87" s="1"/>
  <c r="P19" i="49" s="1"/>
  <c r="I13" i="94" a="1"/>
  <c r="I13" i="94" s="1"/>
  <c r="K26" i="49" s="1"/>
  <c r="J13" i="97" a="1"/>
  <c r="J13" i="97" s="1"/>
  <c r="L29" i="49" s="1"/>
  <c r="N13" i="84" a="1"/>
  <c r="N13" i="84" s="1"/>
  <c r="P16" i="49" s="1"/>
  <c r="G13" i="95" a="1"/>
  <c r="G13" i="95" s="1"/>
  <c r="I27" i="49" s="1"/>
  <c r="N13" i="78" a="1"/>
  <c r="N13" i="78" s="1"/>
  <c r="P10" i="49" s="1"/>
  <c r="E13" i="83" a="1"/>
  <c r="E13" i="83" s="1"/>
  <c r="G15" i="49" s="1"/>
  <c r="M13" i="90" a="1"/>
  <c r="M13" i="90" s="1"/>
  <c r="O22" i="49" s="1"/>
  <c r="K13" i="92" a="1"/>
  <c r="K13" i="92" s="1"/>
  <c r="M24" i="49" s="1"/>
  <c r="J13" i="94" a="1"/>
  <c r="J13" i="94" s="1"/>
  <c r="L26" i="49" s="1"/>
  <c r="K13" i="97" a="1"/>
  <c r="K13" i="97" s="1"/>
  <c r="M29" i="49" s="1"/>
  <c r="K13" i="98" a="1"/>
  <c r="K13" i="98" s="1"/>
  <c r="M30" i="49" s="1"/>
  <c r="M13" i="99" a="1"/>
  <c r="M13" i="99" s="1"/>
  <c r="O31" i="49" s="1"/>
  <c r="I13" i="91" a="1"/>
  <c r="I13" i="91" s="1"/>
  <c r="K23" i="49" s="1"/>
  <c r="N13" i="102" a="1"/>
  <c r="N13" i="102" s="1"/>
  <c r="P34" i="49" s="1"/>
  <c r="F13" i="77" a="1"/>
  <c r="F13" i="77" s="1"/>
  <c r="H9" i="49" s="1"/>
  <c r="C13" i="82" a="1"/>
  <c r="C13" i="82" s="1"/>
  <c r="F13" i="83" a="1"/>
  <c r="F13" i="83" s="1"/>
  <c r="H15" i="49" s="1"/>
  <c r="C13" i="88" a="1"/>
  <c r="C13" i="88" s="1"/>
  <c r="N13" i="90" a="1"/>
  <c r="N13" i="90" s="1"/>
  <c r="P22" i="49" s="1"/>
  <c r="K13" i="95" a="1"/>
  <c r="K13" i="95" s="1"/>
  <c r="M27" i="49" s="1"/>
  <c r="N13" i="99" a="1"/>
  <c r="N13" i="99" s="1"/>
  <c r="P31" i="49" s="1"/>
  <c r="C13" i="100" a="1"/>
  <c r="C13" i="100" s="1"/>
  <c r="I13" i="82" a="1"/>
  <c r="I13" i="82" s="1"/>
  <c r="K14" i="49" s="1"/>
  <c r="G13" i="84" a="1"/>
  <c r="G13" i="84" s="1"/>
  <c r="I16" i="49" s="1"/>
  <c r="E13" i="86" a="1"/>
  <c r="E13" i="86" s="1"/>
  <c r="G18" i="49" s="1"/>
  <c r="M13" i="93" a="1"/>
  <c r="M13" i="93" s="1"/>
  <c r="O25" i="49" s="1"/>
  <c r="M13" i="96" a="1"/>
  <c r="M13" i="96" s="1"/>
  <c r="O28" i="49" s="1"/>
  <c r="C13" i="99" a="1"/>
  <c r="C13" i="99" s="1"/>
  <c r="D13" i="100" a="1"/>
  <c r="D13" i="100" s="1"/>
  <c r="F32" i="49" s="1"/>
  <c r="E13" i="101" a="1"/>
  <c r="E13" i="101" s="1"/>
  <c r="G33" i="49" s="1"/>
  <c r="G13" i="102" a="1"/>
  <c r="G13" i="102" s="1"/>
  <c r="I34" i="49" s="1"/>
  <c r="J13" i="82" a="1"/>
  <c r="J13" i="82" s="1"/>
  <c r="L14" i="49" s="1"/>
  <c r="C13" i="83" a="1"/>
  <c r="C13" i="83" s="1"/>
  <c r="F13" i="86" a="1"/>
  <c r="F13" i="86" s="1"/>
  <c r="H18" i="49" s="1"/>
  <c r="C13" i="91" a="1"/>
  <c r="C13" i="91" s="1"/>
  <c r="N13" i="93" a="1"/>
  <c r="N13" i="93" s="1"/>
  <c r="P25" i="49" s="1"/>
  <c r="N13" i="96" a="1"/>
  <c r="N13" i="96" s="1"/>
  <c r="P28" i="49" s="1"/>
  <c r="F13" i="101" a="1"/>
  <c r="F13" i="101" s="1"/>
  <c r="H33" i="49" s="1"/>
  <c r="H13" i="102" a="1"/>
  <c r="H13" i="102" s="1"/>
  <c r="J34" i="49" s="1"/>
  <c r="C13" i="78" a="1"/>
  <c r="C13" i="78" s="1"/>
  <c r="M13" i="81" a="1"/>
  <c r="M13" i="81" s="1"/>
  <c r="O13" i="49" s="1"/>
  <c r="C13" i="84" a="1"/>
  <c r="C13" i="84" s="1"/>
  <c r="G13" i="87" a="1"/>
  <c r="G13" i="87" s="1"/>
  <c r="I19" i="49" s="1"/>
  <c r="E13" i="89" a="1"/>
  <c r="E13" i="89" s="1"/>
  <c r="C13" i="96" a="1"/>
  <c r="C13" i="96" s="1"/>
  <c r="C13" i="97" a="1"/>
  <c r="C13" i="97" s="1"/>
  <c r="G13" i="101" a="1"/>
  <c r="G13" i="101" s="1"/>
  <c r="I33" i="49" s="1"/>
  <c r="C13" i="94" a="1"/>
  <c r="C13" i="94" s="1"/>
  <c r="J13" i="85" a="1"/>
  <c r="J13" i="85" s="1"/>
  <c r="L17" i="49" s="1"/>
  <c r="C13" i="86" a="1"/>
  <c r="C13" i="86" s="1"/>
  <c r="C13" i="87" a="1"/>
  <c r="C13" i="87" s="1"/>
  <c r="G13" i="90" a="1"/>
  <c r="G13" i="90" s="1"/>
  <c r="I22" i="49" s="1"/>
  <c r="E13" i="92" a="1"/>
  <c r="E13" i="92" s="1"/>
  <c r="G24" i="49" s="1"/>
  <c r="E13" i="98" a="1"/>
  <c r="E13" i="98" s="1"/>
  <c r="G30" i="49" s="1"/>
  <c r="G13" i="99" a="1"/>
  <c r="G13" i="99" s="1"/>
  <c r="I31" i="49" s="1"/>
  <c r="R34" i="49" l="1"/>
  <c r="Q34" i="49"/>
  <c r="S34" i="49" s="1"/>
  <c r="Q22" i="49"/>
  <c r="S22" i="49" s="1"/>
  <c r="R22" i="49"/>
  <c r="Q33" i="49"/>
  <c r="S33" i="49" s="1"/>
  <c r="R33" i="49"/>
  <c r="E32" i="49"/>
  <c r="E11" i="49"/>
  <c r="E12" i="49"/>
  <c r="E29" i="49"/>
  <c r="E16" i="49"/>
  <c r="E14" i="49"/>
  <c r="E17" i="49"/>
  <c r="E9" i="49"/>
  <c r="E8" i="49"/>
  <c r="E27" i="49"/>
  <c r="E23" i="49"/>
  <c r="E24" i="49"/>
  <c r="E20" i="49"/>
  <c r="E30" i="49"/>
  <c r="E28" i="49"/>
  <c r="E31" i="49"/>
  <c r="E18" i="49"/>
  <c r="E13" i="49"/>
  <c r="E15" i="49"/>
  <c r="E19" i="49"/>
  <c r="E10" i="49"/>
  <c r="E26" i="49"/>
  <c r="G21" i="49"/>
  <c r="E25" i="49"/>
  <c r="N57" i="74"/>
  <c r="M57" i="74"/>
  <c r="L57" i="74"/>
  <c r="K57" i="74"/>
  <c r="J57" i="74"/>
  <c r="I57" i="74"/>
  <c r="H57" i="74"/>
  <c r="G57" i="74"/>
  <c r="F57" i="74"/>
  <c r="E57" i="74"/>
  <c r="D57" i="74"/>
  <c r="N51" i="74"/>
  <c r="M51" i="74"/>
  <c r="L51" i="74"/>
  <c r="K51" i="74"/>
  <c r="J51" i="74"/>
  <c r="I51" i="74"/>
  <c r="H51" i="74"/>
  <c r="G51" i="74"/>
  <c r="F51" i="74"/>
  <c r="E51" i="74"/>
  <c r="D51" i="74"/>
  <c r="N45" i="74"/>
  <c r="M45" i="74"/>
  <c r="L45" i="74"/>
  <c r="K45" i="74"/>
  <c r="J45" i="74"/>
  <c r="I45" i="74"/>
  <c r="H45" i="74"/>
  <c r="G45" i="74"/>
  <c r="F45" i="74"/>
  <c r="E45" i="74"/>
  <c r="D45" i="74"/>
  <c r="N39" i="74"/>
  <c r="M39" i="74"/>
  <c r="L39" i="74"/>
  <c r="K39" i="74"/>
  <c r="J39" i="74"/>
  <c r="I39" i="74"/>
  <c r="H39" i="74"/>
  <c r="G39" i="74"/>
  <c r="F39" i="74"/>
  <c r="E39" i="74"/>
  <c r="D39" i="74"/>
  <c r="N33" i="74"/>
  <c r="M33" i="74"/>
  <c r="L33" i="74"/>
  <c r="K33" i="74"/>
  <c r="J33" i="74"/>
  <c r="I33" i="74"/>
  <c r="H33" i="74"/>
  <c r="G33" i="74"/>
  <c r="F33" i="74"/>
  <c r="E33" i="74"/>
  <c r="D33" i="74"/>
  <c r="N26" i="74"/>
  <c r="M26" i="74"/>
  <c r="L26" i="74"/>
  <c r="K26" i="74"/>
  <c r="J26" i="74"/>
  <c r="I26" i="74"/>
  <c r="H26" i="74"/>
  <c r="G26" i="74"/>
  <c r="F26" i="74"/>
  <c r="E26" i="74"/>
  <c r="D26" i="74"/>
  <c r="N16" i="74"/>
  <c r="M16" i="74"/>
  <c r="L16" i="74"/>
  <c r="K16" i="74"/>
  <c r="J16" i="74"/>
  <c r="I16" i="74"/>
  <c r="H16" i="74"/>
  <c r="G16" i="74"/>
  <c r="F16" i="74"/>
  <c r="E16" i="74"/>
  <c r="D16" i="74"/>
  <c r="D33" i="73"/>
  <c r="N63" i="73"/>
  <c r="M63" i="73"/>
  <c r="L63" i="73"/>
  <c r="K63" i="73"/>
  <c r="J63" i="73"/>
  <c r="I63" i="73"/>
  <c r="H63" i="73"/>
  <c r="G63" i="73"/>
  <c r="F63" i="73"/>
  <c r="E63" i="73"/>
  <c r="D63" i="73"/>
  <c r="C63" i="73"/>
  <c r="N57" i="73"/>
  <c r="M57" i="73"/>
  <c r="L57" i="73"/>
  <c r="K57" i="73"/>
  <c r="J57" i="73"/>
  <c r="I57" i="73"/>
  <c r="H57" i="73"/>
  <c r="G57" i="73"/>
  <c r="F57" i="73"/>
  <c r="E57" i="73"/>
  <c r="D57" i="73"/>
  <c r="C57" i="73"/>
  <c r="N51" i="73"/>
  <c r="M51" i="73"/>
  <c r="L51" i="73"/>
  <c r="K51" i="73"/>
  <c r="J51" i="73"/>
  <c r="I51" i="73"/>
  <c r="H51" i="73"/>
  <c r="G51" i="73"/>
  <c r="F51" i="73"/>
  <c r="E51" i="73"/>
  <c r="D51" i="73"/>
  <c r="C51" i="73"/>
  <c r="N45" i="73"/>
  <c r="M45" i="73"/>
  <c r="L45" i="73"/>
  <c r="K45" i="73"/>
  <c r="J45" i="73"/>
  <c r="I45" i="73"/>
  <c r="H45" i="73"/>
  <c r="G45" i="73"/>
  <c r="F45" i="73"/>
  <c r="E45" i="73"/>
  <c r="D45" i="73"/>
  <c r="C45" i="73"/>
  <c r="N39" i="73"/>
  <c r="M39" i="73"/>
  <c r="L39" i="73"/>
  <c r="K39" i="73"/>
  <c r="J39" i="73"/>
  <c r="I39" i="73"/>
  <c r="H39" i="73"/>
  <c r="G39" i="73"/>
  <c r="F39" i="73"/>
  <c r="E39" i="73"/>
  <c r="D39" i="73"/>
  <c r="C39" i="73"/>
  <c r="N33" i="73"/>
  <c r="M33" i="73"/>
  <c r="L33" i="73"/>
  <c r="K33" i="73"/>
  <c r="J33" i="73"/>
  <c r="I33" i="73"/>
  <c r="H33" i="73"/>
  <c r="G33" i="73"/>
  <c r="F33" i="73"/>
  <c r="E33" i="73"/>
  <c r="C33" i="73"/>
  <c r="N32" i="73"/>
  <c r="M32" i="73"/>
  <c r="L32" i="73"/>
  <c r="K32" i="73"/>
  <c r="J32" i="73"/>
  <c r="I32" i="73"/>
  <c r="H32" i="73"/>
  <c r="G32" i="73"/>
  <c r="F32" i="73"/>
  <c r="E32" i="73"/>
  <c r="D32" i="73"/>
  <c r="N26" i="73"/>
  <c r="M26" i="73"/>
  <c r="L26" i="73"/>
  <c r="K26" i="73"/>
  <c r="J26" i="73"/>
  <c r="I26" i="73"/>
  <c r="H26" i="73"/>
  <c r="G26" i="73"/>
  <c r="F26" i="73"/>
  <c r="E26" i="73"/>
  <c r="D26" i="73"/>
  <c r="C26" i="73"/>
  <c r="N16" i="73"/>
  <c r="M16" i="73"/>
  <c r="L16" i="73"/>
  <c r="K16" i="73"/>
  <c r="J16" i="73"/>
  <c r="I16" i="73"/>
  <c r="H16" i="73"/>
  <c r="G16" i="73"/>
  <c r="F16" i="73"/>
  <c r="F13" i="73" s="1" a="1"/>
  <c r="F13" i="73" s="1"/>
  <c r="E16" i="73"/>
  <c r="D16" i="73"/>
  <c r="R26" i="49" l="1"/>
  <c r="Q26" i="49"/>
  <c r="S26" i="49" s="1"/>
  <c r="Q10" i="49"/>
  <c r="S10" i="49" s="1"/>
  <c r="R10" i="49"/>
  <c r="R19" i="49"/>
  <c r="Q19" i="49"/>
  <c r="S19" i="49" s="1"/>
  <c r="Q24" i="49"/>
  <c r="S24" i="49" s="1"/>
  <c r="R24" i="49"/>
  <c r="R27" i="49"/>
  <c r="Q27" i="49"/>
  <c r="S27" i="49" s="1"/>
  <c r="Q8" i="49"/>
  <c r="S8" i="49" s="1"/>
  <c r="R8" i="49"/>
  <c r="Q25" i="49"/>
  <c r="S25" i="49" s="1"/>
  <c r="R25" i="49"/>
  <c r="R9" i="49"/>
  <c r="Q9" i="49"/>
  <c r="S9" i="49" s="1"/>
  <c r="Q21" i="49"/>
  <c r="S21" i="49" s="1"/>
  <c r="R21" i="49"/>
  <c r="Q17" i="49"/>
  <c r="S17" i="49" s="1"/>
  <c r="R17" i="49"/>
  <c r="Q14" i="49"/>
  <c r="S14" i="49" s="1"/>
  <c r="R14" i="49"/>
  <c r="Q16" i="49"/>
  <c r="S16" i="49" s="1"/>
  <c r="R16" i="49"/>
  <c r="Q29" i="49"/>
  <c r="S29" i="49" s="1"/>
  <c r="R29" i="49"/>
  <c r="Q15" i="49"/>
  <c r="S15" i="49" s="1"/>
  <c r="R15" i="49"/>
  <c r="R12" i="49"/>
  <c r="Q12" i="49"/>
  <c r="S12" i="49" s="1"/>
  <c r="R13" i="49"/>
  <c r="Q13" i="49"/>
  <c r="S13" i="49" s="1"/>
  <c r="Q11" i="49"/>
  <c r="S11" i="49" s="1"/>
  <c r="R11" i="49"/>
  <c r="R18" i="49"/>
  <c r="Q18" i="49"/>
  <c r="S18" i="49" s="1"/>
  <c r="R32" i="49"/>
  <c r="Q32" i="49"/>
  <c r="S32" i="49" s="1"/>
  <c r="Q31" i="49"/>
  <c r="S31" i="49" s="1"/>
  <c r="R31" i="49"/>
  <c r="Q28" i="49"/>
  <c r="S28" i="49" s="1"/>
  <c r="R28" i="49"/>
  <c r="Q30" i="49"/>
  <c r="S30" i="49" s="1"/>
  <c r="R30" i="49"/>
  <c r="Q20" i="49"/>
  <c r="S20" i="49" s="1"/>
  <c r="R20" i="49"/>
  <c r="Q23" i="49"/>
  <c r="S23" i="49" s="1"/>
  <c r="R23" i="49"/>
  <c r="E13" i="73" a="1"/>
  <c r="E13" i="73" s="1"/>
  <c r="J13" i="73" a="1"/>
  <c r="J13" i="73" s="1"/>
  <c r="M13" i="73" a="1"/>
  <c r="M13" i="73" s="1"/>
  <c r="N13" i="73" a="1"/>
  <c r="N13" i="73" s="1"/>
  <c r="D13" i="73" a="1"/>
  <c r="D13" i="73" s="1"/>
  <c r="G13" i="73" a="1"/>
  <c r="G13" i="73" s="1"/>
  <c r="H13" i="73" a="1"/>
  <c r="H13" i="73" s="1"/>
  <c r="I13" i="73" a="1"/>
  <c r="I13" i="73" s="1"/>
  <c r="K13" i="73" a="1"/>
  <c r="K13" i="73" s="1"/>
  <c r="L13" i="73" a="1"/>
  <c r="L13" i="73" s="1"/>
  <c r="E13" i="74" a="1"/>
  <c r="E13" i="74" s="1"/>
  <c r="G7" i="49" s="1"/>
  <c r="H13" i="74" a="1"/>
  <c r="H13" i="74" s="1"/>
  <c r="J7" i="49" s="1"/>
  <c r="I13" i="74" a="1"/>
  <c r="I13" i="74" s="1"/>
  <c r="K7" i="49" s="1"/>
  <c r="G13" i="74" a="1"/>
  <c r="G13" i="74" s="1"/>
  <c r="I7" i="49" s="1"/>
  <c r="K13" i="74" a="1"/>
  <c r="K13" i="74" s="1"/>
  <c r="M7" i="49" s="1"/>
  <c r="M13" i="74" a="1"/>
  <c r="M13" i="74" s="1"/>
  <c r="O7" i="49" s="1"/>
  <c r="D13" i="74" a="1"/>
  <c r="D13" i="74" s="1"/>
  <c r="F7" i="49" s="1"/>
  <c r="F13" i="74" a="1"/>
  <c r="F13" i="74" s="1"/>
  <c r="H7" i="49" s="1"/>
  <c r="J13" i="74" a="1"/>
  <c r="J13" i="74" s="1"/>
  <c r="L7" i="49" s="1"/>
  <c r="L13" i="74" a="1"/>
  <c r="L13" i="74" s="1"/>
  <c r="N7" i="49" s="1"/>
  <c r="N13" i="74" a="1"/>
  <c r="N13" i="74" s="1"/>
  <c r="P7" i="49" s="1"/>
  <c r="C13" i="73" a="1"/>
  <c r="C13" i="73" s="1"/>
  <c r="C13" i="74" a="1"/>
  <c r="C13" i="74" s="1"/>
  <c r="E7" i="49" s="1"/>
  <c r="E32" i="5"/>
  <c r="F32" i="5"/>
  <c r="F32" i="67"/>
  <c r="E32" i="67"/>
  <c r="I32" i="67"/>
  <c r="N32" i="67"/>
  <c r="M32" i="67"/>
  <c r="L32" i="67"/>
  <c r="K32" i="67"/>
  <c r="J32" i="67"/>
  <c r="H32" i="67"/>
  <c r="G32" i="67"/>
  <c r="D32" i="67"/>
  <c r="D32" i="5"/>
  <c r="C33" i="5"/>
  <c r="I63" i="67"/>
  <c r="I57" i="67"/>
  <c r="I51" i="67"/>
  <c r="I45" i="67"/>
  <c r="I39" i="67"/>
  <c r="I33" i="67"/>
  <c r="I26" i="67"/>
  <c r="I16" i="67"/>
  <c r="Q7" i="49" l="1"/>
  <c r="S7" i="49" s="1"/>
  <c r="R7" i="49"/>
  <c r="I13" i="67" a="1"/>
  <c r="I13" i="67" s="1"/>
  <c r="K6" i="49" s="1"/>
  <c r="K32" i="5"/>
  <c r="G32" i="5"/>
  <c r="L32" i="5"/>
  <c r="I32" i="5"/>
  <c r="H32" i="5"/>
  <c r="N32" i="5"/>
  <c r="M32" i="5"/>
  <c r="J32" i="5"/>
  <c r="E63" i="5"/>
  <c r="D63" i="5"/>
  <c r="K63" i="5"/>
  <c r="C63" i="5"/>
  <c r="I63" i="5"/>
  <c r="H63" i="5"/>
  <c r="F63" i="5"/>
  <c r="F57" i="5"/>
  <c r="F51" i="5"/>
  <c r="F45" i="5"/>
  <c r="F39" i="5"/>
  <c r="F33" i="5"/>
  <c r="F26" i="5"/>
  <c r="F16" i="5"/>
  <c r="N63" i="67"/>
  <c r="M63" i="67"/>
  <c r="L63" i="67"/>
  <c r="K63" i="67"/>
  <c r="J63" i="67"/>
  <c r="H63" i="67"/>
  <c r="G63" i="67"/>
  <c r="F63" i="67"/>
  <c r="E63" i="67"/>
  <c r="D63" i="67"/>
  <c r="C63" i="67"/>
  <c r="N57" i="67"/>
  <c r="M57" i="67"/>
  <c r="L57" i="67"/>
  <c r="K57" i="67"/>
  <c r="J57" i="67"/>
  <c r="H57" i="67"/>
  <c r="G57" i="67"/>
  <c r="F57" i="67"/>
  <c r="E57" i="67"/>
  <c r="D57" i="67"/>
  <c r="C57" i="67"/>
  <c r="N51" i="67"/>
  <c r="M51" i="67"/>
  <c r="L51" i="67"/>
  <c r="K51" i="67"/>
  <c r="J51" i="67"/>
  <c r="H51" i="67"/>
  <c r="G51" i="67"/>
  <c r="F51" i="67"/>
  <c r="E51" i="67"/>
  <c r="D51" i="67"/>
  <c r="C51" i="67"/>
  <c r="N45" i="67"/>
  <c r="M45" i="67"/>
  <c r="L45" i="67"/>
  <c r="K45" i="67"/>
  <c r="J45" i="67"/>
  <c r="H45" i="67"/>
  <c r="G45" i="67"/>
  <c r="F45" i="67"/>
  <c r="E45" i="67"/>
  <c r="D45" i="67"/>
  <c r="N39" i="67"/>
  <c r="M39" i="67"/>
  <c r="L39" i="67"/>
  <c r="K39" i="67"/>
  <c r="J39" i="67"/>
  <c r="H39" i="67"/>
  <c r="G39" i="67"/>
  <c r="F39" i="67"/>
  <c r="E39" i="67"/>
  <c r="D39" i="67"/>
  <c r="N33" i="67"/>
  <c r="M33" i="67"/>
  <c r="L33" i="67"/>
  <c r="K33" i="67"/>
  <c r="J33" i="67"/>
  <c r="H33" i="67"/>
  <c r="G33" i="67"/>
  <c r="F33" i="67"/>
  <c r="E33" i="67"/>
  <c r="D33" i="67"/>
  <c r="N26" i="67"/>
  <c r="M26" i="67"/>
  <c r="L26" i="67"/>
  <c r="K26" i="67"/>
  <c r="J26" i="67"/>
  <c r="H26" i="67"/>
  <c r="G26" i="67"/>
  <c r="F26" i="67"/>
  <c r="E26" i="67"/>
  <c r="D26" i="67"/>
  <c r="N16" i="67"/>
  <c r="M16" i="67"/>
  <c r="L16" i="67"/>
  <c r="K16" i="67"/>
  <c r="J16" i="67"/>
  <c r="H16" i="67"/>
  <c r="G16" i="67"/>
  <c r="F16" i="67"/>
  <c r="E16" i="67"/>
  <c r="D16" i="67"/>
  <c r="G63" i="5"/>
  <c r="G57" i="5"/>
  <c r="G51" i="5"/>
  <c r="G45" i="5"/>
  <c r="G39" i="5"/>
  <c r="G33" i="5"/>
  <c r="G26" i="5"/>
  <c r="G16" i="5"/>
  <c r="K33" i="5"/>
  <c r="N63" i="5"/>
  <c r="M63" i="5"/>
  <c r="L63" i="5"/>
  <c r="J63" i="5"/>
  <c r="N57" i="5"/>
  <c r="M57" i="5"/>
  <c r="L57" i="5"/>
  <c r="K57" i="5"/>
  <c r="J57" i="5"/>
  <c r="I57" i="5"/>
  <c r="H57" i="5"/>
  <c r="E57" i="5"/>
  <c r="D57" i="5"/>
  <c r="C57" i="5"/>
  <c r="N51" i="5"/>
  <c r="M51" i="5"/>
  <c r="L51" i="5"/>
  <c r="K51" i="5"/>
  <c r="J51" i="5"/>
  <c r="I51" i="5"/>
  <c r="H51" i="5"/>
  <c r="E51" i="5"/>
  <c r="D51" i="5"/>
  <c r="C51" i="5"/>
  <c r="N45" i="5"/>
  <c r="M45" i="5"/>
  <c r="L45" i="5"/>
  <c r="K45" i="5"/>
  <c r="J45" i="5"/>
  <c r="I45" i="5"/>
  <c r="H45" i="5"/>
  <c r="E45" i="5"/>
  <c r="D45" i="5"/>
  <c r="C45" i="5"/>
  <c r="N39" i="5"/>
  <c r="M39" i="5"/>
  <c r="L39" i="5"/>
  <c r="K39" i="5"/>
  <c r="J39" i="5"/>
  <c r="I39" i="5"/>
  <c r="H39" i="5"/>
  <c r="E39" i="5"/>
  <c r="D39" i="5"/>
  <c r="C39" i="5"/>
  <c r="N33" i="5"/>
  <c r="M33" i="5"/>
  <c r="L33" i="5"/>
  <c r="J33" i="5"/>
  <c r="I33" i="5"/>
  <c r="H33" i="5"/>
  <c r="E33" i="5"/>
  <c r="D33" i="5"/>
  <c r="N26" i="5"/>
  <c r="M26" i="5"/>
  <c r="L26" i="5"/>
  <c r="K26" i="5"/>
  <c r="J26" i="5"/>
  <c r="I26" i="5"/>
  <c r="H26" i="5"/>
  <c r="E26" i="5"/>
  <c r="D26" i="5"/>
  <c r="C26" i="5"/>
  <c r="N16" i="5"/>
  <c r="M16" i="5"/>
  <c r="L16" i="5"/>
  <c r="K16" i="5"/>
  <c r="J16" i="5"/>
  <c r="I16" i="5"/>
  <c r="H16" i="5"/>
  <c r="E16" i="5"/>
  <c r="D16" i="5"/>
  <c r="C13" i="67" l="1" a="1"/>
  <c r="C13" i="67" s="1"/>
  <c r="E6" i="49" s="1"/>
  <c r="K13" i="67" a="1"/>
  <c r="K13" i="67" s="1"/>
  <c r="M6" i="49" s="1"/>
  <c r="L13" i="67" a="1"/>
  <c r="L13" i="67" s="1"/>
  <c r="N6" i="49" s="1"/>
  <c r="M13" i="67" a="1"/>
  <c r="M13" i="67" s="1"/>
  <c r="O6" i="49" s="1"/>
  <c r="F13" i="67" a="1"/>
  <c r="F13" i="67" s="1"/>
  <c r="H6" i="49" s="1"/>
  <c r="H13" i="67" a="1"/>
  <c r="H13" i="67" s="1"/>
  <c r="J6" i="49" s="1"/>
  <c r="N13" i="67" a="1"/>
  <c r="N13" i="67" s="1"/>
  <c r="P6" i="49" s="1"/>
  <c r="D13" i="67" a="1"/>
  <c r="D13" i="67" s="1"/>
  <c r="F6" i="49" s="1"/>
  <c r="E13" i="67" a="1"/>
  <c r="E13" i="67" s="1"/>
  <c r="G6" i="49" s="1"/>
  <c r="G13" i="67" a="1"/>
  <c r="G13" i="67" s="1"/>
  <c r="I6" i="49" s="1"/>
  <c r="J13" i="67" a="1"/>
  <c r="J13" i="67" s="1"/>
  <c r="L6" i="49" s="1"/>
  <c r="M13" i="5" a="1"/>
  <c r="M13" i="5" s="1"/>
  <c r="O5" i="49" s="1"/>
  <c r="L13" i="5" a="1"/>
  <c r="L13" i="5" s="1"/>
  <c r="N5" i="49" s="1"/>
  <c r="C13" i="5" a="1"/>
  <c r="C13" i="5" s="1"/>
  <c r="N13" i="5" a="1"/>
  <c r="N13" i="5" s="1"/>
  <c r="P5" i="49" s="1"/>
  <c r="D13" i="5" a="1"/>
  <c r="D13" i="5" s="1"/>
  <c r="F5" i="49" s="1"/>
  <c r="G13" i="5" a="1"/>
  <c r="G13" i="5" s="1"/>
  <c r="I5" i="49" s="1"/>
  <c r="E13" i="5" a="1"/>
  <c r="E13" i="5" s="1"/>
  <c r="G5" i="49" s="1"/>
  <c r="F13" i="5" a="1"/>
  <c r="F13" i="5" s="1"/>
  <c r="H5" i="49" s="1"/>
  <c r="H13" i="5" a="1"/>
  <c r="H13" i="5" s="1"/>
  <c r="J5" i="49" s="1"/>
  <c r="I13" i="5" a="1"/>
  <c r="I13" i="5" s="1"/>
  <c r="K5" i="49" s="1"/>
  <c r="J13" i="5" a="1"/>
  <c r="J13" i="5" s="1"/>
  <c r="L5" i="49" s="1"/>
  <c r="K13" i="5" a="1"/>
  <c r="K13" i="5" s="1"/>
  <c r="M5" i="49" s="1"/>
  <c r="Q6" i="49" l="1"/>
  <c r="S6" i="49" s="1"/>
  <c r="R6" i="49"/>
  <c r="E5" i="49"/>
  <c r="Q5" i="49" l="1"/>
  <c r="S5" i="49" s="1"/>
  <c r="R5" i="4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D4" authorId="0" shapeId="0" xr:uid="{EC3E4DEC-7BF8-44CC-9476-71E90A8300E5}">
      <text>
        <r>
          <rPr>
            <sz val="9"/>
            <color indexed="81"/>
            <rFont val="Tahoma"/>
            <family val="2"/>
          </rPr>
          <t>Murshudov, Nijat:
Try to apply colours to set of processes so that they alligned in visual categories
Add same colours to each excel sheet as well</t>
        </r>
      </text>
    </comment>
    <comment ref="D5" authorId="0" shapeId="0" xr:uid="{8B3F9E8B-65EB-49E6-85A9-7A79C0BDFC1A}">
      <text>
        <r>
          <rPr>
            <sz val="11"/>
            <color theme="1"/>
            <rFont val="Calibri"/>
            <family val="2"/>
            <scheme val="minor"/>
          </rPr>
          <t>Murshudov, Nijat:
This name will appear according to name of process in "Process 1"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7C40F8FA-52B8-4D37-AE00-24009132072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EAD9391-F9CF-4792-96F5-45475356D5E7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D2788175-B9CC-4EE2-BF2C-9410679115D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A5F4BA71-AC8E-4F64-9E69-C6891F26FD0B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48DAE389-8A64-4ED8-9268-3C06ACF1EC8F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C9348430-0D64-44A9-8D68-6EBAD91A5B8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F8FC6667-513F-4BC3-9400-A6261EAFCE0C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DD0A632F-7D67-45A0-8E27-EE132B39714A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926698BD-AC81-48F3-80EA-C69EB5E3BEBC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A8469CD-F045-4F7A-961F-EC9FECC213D0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13CCF318-20E7-450E-8860-76AA5ED70B9D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FEE75D59-B34E-46AA-97C6-5CA66E4197BA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5FBC8B09-7E16-4CCC-8D22-9A71FE12B13B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940E6D8C-4900-45EF-BA8E-377530A690F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9D024CE6-3CB5-435B-BF2A-91E0D832E214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271029B8-2FAF-4412-BCE2-C09F792B0DB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BC0D3DAD-037E-4A9A-86DD-5C6359A62544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5FAAFFEE-B38E-4B12-ACF4-786A09EBD345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1B9AEF77-C07B-4BE9-A2E5-E4BDD2DD8B24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7E255EF-2368-4194-98ED-2BE5E0966888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ECE52C94-573E-4A2E-A6C2-7908C21619A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A908261-55BE-45E1-85F4-7CFF698F270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765DA54D-E4DB-4009-83B8-74F85357DC0C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B15B7D0-6044-4213-ACCE-52E09C075DD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A93317E6-89D9-48FE-B67B-820A6AF48D92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EB73D7C9-9C25-48D3-9F54-894776142C62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80B840EC-0CE2-4B97-9B30-001A0AE2DE8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526463A1-BDCC-4B0B-966E-A0102B7FF07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064951B3-909B-4E9D-A205-317193C5C0C9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AD995696-6FA1-4AFE-ACE1-E9495AF9B57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454FB1B2-D0D7-4821-8CBD-FF1AC2F8DE3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32133989-A399-4594-91FC-AF5B8A9CE18F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9EDD1D21-865A-4C68-9CAE-AA9F0A2DA56F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24DBF9DE-E347-4EC9-ACA1-E65984D77F20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147CA084-2D45-44FC-BE28-D936F6F6F4D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C3D655BA-8F0C-4BD0-87D9-70AB65ADF2C0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9A0708DA-724B-4A8D-A247-E7ADCA79C001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90FEC13E-A51A-4293-8E9F-B207DD17E0DF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A14BC9E5-24B3-40D1-A5A1-66E447701D54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A943F3E5-AC03-47C9-953C-9BAC1D2CE0D0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14C01715-978F-40E8-98A8-F63408F41B3C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79F5A9A0-C607-40D6-9C43-1F4D5E595727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EDFD05E8-0CE8-4973-92CD-81987F59F6E5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A651C07E-522E-403D-9222-6CEE4AAFDD94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3C56DE29-0F16-4070-9FB2-AC6B11160ABB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355458B-ABEB-4421-B21C-DCC7ED164B9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44FCFB7F-9BA7-4D18-813A-935CFDD431D7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36EC0666-9F1F-4B3F-8280-2A03334B203D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EA9DD865-DC1C-471E-91F2-3A753C0FD861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1C2C3312-EAED-4ABA-8765-A20EBFFF9FD3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0B899FFC-C949-4638-B7AE-7036B3AF8E80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37E7C286-81EB-4CC7-91BE-0316E16F9E0E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54E99981-E9FB-455B-97D5-2C3B9ED706BF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43C84ADF-9F3A-44BB-87C1-51563AB390FB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18DEC3EE-2574-452A-B49F-87C3C793C617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0EB17033-8CD6-4531-8144-93A4FF70555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DAEE5975-2EFF-4C99-8035-232E73D0E551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B70A4DF6-8F61-4D97-92F4-63D3247BA4FB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D0A0012F-82B8-49F3-AE50-3AEB6CB2F72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106B1BA8-C692-44A4-98B3-5DF9A1B96CE9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Murshudov, Nijat</author>
  </authors>
  <commentList>
    <comment ref="C16" authorId="0" shapeId="0" xr:uid="{43CC9884-DEF4-44B4-A4F8-D793BFD34C06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Category values are calculated based on  average of subcategories.</t>
        </r>
      </text>
    </comment>
    <comment ref="C32" authorId="0" shapeId="0" xr:uid="{4B9D2E6A-9DEA-4DA2-85B4-F91E2FB4A5DC}">
      <text>
        <r>
          <rPr>
            <b/>
            <sz val="9"/>
            <color indexed="81"/>
            <rFont val="Tahoma"/>
            <family val="2"/>
          </rPr>
          <t>Murshudov, Nijat:</t>
        </r>
        <r>
          <rPr>
            <sz val="9"/>
            <color indexed="81"/>
            <rFont val="Tahoma"/>
            <family val="2"/>
          </rPr>
          <t xml:space="preserve">
If process has category without subcategory </t>
        </r>
        <r>
          <rPr>
            <b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input values manually as follows:
example: (=3) or (=2) or (=1) or (=0)
Do not input value without </t>
        </r>
        <r>
          <rPr>
            <b/>
            <sz val="9"/>
            <color indexed="81"/>
            <rFont val="Tahoma"/>
            <family val="2"/>
          </rPr>
          <t>"=" sign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96A1F-2101-4671-87EF-27C29D9E7A82}" keepAlive="1" name="Query - TOTALS-P" description="Connection to the 'TOTALS-P' query in the workbook." type="5" refreshedVersion="8" background="1" saveData="1">
    <dbPr connection="Provider=Microsoft.Mashup.OleDb.1;Data Source=$Workbook$;Location=TOTALS-P;Extended Properties=&quot;&quot;" command="SELECT * FROM [TOTALS-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<sst xmlns="http://schemas.openxmlformats.org/spreadsheetml/2006/main" count="2778" uniqueCount="132">
  <si>
    <t>Content</t>
  </si>
  <si>
    <t>Name</t>
  </si>
  <si>
    <t>[Table]</t>
  </si>
  <si>
    <t>TotalsTable</t>
  </si>
  <si>
    <t>TemplateTable</t>
  </si>
  <si>
    <t>Process01</t>
  </si>
  <si>
    <t>Process02</t>
  </si>
  <si>
    <t>Process03</t>
  </si>
  <si>
    <t>Process04</t>
  </si>
  <si>
    <t>Process05</t>
  </si>
  <si>
    <t>Process06</t>
  </si>
  <si>
    <t>Process07</t>
  </si>
  <si>
    <t>Process08</t>
  </si>
  <si>
    <t>Process09</t>
  </si>
  <si>
    <t>Process10</t>
  </si>
  <si>
    <t>Process11</t>
  </si>
  <si>
    <t>Process12</t>
  </si>
  <si>
    <t>Process13</t>
  </si>
  <si>
    <t>Process14</t>
  </si>
  <si>
    <t>Process15</t>
  </si>
  <si>
    <t>Process16</t>
  </si>
  <si>
    <t>Process17</t>
  </si>
  <si>
    <t>Process18</t>
  </si>
  <si>
    <t>Process19</t>
  </si>
  <si>
    <t>Process20</t>
  </si>
  <si>
    <t>Process21</t>
  </si>
  <si>
    <t>Process22</t>
  </si>
  <si>
    <t>Process23</t>
  </si>
  <si>
    <t>Process24</t>
  </si>
  <si>
    <t>Process25</t>
  </si>
  <si>
    <t>Process26</t>
  </si>
  <si>
    <t>Process27</t>
  </si>
  <si>
    <t>Process28</t>
  </si>
  <si>
    <t>Process29</t>
  </si>
  <si>
    <t>Process30</t>
  </si>
  <si>
    <t>'TOTALS-P'!ExternalData_1</t>
  </si>
  <si>
    <t>TOTALs table</t>
  </si>
  <si>
    <t>% of processes reaching department target</t>
  </si>
  <si>
    <t>Processes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</si>
  <si>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</si>
  <si>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</si>
  <si>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</si>
  <si>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</si>
  <si>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</si>
  <si>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</si>
  <si>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</si>
  <si>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</si>
  <si>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</si>
  <si>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</si>
  <si>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</si>
  <si>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</si>
  <si>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 xml:space="preserve">Actual Competence index </t>
  </si>
  <si>
    <t>Largest competence gap</t>
  </si>
  <si>
    <t>&lt;Temp1&gt;</t>
  </si>
  <si>
    <t>back to "Totals"</t>
  </si>
  <si>
    <t>Can perform tasks with close supervision</t>
  </si>
  <si>
    <t>Can perform tasks independently with support from tutor</t>
  </si>
  <si>
    <t>Can perform tasks independently</t>
  </si>
  <si>
    <t xml:space="preserve">Mentee: </t>
  </si>
  <si>
    <t>Mentor:</t>
  </si>
  <si>
    <t>Crosstraining start date</t>
  </si>
  <si>
    <t>Last follow up date</t>
  </si>
  <si>
    <t>Next target date</t>
  </si>
  <si>
    <t>Current overall level:</t>
  </si>
  <si>
    <t>Skill matrix</t>
  </si>
  <si>
    <t>Process overview + E2E knowledge (P)</t>
  </si>
  <si>
    <t>-- Calculated cells for AVG in category</t>
  </si>
  <si>
    <t xml:space="preserve">Flow of the process </t>
  </si>
  <si>
    <t>--manual input</t>
  </si>
  <si>
    <t>Flow of information between systems</t>
  </si>
  <si>
    <t>Purpose</t>
  </si>
  <si>
    <t>Process Presentation</t>
  </si>
  <si>
    <t>Risks</t>
  </si>
  <si>
    <t>Deadlines</t>
  </si>
  <si>
    <t>Knowledge about stakeholders</t>
  </si>
  <si>
    <t>E-mail handling</t>
  </si>
  <si>
    <t>Q&amp;A</t>
  </si>
  <si>
    <t>Category 1 (P)</t>
  </si>
  <si>
    <t>Subcategory 1</t>
  </si>
  <si>
    <t>Subcategory 2</t>
  </si>
  <si>
    <t>Subcategory 3</t>
  </si>
  <si>
    <t>Subcategory 4</t>
  </si>
  <si>
    <t>Subcategory 5</t>
  </si>
  <si>
    <t>Category 2 (P)</t>
  </si>
  <si>
    <t>--If there is no subcategory under category</t>
  </si>
  <si>
    <t>Category 3 (P)</t>
  </si>
  <si>
    <t>always input values as ("=1", "=2" or "=3")</t>
  </si>
  <si>
    <t>Category 4 (P)</t>
  </si>
  <si>
    <t>Category 5 (P)</t>
  </si>
  <si>
    <t>Category 6 (P)</t>
  </si>
  <si>
    <t>Category 7 (P)</t>
  </si>
  <si>
    <t>KPIs (P)</t>
  </si>
  <si>
    <t>&lt;Process01&gt;</t>
  </si>
  <si>
    <t>Process overview + E2E knowledge</t>
  </si>
  <si>
    <t>KPIs</t>
  </si>
  <si>
    <t>&lt;Process02&gt;</t>
  </si>
  <si>
    <t>&lt;Process03&gt;</t>
  </si>
  <si>
    <t>&lt;Process04&gt;</t>
  </si>
  <si>
    <t>&lt;Process05&gt;</t>
  </si>
  <si>
    <t>&lt;Process06&gt;</t>
  </si>
  <si>
    <t>&lt;Process07&gt;</t>
  </si>
  <si>
    <t>&lt;Process08&gt;</t>
  </si>
  <si>
    <t>&lt;Process09&gt;</t>
  </si>
  <si>
    <t>&lt;Process 10&gt;</t>
  </si>
  <si>
    <t>&lt;Process 11&gt;</t>
  </si>
  <si>
    <t>&lt;Process 12&gt;</t>
  </si>
  <si>
    <t>&lt;Process 13&gt;</t>
  </si>
  <si>
    <t>&lt;Process 14&gt;</t>
  </si>
  <si>
    <t>&lt;Process 15&gt;</t>
  </si>
  <si>
    <t>&lt;Process 16&gt;</t>
  </si>
  <si>
    <t>&lt;Process 17&gt;</t>
  </si>
  <si>
    <t>&lt;Process 18&gt;</t>
  </si>
  <si>
    <t>&lt;Process 19&gt;</t>
  </si>
  <si>
    <t>&lt;Process 20&gt;</t>
  </si>
  <si>
    <t>&lt;Process 21&gt;</t>
  </si>
  <si>
    <t>&lt;Process 22&gt;</t>
  </si>
  <si>
    <t>&lt;Process 23&gt;</t>
  </si>
  <si>
    <t>&lt;Process 24&gt;</t>
  </si>
  <si>
    <t>&lt;Process 25&gt;</t>
  </si>
  <si>
    <t>&lt;Process 26&gt;</t>
  </si>
  <si>
    <t>&lt;Process 27&gt;</t>
  </si>
  <si>
    <t>&lt;Process 28&gt;</t>
  </si>
  <si>
    <t>&lt;Process 29&gt;</t>
  </si>
  <si>
    <t>&lt;Process 30&gt;</t>
  </si>
  <si>
    <r>
      <t xml:space="preserve">Competence target </t>
    </r>
    <r>
      <rPr>
        <i/>
        <sz val="13"/>
        <color theme="2" tint="-0.749992370372631"/>
        <rFont val="SEB SansSerif"/>
      </rPr>
      <t>(with N employee)</t>
    </r>
  </si>
  <si>
    <r>
      <t xml:space="preserve">Critical processes </t>
    </r>
    <r>
      <rPr>
        <i/>
        <sz val="12"/>
        <color theme="2" tint="-0.749992370372631"/>
        <rFont val="SEB SansSerif"/>
      </rPr>
      <t>(Processes having  0-1 employee with knowledge)</t>
    </r>
  </si>
  <si>
    <r>
      <t xml:space="preserve">Risky processes </t>
    </r>
    <r>
      <rPr>
        <i/>
        <sz val="12"/>
        <color theme="2" tint="-0.749992370372631"/>
        <rFont val="SEB SansSerif"/>
      </rPr>
      <t>(Processes having  2 employee with knowledge)</t>
    </r>
  </si>
  <si>
    <r>
      <t xml:space="preserve">Good processes </t>
    </r>
    <r>
      <rPr>
        <i/>
        <sz val="12"/>
        <color theme="2" tint="-0.749992370372631"/>
        <rFont val="SEB SansSerif"/>
      </rPr>
      <t>(Processes having  3 employee with knowledge)</t>
    </r>
  </si>
  <si>
    <r>
      <t xml:space="preserve">Excellent processes </t>
    </r>
    <r>
      <rPr>
        <i/>
        <sz val="12"/>
        <color theme="2" tint="-0.749992370372631"/>
        <rFont val="SEB SansSerif"/>
      </rPr>
      <t>(Processes having  4 or more employee with knowledge)</t>
    </r>
  </si>
  <si>
    <r>
      <t xml:space="preserve">Competence index 
</t>
    </r>
    <r>
      <rPr>
        <i/>
        <sz val="8"/>
        <color theme="2" tint="-0.749992370372631"/>
        <rFont val="SEB SansSerif"/>
      </rPr>
      <t>(Limited to N  employees)</t>
    </r>
  </si>
  <si>
    <t>Gap</t>
  </si>
  <si>
    <r>
      <t xml:space="preserve">Employee target in the process
</t>
    </r>
    <r>
      <rPr>
        <i/>
        <sz val="8"/>
        <color theme="2" tint="-0.749992370372631"/>
        <rFont val="SEB SansSerif"/>
      </rPr>
      <t>(Limited to N employees)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</si>
</sst>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rgb="FF000000"/>
      <name val="SEB SansSerif"/>
    </font>
    <font>
      <b/>
      <sz val="11"/>
      <color theme="2" tint="-0.749992370372631"/>
      <name val="SEB SansSerif"/>
    </font>
    <font>
      <i/>
      <sz val="8"/>
      <color theme="2" tint="-0.749992370372631"/>
      <name val="SEB SansSerif"/>
    </font>
    <font>
      <sz val="11"/>
      <color theme="2" tint="-0.749992370372631"/>
      <name val="SEB SansSerif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SEB SansSerif"/>
    </font>
    <font>
      <sz val="13"/>
      <color theme="2" tint="-0.749992370372631"/>
      <name val="SEB SansSerif"/>
    </font>
    <font>
      <sz val="13"/>
      <color theme="2" tint="-0.749992370372631"/>
      <name val="Calibri"/>
      <family val="2"/>
      <scheme val="minor"/>
    </font>
    <font>
      <sz val="10"/>
      <name val="SEB SansSerif"/>
    </font>
    <font>
      <b/>
      <sz val="20"/>
      <color theme="0" tint="-0.499984740745262"/>
      <name val="Arial Black"/>
      <family val="2"/>
    </font>
    <font>
      <b/>
      <sz val="9"/>
      <color indexed="81"/>
      <name val="Tahoma"/>
      <family val="2"/>
    </font>
    <font>
      <i/>
      <sz val="11"/>
      <color rgb="FFC00000"/>
      <name val="Calibri"/>
      <family val="2"/>
      <scheme val="minor"/>
    </font>
    <font>
      <sz val="9"/>
      <color rgb="FFC00000"/>
      <name val="Consolas"/>
      <family val="3"/>
    </font>
    <font>
      <b/>
      <sz val="9"/>
      <color rgb="FFC00000"/>
      <name val="Consolas"/>
      <family val="3"/>
    </font>
    <font>
      <sz val="12"/>
      <color theme="2" tint="-0.749992370372631"/>
      <name val="SEB SansSerif"/>
    </font>
    <font>
      <i/>
      <sz val="12"/>
      <color theme="2" tint="-0.749992370372631"/>
      <name val="SEB SansSerif"/>
    </font>
    <font>
      <b/>
      <sz val="13"/>
      <color theme="2" tint="-0.749992370372631"/>
      <name val="SEB SansSerif"/>
    </font>
    <font>
      <i/>
      <sz val="13"/>
      <color theme="2" tint="-0.749992370372631"/>
      <name val="SEB SansSerif"/>
    </font>
    <font>
      <sz val="13"/>
      <color theme="1"/>
      <name val="SEB SansSerif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1FC9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3C6C7"/>
        <bgColor indexed="64"/>
      </patternFill>
    </fill>
    <fill>
      <patternFill patternType="solid">
        <fgColor rgb="FFFF8C0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theme="6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6"/>
      </left>
      <right style="thin">
        <color rgb="FFBFBFBF"/>
      </right>
      <top/>
      <bottom style="thin">
        <color theme="6"/>
      </bottom>
      <diagonal/>
    </border>
    <border>
      <left style="thin">
        <color rgb="FFBFBFBF"/>
      </left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4" tint="0.39997558519241921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7" fillId="0" borderId="0"/>
    <xf numFmtId="0" fontId="1" fillId="2" borderId="1" applyNumberFormat="0" applyAlignment="0" applyProtection="0"/>
    <xf numFmtId="9" fontId="7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</cellStyleXfs>
  <cellXfs count="97">
    <xf numFmtId="0" fontId="0" fillId="0" borderId="0" xfId="0"/>
    <xf numFmtId="0" fontId="4" fillId="6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8" xfId="1" applyFont="1" applyFill="1" applyBorder="1" applyAlignment="1" applyProtection="1">
      <alignment horizontal="center" vertical="center"/>
    </xf>
    <xf numFmtId="0" fontId="4" fillId="2" borderId="12" xfId="1" applyFont="1" applyBorder="1" applyAlignment="1" applyProtection="1">
      <alignment horizontal="center" vertical="center"/>
      <protection locked="0"/>
    </xf>
    <xf numFmtId="14" fontId="2" fillId="2" borderId="16" xfId="1" applyNumberFormat="1" applyFont="1" applyBorder="1" applyAlignment="1" applyProtection="1">
      <alignment horizontal="center" vertical="center"/>
      <protection locked="0"/>
    </xf>
    <xf numFmtId="0" fontId="0" fillId="11" borderId="0" xfId="0" applyFill="1"/>
    <xf numFmtId="2" fontId="10" fillId="10" borderId="22" xfId="0" applyNumberFormat="1" applyFont="1" applyFill="1" applyBorder="1" applyAlignment="1">
      <alignment horizontal="center" vertical="center"/>
    </xf>
    <xf numFmtId="2" fontId="10" fillId="10" borderId="20" xfId="0" applyNumberFormat="1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 wrapText="1"/>
    </xf>
    <xf numFmtId="2" fontId="13" fillId="10" borderId="22" xfId="0" applyNumberFormat="1" applyFont="1" applyFill="1" applyBorder="1" applyAlignment="1">
      <alignment horizontal="center" vertical="center"/>
    </xf>
    <xf numFmtId="0" fontId="20" fillId="11" borderId="0" xfId="0" applyFont="1" applyFill="1"/>
    <xf numFmtId="2" fontId="19" fillId="11" borderId="0" xfId="0" applyNumberFormat="1" applyFont="1" applyFill="1"/>
    <xf numFmtId="0" fontId="19" fillId="11" borderId="0" xfId="0" applyFont="1" applyFill="1"/>
    <xf numFmtId="0" fontId="0" fillId="8" borderId="0" xfId="0" applyFill="1"/>
    <xf numFmtId="0" fontId="2" fillId="8" borderId="0" xfId="0" applyFont="1" applyFill="1"/>
    <xf numFmtId="0" fontId="2" fillId="8" borderId="0" xfId="0" applyFont="1" applyFill="1" applyProtection="1">
      <protection locked="0"/>
    </xf>
    <xf numFmtId="0" fontId="18" fillId="8" borderId="0" xfId="6" applyFont="1" applyFill="1" applyProtection="1">
      <protection locked="0"/>
    </xf>
    <xf numFmtId="0" fontId="6" fillId="8" borderId="0" xfId="0" applyFont="1" applyFill="1"/>
    <xf numFmtId="49" fontId="15" fillId="8" borderId="0" xfId="0" applyNumberFormat="1" applyFont="1" applyFill="1"/>
    <xf numFmtId="49" fontId="0" fillId="11" borderId="0" xfId="0" applyNumberFormat="1" applyFill="1" applyAlignment="1">
      <alignment vertical="top"/>
    </xf>
    <xf numFmtId="49" fontId="15" fillId="8" borderId="0" xfId="0" applyNumberFormat="1" applyFont="1" applyFill="1" applyAlignment="1">
      <alignment horizontal="right"/>
    </xf>
    <xf numFmtId="0" fontId="4" fillId="2" borderId="11" xfId="1" applyFont="1" applyBorder="1" applyAlignment="1" applyProtection="1">
      <alignment vertical="center"/>
    </xf>
    <xf numFmtId="0" fontId="4" fillId="2" borderId="36" xfId="1" applyFont="1" applyBorder="1" applyAlignment="1" applyProtection="1">
      <alignment horizontal="center" vertical="center"/>
      <protection locked="0"/>
    </xf>
    <xf numFmtId="0" fontId="4" fillId="2" borderId="17" xfId="1" applyFont="1" applyBorder="1" applyAlignment="1" applyProtection="1">
      <alignment horizontal="center" vertical="center"/>
      <protection locked="0"/>
    </xf>
    <xf numFmtId="0" fontId="2" fillId="2" borderId="15" xfId="1" applyFont="1" applyBorder="1" applyAlignment="1" applyProtection="1">
      <alignment vertical="center"/>
    </xf>
    <xf numFmtId="14" fontId="2" fillId="2" borderId="37" xfId="1" applyNumberFormat="1" applyFont="1" applyBorder="1" applyAlignment="1" applyProtection="1">
      <alignment horizontal="center" vertical="center"/>
      <protection locked="0"/>
    </xf>
    <xf numFmtId="0" fontId="4" fillId="2" borderId="15" xfId="1" applyFont="1" applyBorder="1" applyAlignment="1" applyProtection="1">
      <alignment vertical="center"/>
    </xf>
    <xf numFmtId="0" fontId="2" fillId="2" borderId="16" xfId="1" applyFont="1" applyBorder="1" applyAlignment="1" applyProtection="1">
      <alignment horizontal="center" vertical="center"/>
      <protection locked="0"/>
    </xf>
    <xf numFmtId="0" fontId="4" fillId="2" borderId="13" xfId="1" applyFont="1" applyBorder="1" applyAlignment="1" applyProtection="1">
      <alignment vertical="center"/>
    </xf>
    <xf numFmtId="2" fontId="4" fillId="2" borderId="14" xfId="1" applyNumberFormat="1" applyFont="1" applyBorder="1" applyAlignment="1" applyProtection="1">
      <alignment horizontal="center" vertical="center"/>
    </xf>
    <xf numFmtId="0" fontId="2" fillId="2" borderId="11" xfId="1" applyFont="1" applyBorder="1" applyAlignment="1" applyProtection="1">
      <alignment vertical="center"/>
    </xf>
    <xf numFmtId="14" fontId="2" fillId="2" borderId="12" xfId="1" applyNumberFormat="1" applyFont="1" applyBorder="1" applyAlignment="1" applyProtection="1">
      <alignment horizontal="center" vertical="center"/>
      <protection locked="0"/>
    </xf>
    <xf numFmtId="14" fontId="2" fillId="2" borderId="17" xfId="1" applyNumberFormat="1" applyFont="1" applyBorder="1" applyAlignment="1" applyProtection="1">
      <alignment horizontal="center" vertical="center"/>
      <protection locked="0"/>
    </xf>
    <xf numFmtId="0" fontId="2" fillId="2" borderId="13" xfId="1" applyFont="1" applyBorder="1" applyAlignment="1" applyProtection="1">
      <alignment vertical="center"/>
    </xf>
    <xf numFmtId="14" fontId="2" fillId="2" borderId="14" xfId="1" applyNumberFormat="1" applyFont="1" applyBorder="1" applyAlignment="1" applyProtection="1">
      <alignment horizontal="center" vertical="center"/>
      <protection locked="0"/>
    </xf>
    <xf numFmtId="14" fontId="2" fillId="2" borderId="10" xfId="1" applyNumberFormat="1" applyFont="1" applyBorder="1" applyAlignment="1" applyProtection="1">
      <alignment horizontal="center" vertical="center"/>
      <protection locked="0"/>
    </xf>
    <xf numFmtId="0" fontId="2" fillId="2" borderId="37" xfId="1" applyFont="1" applyBorder="1" applyAlignment="1" applyProtection="1">
      <alignment horizontal="center" vertical="center"/>
      <protection locked="0"/>
    </xf>
    <xf numFmtId="2" fontId="21" fillId="9" borderId="18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wrapText="1"/>
    </xf>
    <xf numFmtId="0" fontId="11" fillId="3" borderId="38" xfId="0" applyFont="1" applyFill="1" applyBorder="1" applyAlignment="1">
      <alignment vertical="center"/>
    </xf>
    <xf numFmtId="0" fontId="11" fillId="13" borderId="39" xfId="0" applyFont="1" applyFill="1" applyBorder="1" applyAlignment="1">
      <alignment horizontal="center" vertical="center" wrapText="1"/>
    </xf>
    <xf numFmtId="49" fontId="24" fillId="8" borderId="0" xfId="0" applyNumberFormat="1" applyFont="1" applyFill="1"/>
    <xf numFmtId="0" fontId="11" fillId="0" borderId="19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49" fontId="25" fillId="8" borderId="0" xfId="0" applyNumberFormat="1" applyFont="1" applyFill="1"/>
    <xf numFmtId="49" fontId="26" fillId="8" borderId="0" xfId="0" applyNumberFormat="1" applyFont="1" applyFill="1"/>
    <xf numFmtId="49" fontId="25" fillId="8" borderId="0" xfId="0" applyNumberFormat="1" applyFont="1" applyFill="1" applyAlignment="1">
      <alignment vertical="center"/>
    </xf>
    <xf numFmtId="9" fontId="20" fillId="11" borderId="0" xfId="4" applyFont="1" applyFill="1"/>
    <xf numFmtId="2" fontId="4" fillId="2" borderId="46" xfId="1" applyNumberFormat="1" applyFont="1" applyBorder="1" applyAlignment="1" applyProtection="1">
      <alignment horizontal="center" vertical="center"/>
    </xf>
    <xf numFmtId="14" fontId="9" fillId="7" borderId="50" xfId="1" applyNumberFormat="1" applyFont="1" applyFill="1" applyBorder="1" applyAlignment="1">
      <alignment horizontal="left" vertical="center" wrapText="1"/>
    </xf>
    <xf numFmtId="2" fontId="5" fillId="2" borderId="47" xfId="1" applyNumberFormat="1" applyFont="1" applyBorder="1" applyAlignment="1">
      <alignment horizontal="center" vertical="center"/>
    </xf>
    <xf numFmtId="0" fontId="6" fillId="2" borderId="50" xfId="1" applyFont="1" applyBorder="1" applyAlignment="1">
      <alignment horizontal="left" vertical="center" wrapText="1"/>
    </xf>
    <xf numFmtId="1" fontId="6" fillId="2" borderId="47" xfId="1" applyNumberFormat="1" applyFont="1" applyBorder="1" applyAlignment="1">
      <alignment horizontal="center" vertical="center"/>
    </xf>
    <xf numFmtId="2" fontId="4" fillId="2" borderId="47" xfId="1" applyNumberFormat="1" applyFont="1" applyBorder="1" applyAlignment="1" applyProtection="1">
      <alignment horizontal="center" vertical="center"/>
      <protection locked="0"/>
    </xf>
    <xf numFmtId="14" fontId="9" fillId="7" borderId="51" xfId="1" applyNumberFormat="1" applyFont="1" applyFill="1" applyBorder="1" applyAlignment="1">
      <alignment horizontal="left" vertical="center" wrapText="1"/>
    </xf>
    <xf numFmtId="2" fontId="4" fillId="2" borderId="52" xfId="1" applyNumberFormat="1" applyFont="1" applyBorder="1" applyAlignment="1" applyProtection="1">
      <alignment horizontal="center" vertical="center"/>
      <protection locked="0"/>
    </xf>
    <xf numFmtId="14" fontId="9" fillId="7" borderId="48" xfId="1" applyNumberFormat="1" applyFont="1" applyFill="1" applyBorder="1" applyAlignment="1">
      <alignment horizontal="left" vertical="center" wrapText="1"/>
    </xf>
    <xf numFmtId="2" fontId="5" fillId="2" borderId="49" xfId="1" applyNumberFormat="1" applyFont="1" applyBorder="1" applyAlignment="1">
      <alignment horizontal="center" vertical="center"/>
    </xf>
    <xf numFmtId="14" fontId="9" fillId="7" borderId="47" xfId="1" applyNumberFormat="1" applyFont="1" applyFill="1" applyBorder="1" applyAlignment="1">
      <alignment horizontal="left" vertical="center" wrapText="1"/>
    </xf>
    <xf numFmtId="0" fontId="6" fillId="2" borderId="47" xfId="1" applyFont="1" applyBorder="1" applyAlignment="1">
      <alignment horizontal="left" vertical="center" wrapText="1"/>
    </xf>
    <xf numFmtId="0" fontId="5" fillId="3" borderId="53" xfId="1" applyFont="1" applyFill="1" applyBorder="1" applyAlignment="1">
      <alignment horizontal="center" vertical="center"/>
    </xf>
    <xf numFmtId="0" fontId="5" fillId="3" borderId="54" xfId="1" applyFont="1" applyFill="1" applyBorder="1" applyAlignment="1">
      <alignment horizontal="center" vertical="center"/>
    </xf>
    <xf numFmtId="49" fontId="4" fillId="3" borderId="54" xfId="1" applyNumberFormat="1" applyFont="1" applyFill="1" applyBorder="1" applyAlignment="1" applyProtection="1">
      <alignment horizontal="center" vertical="center"/>
    </xf>
    <xf numFmtId="49" fontId="5" fillId="3" borderId="54" xfId="1" applyNumberFormat="1" applyFont="1" applyFill="1" applyBorder="1" applyAlignment="1" applyProtection="1">
      <alignment horizontal="center" vertical="center" wrapText="1"/>
    </xf>
    <xf numFmtId="14" fontId="9" fillId="7" borderId="49" xfId="1" applyNumberFormat="1" applyFont="1" applyFill="1" applyBorder="1" applyAlignment="1">
      <alignment horizontal="left" vertical="center" wrapText="1"/>
    </xf>
    <xf numFmtId="49" fontId="26" fillId="8" borderId="0" xfId="0" applyNumberFormat="1" applyFont="1" applyFill="1" applyAlignment="1">
      <alignment horizontal="left" vertical="center"/>
    </xf>
    <xf numFmtId="0" fontId="27" fillId="14" borderId="30" xfId="0" applyFont="1" applyFill="1" applyBorder="1" applyAlignment="1">
      <alignment horizontal="left" vertical="center"/>
    </xf>
    <xf numFmtId="0" fontId="27" fillId="14" borderId="32" xfId="0" applyFont="1" applyFill="1" applyBorder="1" applyAlignment="1">
      <alignment horizontal="left" vertical="center"/>
    </xf>
    <xf numFmtId="0" fontId="27" fillId="14" borderId="34" xfId="0" applyFont="1" applyFill="1" applyBorder="1" applyAlignment="1">
      <alignment horizontal="left" vertical="center"/>
    </xf>
    <xf numFmtId="0" fontId="29" fillId="15" borderId="24" xfId="0" applyFont="1" applyFill="1" applyBorder="1" applyAlignment="1">
      <alignment horizontal="left" vertical="center" wrapText="1"/>
    </xf>
    <xf numFmtId="0" fontId="19" fillId="15" borderId="26" xfId="0" applyFont="1" applyFill="1" applyBorder="1" applyAlignment="1">
      <alignment horizontal="left" vertical="center"/>
    </xf>
    <xf numFmtId="0" fontId="19" fillId="15" borderId="28" xfId="0" applyFont="1" applyFill="1" applyBorder="1" applyAlignment="1">
      <alignment horizontal="left" vertical="center"/>
    </xf>
    <xf numFmtId="2" fontId="5" fillId="2" borderId="55" xfId="1" applyNumberFormat="1" applyFont="1" applyBorder="1" applyAlignment="1">
      <alignment horizontal="center" vertical="center"/>
    </xf>
    <xf numFmtId="2" fontId="4" fillId="2" borderId="47" xfId="1" applyNumberFormat="1" applyFont="1" applyBorder="1" applyAlignment="1">
      <alignment horizontal="center" vertical="center"/>
    </xf>
    <xf numFmtId="9" fontId="31" fillId="15" borderId="25" xfId="4" applyFont="1" applyFill="1" applyBorder="1" applyAlignment="1">
      <alignment horizontal="center" vertical="center"/>
    </xf>
    <xf numFmtId="2" fontId="31" fillId="14" borderId="31" xfId="0" applyNumberFormat="1" applyFont="1" applyFill="1" applyBorder="1" applyAlignment="1">
      <alignment horizontal="center" vertical="center"/>
    </xf>
    <xf numFmtId="2" fontId="31" fillId="14" borderId="33" xfId="0" applyNumberFormat="1" applyFont="1" applyFill="1" applyBorder="1" applyAlignment="1">
      <alignment horizontal="center" vertical="center"/>
    </xf>
    <xf numFmtId="2" fontId="31" fillId="14" borderId="35" xfId="0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 wrapText="1"/>
    </xf>
    <xf numFmtId="2" fontId="31" fillId="15" borderId="27" xfId="0" applyNumberFormat="1" applyFont="1" applyFill="1" applyBorder="1" applyAlignment="1">
      <alignment horizontal="center" vertical="center"/>
    </xf>
    <xf numFmtId="2" fontId="31" fillId="15" borderId="29" xfId="0" applyNumberFormat="1" applyFont="1" applyFill="1" applyBorder="1" applyAlignment="1">
      <alignment horizontal="center" vertical="center"/>
    </xf>
    <xf numFmtId="0" fontId="22" fillId="0" borderId="42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44" xfId="0" applyFont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9" xfId="1" applyFont="1" applyFill="1" applyBorder="1" applyAlignment="1" applyProtection="1">
      <alignment horizontal="center" vertical="center"/>
    </xf>
    <xf numFmtId="0" fontId="4" fillId="4" borderId="10" xfId="1" applyFont="1" applyFill="1" applyBorder="1" applyAlignment="1" applyProtection="1">
      <alignment horizontal="center" vertical="center"/>
    </xf>
  </cellXfs>
  <cellStyles count="7">
    <cellStyle name="Calculation" xfId="1" builtinId="22"/>
    <cellStyle name="Calculation 2" xfId="3" xr:uid="{015E9C1A-F05E-4D7E-BCED-DDD698535047}"/>
    <cellStyle name="Hyperlink" xfId="6" builtinId="8"/>
    <cellStyle name="Normal" xfId="0" builtinId="0"/>
    <cellStyle name="Normal 10" xfId="5" xr:uid="{40C6AE2C-E01C-450D-A73B-55AD9767D32E}"/>
    <cellStyle name="Normal 5" xfId="2" xr:uid="{752304BB-1793-4D00-8635-EF1810516061}"/>
    <cellStyle name="Percent" xfId="4" builtinId="5"/>
  </cellStyles>
  <dxfs count="903"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F299A3"/>
        </patternFill>
      </fill>
    </dxf>
    <dxf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ont>
        <color theme="1" tint="4.9989318521683403E-2"/>
      </font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ont>
        <color theme="1" tint="4.9989318521683403E-2"/>
      </font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theme="1" tint="4.9989318521683403E-2"/>
      </font>
      <fill>
        <patternFill patternType="solid">
          <bgColor rgb="FFFFF2BD"/>
        </patternFill>
      </fill>
    </dxf>
    <dxf>
      <fill>
        <patternFill patternType="solid">
          <bgColor rgb="FFB1E0B4"/>
        </patternFill>
      </fill>
    </dxf>
    <dxf>
      <fill>
        <patternFill patternType="solid">
          <bgColor rgb="FFF299A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 patternType="solid"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1" tint="0.249977111117893"/>
      </font>
      <fill>
        <patternFill patternType="solid">
          <bgColor rgb="FFD1FC9E"/>
        </patternFill>
      </fill>
    </dxf>
    <dxf>
      <font>
        <color theme="1" tint="0.249977111117893"/>
      </font>
      <fill>
        <patternFill patternType="solid">
          <bgColor rgb="FFFFFF99"/>
        </patternFill>
      </fill>
    </dxf>
    <dxf>
      <fill>
        <patternFill patternType="solid">
          <bgColor rgb="FFFF7979"/>
        </patternFill>
      </fill>
    </dxf>
    <dxf>
      <font>
        <color theme="1" tint="0.249977111117893"/>
      </font>
      <fill>
        <patternFill patternType="solid">
          <bgColor rgb="FFF2F2F2"/>
        </patternFill>
      </fill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color auto="1"/>
        <charset val="186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 val="0"/>
        <charset val="186"/>
      </font>
    </dxf>
    <dxf>
      <border>
        <bottom style="medium">
          <color indexed="64"/>
        </bottom>
      </border>
    </dxf>
    <dxf>
      <font>
        <i val="0"/>
        <charset val="186"/>
      </font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color auto="1"/>
        <charset val="186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outline val="0"/>
        <shadow val="0"/>
        <u val="none"/>
        <vertAlign val="baseline"/>
        <color auto="1"/>
        <name val="Calibri"/>
        <family val="2"/>
        <charset val="186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 val="0"/>
        <charset val="186"/>
      </font>
    </dxf>
    <dxf>
      <border>
        <bottom style="medium">
          <color indexed="64"/>
        </bottom>
      </border>
    </dxf>
    <dxf>
      <font>
        <i val="0"/>
        <charset val="186"/>
      </font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2" formatCode="0.00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SEB SansSerif"/>
        <scheme val="none"/>
      </font>
      <numFmt numFmtId="2" formatCode="0.00"/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/>
        <top/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2" formatCode="0.00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B SansSerif"/>
        <scheme val="none"/>
      </font>
      <numFmt numFmtId="2" formatCode="0.00"/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2" formatCode="0.00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B SansSerif"/>
        <scheme val="none"/>
      </font>
      <numFmt numFmtId="2" formatCode="0.00"/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FBFBF"/>
        </left>
        <right/>
        <top/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2" formatCode="0.00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B SansSerif"/>
        <scheme val="none"/>
      </font>
      <numFmt numFmtId="2" formatCode="0.00"/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numFmt numFmtId="13" formatCode="0%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SEB SansSerif"/>
        <scheme val="none"/>
      </font>
      <border outline="0">
        <left style="thin">
          <color rgb="FFBFBFBF"/>
        </left>
        <right style="thin">
          <color rgb="FFBFBFB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B SansSerif"/>
        <scheme val="none"/>
      </font>
      <fill>
        <patternFill patternType="solid">
          <fgColor indexed="64"/>
          <bgColor theme="1" tint="0.499984740745262"/>
        </patternFill>
      </fill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SEB SansSerif"/>
        <scheme val="none"/>
      </font>
      <alignment vertical="center"/>
      <border outline="0">
        <right style="thin">
          <color rgb="FFBFBFBF"/>
        </right>
      </border>
    </dxf>
    <dxf>
      <border outline="0">
        <top style="thin">
          <color rgb="FFBFBFBF"/>
        </top>
      </border>
    </dxf>
    <dxf>
      <font>
        <color theme="0"/>
      </font>
      <fill>
        <patternFill patternType="solid">
          <fgColor indexed="64"/>
          <bgColor theme="1" tint="0.499984740745262"/>
        </patternFill>
      </fill>
    </dxf>
    <dxf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name val="SEB SansSerif"/>
        <scheme val="none"/>
      </font>
    </dxf>
    <dxf>
      <border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SEB SansSerif"/>
        <scheme val="none"/>
      </font>
      <fill>
        <patternFill patternType="solid">
          <fgColor rgb="FF000000"/>
          <bgColor rgb="FF8EA9DB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2" defaultPivotStyle="PivotStyleLight16"/>
  <colors>
    <mruColors>
      <color rgb="FFFF8C00"/>
      <color rgb="FFFFA500"/>
      <color rgb="FFE3CC45"/>
      <color rgb="FFF299A3"/>
      <color rgb="FFFFF2BD"/>
      <color rgb="FFB1E0B4"/>
      <color rgb="FFCCCCFF"/>
      <color rgb="FFFFCCCC"/>
      <color rgb="FFD1FC9E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BF4F81-8F99-4058-9AB6-7D949003D196}" autoFormatId="16" applyNumberFormats="0" applyBorderFormats="0" applyFontFormats="0" applyPatternFormats="0" applyAlignmentFormats="0" applyWidthHeightFormats="0">
  <queryTableRefresh nextId="3">
    <queryTableFields count="2">
      <queryTableField id="1" name="Content" tableColumnId="1"/>
      <queryTableField id="2" name="Na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E4AAA7-E2F2-4311-AA1B-39676FF8E384}" name="_TotalsTable" displayName="_TotalsTable" ref="D4:T34" totalsRowShown="0" headerRowDxfId="902" dataDxfId="900" totalsRowDxfId="898" headerRowBorderDxfId="901" tableBorderDxfId="899" totalsRowBorderDxfId="897">
  <autoFilter ref="D4:T34" xr:uid="{ECE4AAA7-E2F2-4311-AA1B-39676FF8E384}"/>
  <tableColumns count="17">
    <tableColumn id="1" xr3:uid="{8E56710C-B8AE-4403-9C4D-14A93D8EE17D}" name="Processes" dataDxfId="896" totalsRowDxfId="895"/>
    <tableColumn id="2" xr3:uid="{AE55391E-8B1B-4C29-A7EA-95D46886D2F6}" name="AA" dataDxfId="894" totalsRowDxfId="893"/>
    <tableColumn id="3" xr3:uid="{E508C159-7414-4A01-9993-8CDE5D9487BA}" name="BB" dataDxfId="892" totalsRowDxfId="891"/>
    <tableColumn id="4" xr3:uid="{13EF0770-1431-417C-939C-122DCD51BED3}" name="CC" dataDxfId="890" totalsRowDxfId="889"/>
    <tableColumn id="5" xr3:uid="{2AEE6384-D842-44A7-BA06-E9ED5CF17946}" name="DD" dataDxfId="888" totalsRowDxfId="887"/>
    <tableColumn id="6" xr3:uid="{DF0A0EC4-A50F-4262-B1C4-7C6C20AD7A7F}" name="EE" dataDxfId="886" totalsRowDxfId="885"/>
    <tableColumn id="7" xr3:uid="{427A4399-78DD-4A4C-ADC7-A3C0A8FEB4C5}" name="FF" dataDxfId="884" totalsRowDxfId="883"/>
    <tableColumn id="8" xr3:uid="{7FE4CDFD-D9B6-44D9-A92F-ECB5365A162B}" name="GG" dataDxfId="882" totalsRowDxfId="881"/>
    <tableColumn id="15" xr3:uid="{6E9558E6-03A8-486B-A40C-C8913492A13A}" name="HH" totalsRowDxfId="880"/>
    <tableColumn id="12" xr3:uid="{2DA38860-D6CD-4DE2-9217-EE5DF6B75398}" name="II" totalsRowDxfId="879"/>
    <tableColumn id="9" xr3:uid="{12C926F3-F0D2-4F94-9C74-85FA291E1D65}" name="JJ" dataDxfId="878" totalsRowDxfId="877"/>
    <tableColumn id="10" xr3:uid="{2F505747-4A22-443E-B070-EAABDEEBF693}" name="KK" dataDxfId="876" totalsRowDxfId="875"/>
    <tableColumn id="11" xr3:uid="{1D140D31-8537-438D-8A06-6C6501EBE594}" name="LL" dataDxfId="874" totalsRowDxfId="873"/>
    <tableColumn id="19" xr3:uid="{04C36D91-17B5-4466-8DB4-8CEB543E03AA}" name="Competence index _x000a_(Limited to N  employees)" dataDxfId="872" totalsRowDxfId="871">
      <calculatedColumnFormula>IF(COUNTIF(E5:P5,"&gt;=3")&gt;4,4,COUNTIF(E5:P5,"&gt;=3"))</calculatedColumnFormula>
    </tableColumn>
    <tableColumn id="17" xr3:uid="{93AE9813-786F-4D18-A59D-FD1E3E1C4038}" name="Actual Competence index " dataDxfId="870" totalsRowDxfId="869">
      <calculatedColumnFormula>COUNTIF(E5:P5,"&gt;=3")</calculatedColumnFormula>
    </tableColumn>
    <tableColumn id="22" xr3:uid="{613D3A9B-F5B1-47F9-B307-7A409FFCFF18}" name="Gap" dataDxfId="868" totalsRowDxfId="867">
      <calculatedColumnFormula>_TotalsTable[[#This Row],[Employee target in the process
(Limited to N employees)]] - _TotalsTable[[#This Row],[Competence index 
(Limited to N  employees)]]</calculatedColumnFormula>
    </tableColumn>
    <tableColumn id="20" xr3:uid="{3B904EAF-16D6-48A0-8F0E-E5E0C2F00CDB}" name="Employee target in the process_x000a_(Limited to N employees)" dataDxfId="866" totalsRowDxfId="865">
      <calculatedColumnFormula>4</calculatedColumnFormula>
    </tableColumn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C7B4B4-3288-49DB-AA4A-6F282308F711}" name="_TOTALS_P" displayName="_TOTALS_P" ref="A1:B34" tableType="queryTable" totalsRowShown="0">
  <autoFilter ref="A1:B34" xr:uid="{D1C7B4B4-3288-49DB-AA4A-6F282308F711}"/>
  <tableColumns count="2">
    <tableColumn id="1" xr3:uid="{67A9454F-E0C0-46CD-B3FE-B7435197CD08}" uniqueName="1" name="Content" queryTableFieldId="1"/>
    <tableColumn id="2" xr3:uid="{2C9EF9E3-86BF-41C4-A784-FDE443B18E8B}" uniqueName="2" name="Name" queryTableFieldId="2" dataDxfId="8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A3C8B-6E9F-4EA8-B61B-53584CF54277}" name="_TemplateTable" displayName="_TemplateTable" ref="B15:N63" headerRowDxfId="863" dataDxfId="861" totalsRowDxfId="859" headerRowBorderDxfId="862" tableBorderDxfId="860" totalsRowBorderDxfId="858">
  <autoFilter ref="B15:N63" xr:uid="{AC1020E0-8392-4653-825B-7F301E97C5AE}"/>
  <tableColumns count="13">
    <tableColumn id="1" xr3:uid="{0DEEBAC6-8FCF-409D-A622-6C69ED4A477C}" name="Skill matrix" totalsRowLabel="Total" dataDxfId="857" totalsRowDxfId="856" dataCellStyle="Calculation"/>
    <tableColumn id="3" xr3:uid="{9966318B-42D2-4F01-99C5-6B359094DD6D}" name="AA" dataDxfId="855" totalsRowDxfId="854" dataCellStyle="Calculation"/>
    <tableColumn id="4" xr3:uid="{584B0ED7-7A6F-45AB-9A80-8A77057D3F84}" name="BB" dataDxfId="853" totalsRowDxfId="852" dataCellStyle="Calculation"/>
    <tableColumn id="5" xr3:uid="{AA982EF1-0A27-45F2-AB01-E4562B1C132A}" name="CC" dataDxfId="851" totalsRowDxfId="850" dataCellStyle="Calculation"/>
    <tableColumn id="6" xr3:uid="{D9D67413-9C1F-468E-96D5-F4AACC146522}" name="DD" dataDxfId="849" totalsRowDxfId="848" dataCellStyle="Calculation"/>
    <tableColumn id="2" xr3:uid="{48D561E9-D7E6-4408-9889-E6CD9AAE4D05}" name="EE" dataDxfId="847" totalsRowDxfId="846" dataCellStyle="Calculation"/>
    <tableColumn id="7" xr3:uid="{4D8FEA02-1CEC-4820-BD0D-F66D98ACE53B}" name="FF" dataDxfId="845" totalsRowDxfId="844" dataCellStyle="Calculation"/>
    <tableColumn id="13" xr3:uid="{C3062059-AF0B-42AB-9CBB-438F0EDF74D3}" name="GG" dataDxfId="843" totalsRowDxfId="842" dataCellStyle="Calculation"/>
    <tableColumn id="12" xr3:uid="{5635C6EF-A300-4A3D-BDFE-0D8858081071}" name="HH" dataDxfId="841" totalsRowDxfId="840" dataCellStyle="Calculation"/>
    <tableColumn id="8" xr3:uid="{4A606EED-6B7C-4A5B-A3E5-80DC279955DA}" name="II" dataDxfId="839" totalsRowDxfId="838" dataCellStyle="Calculation"/>
    <tableColumn id="9" xr3:uid="{14E5A636-A379-4E52-8BC3-BDDDD3AACB8C}" name="JJ" dataDxfId="837" totalsRowDxfId="836" dataCellStyle="Calculation"/>
    <tableColumn id="10" xr3:uid="{275F9DF8-B52E-42B3-B257-509D8C40367D}" name="KK" dataDxfId="835" totalsRowDxfId="834" dataCellStyle="Calculation"/>
    <tableColumn id="11" xr3:uid="{1305A01A-8F32-4524-857F-A0A3D12A9553}" name="LL" dataDxfId="833" totalsRowDxfId="832" dataCellStyle="Calculation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1020E0-8392-4653-825B-7F301E97C5AE}" name="Process01" displayName="Process01" ref="B15:N63" headerRowDxfId="831" dataDxfId="829" totalsRowDxfId="827" headerRowBorderDxfId="830" tableBorderDxfId="828" totalsRowBorderDxfId="826">
  <autoFilter ref="B15:N63" xr:uid="{AC1020E0-8392-4653-825B-7F301E97C5AE}"/>
  <tableColumns count="13">
    <tableColumn id="1" xr3:uid="{E315B840-C698-4C95-B2B0-1E8935904DB7}" name="Skill matrix" totalsRowLabel="Total" dataDxfId="825" totalsRowDxfId="824" dataCellStyle="Calculation"/>
    <tableColumn id="3" xr3:uid="{91BDCC28-0393-4845-98F9-098B4DFA03D7}" name="AA" dataDxfId="823" totalsRowDxfId="822" dataCellStyle="Calculation"/>
    <tableColumn id="4" xr3:uid="{8AEBE833-843C-4213-A182-9E9182F4C00A}" name="BB" dataDxfId="821" totalsRowDxfId="820" dataCellStyle="Calculation"/>
    <tableColumn id="5" xr3:uid="{D751F97A-06C0-446E-B35D-1528C74C9855}" name="CC" dataDxfId="819" totalsRowDxfId="818" dataCellStyle="Calculation"/>
    <tableColumn id="6" xr3:uid="{CEC3DC4A-2E29-43C3-BFC4-A6F5064B2AF8}" name="DD" dataDxfId="817" totalsRowDxfId="816" dataCellStyle="Calculation"/>
    <tableColumn id="2" xr3:uid="{D1EBB4B9-6BCF-40DF-A02A-37A422180D9E}" name="EE" dataDxfId="815" totalsRowDxfId="814" dataCellStyle="Calculation"/>
    <tableColumn id="7" xr3:uid="{9EF489AC-C2F9-4911-ACD9-64531F1F2E8E}" name="FF" dataDxfId="813" totalsRowDxfId="812" dataCellStyle="Calculation"/>
    <tableColumn id="13" xr3:uid="{B37C582A-3813-4798-B1EF-B47D65E48025}" name="GG" dataDxfId="811" totalsRowDxfId="810" dataCellStyle="Calculation"/>
    <tableColumn id="12" xr3:uid="{9B176CAF-E5ED-48B7-9F24-3862ADBBD17C}" name="HH" dataDxfId="809" totalsRowDxfId="808" dataCellStyle="Calculation"/>
    <tableColumn id="8" xr3:uid="{A59FC406-9053-4642-A947-EFAD94651D82}" name="II" dataDxfId="807" totalsRowDxfId="806" dataCellStyle="Calculation"/>
    <tableColumn id="9" xr3:uid="{CD615BCB-5D22-4E1E-9588-5B40D9F7A91E}" name="JJ" dataDxfId="805" totalsRowDxfId="804" dataCellStyle="Calculation"/>
    <tableColumn id="10" xr3:uid="{23B2F561-245E-4917-8B34-FE52D55F738E}" name="KK" dataDxfId="803" totalsRowDxfId="802" dataCellStyle="Calculation"/>
    <tableColumn id="11" xr3:uid="{0C0DA22C-EAAB-4624-9B83-8FEC349DD208}" name="LL" dataDxfId="801" totalsRowDxfId="800" dataCellStyle="Calculation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488A9-0A10-443A-A960-26CD87FD7A6D}" name="Process02" displayName="Process02" ref="B15:N63" totalsRowShown="0" headerRowDxfId="799" dataDxfId="797" headerRowBorderDxfId="798" tableBorderDxfId="796" headerRowCellStyle="Calculation" dataCellStyle="Calculation">
  <autoFilter ref="B15:N63" xr:uid="{AC1020E0-8392-4653-825B-7F301E97C5AE}"/>
  <tableColumns count="13">
    <tableColumn id="1" xr3:uid="{C8909095-4DA1-4D9B-91E4-5F0FF6A3DE3B}" name="Skill matrix" dataDxfId="795" dataCellStyle="Calculation"/>
    <tableColumn id="3" xr3:uid="{23765B92-C25E-438A-A9CC-B48266A7BC39}" name="AA" dataDxfId="794" dataCellStyle="Calculation"/>
    <tableColumn id="4" xr3:uid="{132989D3-723B-483E-BFF0-A30243F63E0A}" name="BB" dataDxfId="793" dataCellStyle="Calculation"/>
    <tableColumn id="5" xr3:uid="{4DE6B196-1C97-4FB0-8120-E2BAEB4D7D8A}" name="CC" dataDxfId="792" dataCellStyle="Calculation"/>
    <tableColumn id="6" xr3:uid="{F2B27979-BABD-45D1-B420-408ED371120B}" name="DD" dataDxfId="791" dataCellStyle="Calculation"/>
    <tableColumn id="2" xr3:uid="{888ED3D4-263A-4A9A-AB69-0892E7FE460E}" name="EE" dataDxfId="790" dataCellStyle="Calculation"/>
    <tableColumn id="7" xr3:uid="{BFA2BBB0-5066-4C5D-ADFD-E586F9569191}" name="FF" dataDxfId="789" dataCellStyle="Calculation"/>
    <tableColumn id="13" xr3:uid="{CEE817A3-8F1A-4EDE-ACE7-2A0B3FABC6CF}" name="GG" dataDxfId="788" dataCellStyle="Calculation"/>
    <tableColumn id="12" xr3:uid="{EB99497E-3D3C-46E3-80CB-ABEE507E1A1C}" name="HH" dataDxfId="787" dataCellStyle="Calculation"/>
    <tableColumn id="8" xr3:uid="{22D69B0F-AA50-4DB5-8326-686063BF9FAF}" name="II" dataDxfId="786" dataCellStyle="Calculation"/>
    <tableColumn id="9" xr3:uid="{1468EC67-33AB-4B8B-B79C-12B860218145}" name="JJ" dataDxfId="785" dataCellStyle="Calculation"/>
    <tableColumn id="10" xr3:uid="{C89D6DDA-3813-4D85-8C7D-AAA7B0D40F28}" name="KK" dataDxfId="784" dataCellStyle="Calculation"/>
    <tableColumn id="11" xr3:uid="{984D996D-B5DC-4602-B4E0-E74869A48271}" name="LL" dataDxfId="783" dataCellStyle="Calcul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CD71EF-AAD5-4334-A9D6-21980A508C5E}" name="Process03" displayName="Process03" ref="B15:N63" totalsRowShown="0" headerRowDxfId="782" dataDxfId="780" headerRowBorderDxfId="781" tableBorderDxfId="779" headerRowCellStyle="Calculation" dataCellStyle="Calculation">
  <autoFilter ref="B15:N63" xr:uid="{AC1020E0-8392-4653-825B-7F301E97C5AE}"/>
  <tableColumns count="13">
    <tableColumn id="1" xr3:uid="{2A7024FE-D62A-4B1F-9DA6-EF11F9BCA138}" name="Skill matrix" dataDxfId="778" dataCellStyle="Calculation"/>
    <tableColumn id="3" xr3:uid="{AF50EFD3-82EC-463D-AB87-306D31690782}" name="AA" dataDxfId="777" dataCellStyle="Calculation"/>
    <tableColumn id="4" xr3:uid="{D0872BAF-A07B-497F-B148-8280D6040C29}" name="BB" dataDxfId="776" dataCellStyle="Calculation"/>
    <tableColumn id="5" xr3:uid="{B4D9564F-9802-46E2-812F-F2CD241A1AC3}" name="CC" dataDxfId="775" dataCellStyle="Calculation"/>
    <tableColumn id="6" xr3:uid="{4BF4788A-4D5B-4324-B7A9-95E58D747959}" name="DD" dataDxfId="774" dataCellStyle="Calculation"/>
    <tableColumn id="2" xr3:uid="{CA24C19B-9F74-4F21-A469-3F0F7E496A56}" name="EE" dataDxfId="773" dataCellStyle="Calculation"/>
    <tableColumn id="7" xr3:uid="{58BFDF68-8988-4D7D-B4D0-BDCDFD6FD26F}" name="FF" dataDxfId="772" dataCellStyle="Calculation"/>
    <tableColumn id="13" xr3:uid="{A249ED5E-BEE8-45F6-BB16-CC5A17579429}" name="GG" dataDxfId="771" dataCellStyle="Calculation"/>
    <tableColumn id="12" xr3:uid="{E1FB9EEC-4FCA-484D-AFA9-860E5FDDDFEC}" name="HH" dataDxfId="770" dataCellStyle="Calculation"/>
    <tableColumn id="8" xr3:uid="{70A1C8EB-B8A0-4797-B334-4C5B2CFF4CF8}" name="II" dataDxfId="769" dataCellStyle="Calculation"/>
    <tableColumn id="9" xr3:uid="{FF64C009-C42F-4553-AB69-77BDEF82525F}" name="JJ" dataDxfId="768" dataCellStyle="Calculation"/>
    <tableColumn id="10" xr3:uid="{57BBC82A-8755-45EC-A4A2-BD3310D1F00A}" name="KK" dataDxfId="767" dataCellStyle="Calculation"/>
    <tableColumn id="11" xr3:uid="{3279E9A7-CB9B-4501-A759-6BAFF8741EB5}" name="LL" dataDxfId="766" dataCellStyle="Calcul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D8914F-14AB-4769-9DAA-D74F5E8E63A6}" name="Process04" displayName="Process04" ref="B15:N63" totalsRowShown="0" headerRowDxfId="765" dataDxfId="763" headerRowBorderDxfId="764" tableBorderDxfId="762" headerRowCellStyle="Calculation" dataCellStyle="Calculation">
  <autoFilter ref="B15:N63" xr:uid="{AC1020E0-8392-4653-825B-7F301E97C5AE}"/>
  <tableColumns count="13">
    <tableColumn id="1" xr3:uid="{1291FFAA-19AA-4AC8-A3EA-1E0E031A35C8}" name="Skill matrix" dataDxfId="761" dataCellStyle="Calculation"/>
    <tableColumn id="3" xr3:uid="{68A639D4-BD01-4AEF-BE8D-2D18C3F8E098}" name="AA" dataDxfId="760" dataCellStyle="Calculation"/>
    <tableColumn id="4" xr3:uid="{7818E70F-A62C-41EF-B4DA-30AB05A59CD0}" name="BB" dataDxfId="759" dataCellStyle="Calculation"/>
    <tableColumn id="5" xr3:uid="{E8BC0926-0E1E-4682-AB14-9782E15DBD0F}" name="CC" dataDxfId="758" dataCellStyle="Calculation"/>
    <tableColumn id="6" xr3:uid="{6CE26B4D-9958-40A3-9742-7A20B3B56541}" name="DD" dataDxfId="757" dataCellStyle="Calculation"/>
    <tableColumn id="2" xr3:uid="{FBB84454-DD3C-4185-B0CD-F9F6930012CA}" name="EE" dataDxfId="756" dataCellStyle="Calculation"/>
    <tableColumn id="7" xr3:uid="{A9909C1E-BD49-4327-B005-E13B3292F600}" name="FF" dataDxfId="755" dataCellStyle="Calculation"/>
    <tableColumn id="13" xr3:uid="{20257DB2-9D45-4595-B7E2-D837F2F34868}" name="GG" dataDxfId="754" dataCellStyle="Calculation"/>
    <tableColumn id="12" xr3:uid="{48EE6FE7-2991-4A38-9E9E-82D0D45A3A74}" name="HH" dataDxfId="753" dataCellStyle="Calculation"/>
    <tableColumn id="8" xr3:uid="{BFDB7C3D-F7EC-4BEE-81AD-923F20B174B6}" name="II" dataDxfId="752" dataCellStyle="Calculation"/>
    <tableColumn id="9" xr3:uid="{9AE4D17D-6F56-4E22-B7F5-1CEFD27EACEF}" name="JJ" dataDxfId="751" dataCellStyle="Calculation"/>
    <tableColumn id="10" xr3:uid="{7B887D91-DBD3-4B4C-BE0F-AB68D1398E24}" name="KK" dataDxfId="750" dataCellStyle="Calculation"/>
    <tableColumn id="11" xr3:uid="{36DED5E0-83F7-48A0-831E-486F6F0B0155}" name="LL" dataDxfId="749" dataCellStyle="Calcu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AC0046-27AD-4E27-8FE8-1F74530EA9AB}" name="Process05" displayName="Process05" ref="B15:N63" totalsRowShown="0" headerRowDxfId="748" dataDxfId="746" headerRowBorderDxfId="747" tableBorderDxfId="745" headerRowCellStyle="Calculation" dataCellStyle="Calculation">
  <autoFilter ref="B15:N63" xr:uid="{AC1020E0-8392-4653-825B-7F301E97C5AE}"/>
  <tableColumns count="13">
    <tableColumn id="1" xr3:uid="{4C7629B4-AE4A-403D-B06D-9F0FCC233940}" name="Skill matrix" dataDxfId="744" dataCellStyle="Calculation"/>
    <tableColumn id="3" xr3:uid="{43DA2EAE-03CF-4EE4-AB61-2A4B8BF59C38}" name="AA" dataDxfId="743" dataCellStyle="Calculation"/>
    <tableColumn id="4" xr3:uid="{A7E1AFB4-524C-4D96-BA70-67B573C827D6}" name="BB" dataDxfId="742" dataCellStyle="Calculation"/>
    <tableColumn id="5" xr3:uid="{50B9BABB-B2D3-4711-A4D6-32840FD22A14}" name="CC" dataDxfId="741" dataCellStyle="Calculation"/>
    <tableColumn id="6" xr3:uid="{A8251BB1-7FF3-4E0E-B534-C1B592E22A82}" name="DD" dataDxfId="740" dataCellStyle="Calculation"/>
    <tableColumn id="2" xr3:uid="{0D2B343E-4E8D-47C4-A02C-A3D7F876536F}" name="EE" dataDxfId="739" dataCellStyle="Calculation"/>
    <tableColumn id="7" xr3:uid="{82F489F3-A455-4B55-A7FC-022CD55D034E}" name="FF" dataDxfId="738" dataCellStyle="Calculation"/>
    <tableColumn id="13" xr3:uid="{892EE904-3753-4533-BB59-CB4D04258E65}" name="GG" dataDxfId="737" dataCellStyle="Calculation"/>
    <tableColumn id="12" xr3:uid="{A272E88B-0F6E-4E00-ABE5-044BCB5D2483}" name="HH" dataDxfId="736" dataCellStyle="Calculation"/>
    <tableColumn id="8" xr3:uid="{E3C423AF-B8E7-4F93-BA2C-C1CC570783DD}" name="II" dataDxfId="735" dataCellStyle="Calculation"/>
    <tableColumn id="9" xr3:uid="{64B0B0D4-E125-4BC0-94E3-6737BD363304}" name="JJ" dataDxfId="734" dataCellStyle="Calculation"/>
    <tableColumn id="10" xr3:uid="{F36E93EA-F35A-484D-86F1-A219A2A7E07B}" name="KK" dataDxfId="733" dataCellStyle="Calculation"/>
    <tableColumn id="11" xr3:uid="{9D8C9437-515D-42E3-A521-E18D12F8CE3F}" name="LL" dataDxfId="732" dataCellStyle="Calcul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89786B-4B2B-4EAA-AB4D-BA3F869167CB}" name="Process06" displayName="Process06" ref="B15:N63" totalsRowShown="0" headerRowDxfId="731" dataDxfId="729" headerRowBorderDxfId="730" tableBorderDxfId="728" headerRowCellStyle="Calculation" dataCellStyle="Calculation">
  <autoFilter ref="B15:N63" xr:uid="{AC1020E0-8392-4653-825B-7F301E97C5AE}"/>
  <tableColumns count="13">
    <tableColumn id="1" xr3:uid="{7A8E3063-69DC-42F4-A67D-4B4B8205A0FF}" name="Skill matrix" dataDxfId="727" dataCellStyle="Calculation"/>
    <tableColumn id="3" xr3:uid="{5547ADCD-A9E5-45E8-9D0A-05C167CA1439}" name="AA" dataDxfId="726" dataCellStyle="Calculation"/>
    <tableColumn id="4" xr3:uid="{9D93BAF6-DFBD-4A95-A958-B98163EF17C9}" name="BB" dataDxfId="725" dataCellStyle="Calculation"/>
    <tableColumn id="5" xr3:uid="{14BA603A-22F3-4E5B-AE0F-79C93E2D6CE2}" name="CC" dataDxfId="724" dataCellStyle="Calculation"/>
    <tableColumn id="6" xr3:uid="{0B089FB6-2916-452A-9A46-D9DE4D00A70B}" name="DD" dataDxfId="723" dataCellStyle="Calculation"/>
    <tableColumn id="2" xr3:uid="{A630FF91-B589-4772-A601-FCEB465FD424}" name="EE" dataDxfId="722" dataCellStyle="Calculation"/>
    <tableColumn id="7" xr3:uid="{B0F7CE24-9481-4098-8703-1F7D94BEED4F}" name="FF" dataDxfId="721" dataCellStyle="Calculation"/>
    <tableColumn id="13" xr3:uid="{BD4B6450-0888-4B4C-B365-70A8510F4F51}" name="GG" dataDxfId="720" dataCellStyle="Calculation"/>
    <tableColumn id="12" xr3:uid="{6C1B5322-6DEB-4817-88FA-F827A2A22A2E}" name="HH" dataDxfId="719" dataCellStyle="Calculation"/>
    <tableColumn id="8" xr3:uid="{D4AB11A0-9387-47EC-A56B-0959B042E860}" name="II" dataDxfId="718" dataCellStyle="Calculation"/>
    <tableColumn id="9" xr3:uid="{FC6F6F15-5898-40B9-A4B1-120FDA9B4CF5}" name="JJ" dataDxfId="717" dataCellStyle="Calculation"/>
    <tableColumn id="10" xr3:uid="{46465E56-C1D8-46EB-8E89-FEF83FF2D55C}" name="KK" dataDxfId="716" dataCellStyle="Calculation"/>
    <tableColumn id="11" xr3:uid="{2CA0482B-3FA5-4EDD-B8AD-37BDF5EEE83E}" name="LL" dataDxfId="715" dataCellStyle="Calcul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0E7F53-C13F-4569-924A-BD09144ED82E}" name="Process07" displayName="Process07" ref="B15:N63" totalsRowShown="0" headerRowDxfId="714" dataDxfId="712" headerRowBorderDxfId="713" tableBorderDxfId="711" headerRowCellStyle="Calculation" dataCellStyle="Calculation">
  <autoFilter ref="B15:N63" xr:uid="{AC1020E0-8392-4653-825B-7F301E97C5AE}"/>
  <tableColumns count="13">
    <tableColumn id="1" xr3:uid="{A444F7C0-FB80-4A7E-871D-6250604B1708}" name="Skill matrix" dataDxfId="710" dataCellStyle="Calculation"/>
    <tableColumn id="3" xr3:uid="{2FA4F0EF-8D6D-460D-98AE-2F4C389D6FED}" name="AA" dataDxfId="709" dataCellStyle="Calculation"/>
    <tableColumn id="4" xr3:uid="{05204D78-31ED-4CD3-8C00-1B2064984B0D}" name="BB" dataDxfId="708" dataCellStyle="Calculation"/>
    <tableColumn id="5" xr3:uid="{17D7A278-4CCB-43DC-BB05-0A6ED8372DB1}" name="CC" dataDxfId="707" dataCellStyle="Calculation"/>
    <tableColumn id="6" xr3:uid="{56A8FD25-7031-426F-8FDE-F5C61B359275}" name="DD" dataDxfId="706" dataCellStyle="Calculation"/>
    <tableColumn id="2" xr3:uid="{657F01AD-617F-40BF-A58B-6C14B7B406D9}" name="EE" dataDxfId="705" dataCellStyle="Calculation"/>
    <tableColumn id="7" xr3:uid="{F4990941-BA46-4522-BEA3-BCB15D6BDDFF}" name="FF" dataDxfId="704" dataCellStyle="Calculation"/>
    <tableColumn id="13" xr3:uid="{53EBFA1F-E83E-4E40-B7DC-6CACB400C523}" name="GG" dataDxfId="703" dataCellStyle="Calculation"/>
    <tableColumn id="12" xr3:uid="{6FF0AE07-8083-431D-B720-440227EE522E}" name="HH" dataDxfId="702" dataCellStyle="Calculation"/>
    <tableColumn id="8" xr3:uid="{E761BF2F-7D3B-4067-BE8A-D384AF96E4D1}" name="II" dataDxfId="701" dataCellStyle="Calculation"/>
    <tableColumn id="9" xr3:uid="{6E0A6C00-C71E-41B1-B6DD-6E931241A192}" name="JJ" dataDxfId="700" dataCellStyle="Calculation"/>
    <tableColumn id="10" xr3:uid="{EB8EBF0F-AC26-4A23-A0B2-9677048A05D6}" name="KK" dataDxfId="699" dataCellStyle="Calculation"/>
    <tableColumn id="11" xr3:uid="{1F819924-B5CF-4A43-8A81-B0A37713E938}" name="LL" dataDxfId="698" dataCellStyle="Calcul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BD229D-92A7-4288-805D-1D21A675D9CF}" name="Process08" displayName="Process08" ref="B15:N63" totalsRowShown="0" headerRowDxfId="697" dataDxfId="695" headerRowBorderDxfId="696" tableBorderDxfId="694" headerRowCellStyle="Calculation" dataCellStyle="Calculation">
  <autoFilter ref="B15:N63" xr:uid="{AC1020E0-8392-4653-825B-7F301E97C5AE}"/>
  <tableColumns count="13">
    <tableColumn id="1" xr3:uid="{84E9179A-746D-4DE1-A51E-CF9EA53EE2F2}" name="Skill matrix" dataDxfId="693" dataCellStyle="Calculation"/>
    <tableColumn id="3" xr3:uid="{1207FAD9-DDF2-4BC0-99EF-0A4C4BFBE3F3}" name="AA" dataDxfId="692" dataCellStyle="Calculation"/>
    <tableColumn id="4" xr3:uid="{ADB2C28F-84D3-488A-BA7A-FD500F97610F}" name="BB" dataDxfId="691" dataCellStyle="Calculation"/>
    <tableColumn id="5" xr3:uid="{1212015C-5A19-4942-8C08-29CED708EADC}" name="CC" dataDxfId="690" dataCellStyle="Calculation"/>
    <tableColumn id="6" xr3:uid="{9C319B91-1426-4EEE-96A3-59165E613724}" name="DD" dataDxfId="689" dataCellStyle="Calculation"/>
    <tableColumn id="2" xr3:uid="{20843DB6-A63D-4D9A-9988-09C8BC0F9D11}" name="EE" dataDxfId="688" dataCellStyle="Calculation"/>
    <tableColumn id="7" xr3:uid="{604525FE-4520-41C5-9E9E-47F34A2E5F64}" name="FF" dataDxfId="687" dataCellStyle="Calculation"/>
    <tableColumn id="13" xr3:uid="{1BA71315-0D3C-4DDF-B260-CC194F3C4610}" name="GG" dataDxfId="686" dataCellStyle="Calculation"/>
    <tableColumn id="12" xr3:uid="{69298F43-23F7-4C31-93C3-C86C335467BF}" name="HH" dataDxfId="685" dataCellStyle="Calculation"/>
    <tableColumn id="8" xr3:uid="{054340B3-14BC-4840-9686-29C31D697C96}" name="II" dataDxfId="684" dataCellStyle="Calculation"/>
    <tableColumn id="9" xr3:uid="{B6BEEDD1-78BC-40CB-8CEA-1A9F30FE0318}" name="JJ" dataDxfId="683" dataCellStyle="Calculation"/>
    <tableColumn id="10" xr3:uid="{1E1419DD-83AD-44EF-951F-8DDA82180437}" name="KK" dataDxfId="682" dataCellStyle="Calculation"/>
    <tableColumn id="11" xr3:uid="{762D0FB6-E703-44C7-94DF-691B685E4B5A}" name="LL" dataDxfId="681" dataCellStyle="Calcul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D9B11F-DEAB-4259-A2DF-F23BC02B024D}" name="Process09" displayName="Process09" ref="B15:N63" totalsRowShown="0" headerRowDxfId="680" dataDxfId="678" headerRowBorderDxfId="679" tableBorderDxfId="677" headerRowCellStyle="Calculation" dataCellStyle="Calculation">
  <autoFilter ref="B15:N63" xr:uid="{AC1020E0-8392-4653-825B-7F301E97C5AE}"/>
  <tableColumns count="13">
    <tableColumn id="1" xr3:uid="{806030E9-2A57-4A80-8D57-2ABF697CB1B4}" name="Skill matrix" dataDxfId="676" dataCellStyle="Calculation"/>
    <tableColumn id="3" xr3:uid="{4B74162D-9FBE-4D60-99B5-BDE0D29CE7A5}" name="AA" dataDxfId="675" dataCellStyle="Calculation"/>
    <tableColumn id="4" xr3:uid="{E47CE74F-3C8B-45AA-9BF9-8B5C2C25EB6F}" name="BB" dataDxfId="674" dataCellStyle="Calculation"/>
    <tableColumn id="5" xr3:uid="{DF3EC484-84E9-4470-A1C6-918E35184DC7}" name="CC" dataDxfId="673" dataCellStyle="Calculation"/>
    <tableColumn id="6" xr3:uid="{CCDA6D2C-A5B2-41AE-BC42-DC8D051B7CE6}" name="DD" dataDxfId="672" dataCellStyle="Calculation"/>
    <tableColumn id="2" xr3:uid="{0DEEE0AF-7AAD-403B-BD0B-5A8A87CEB59A}" name="EE" dataDxfId="671" dataCellStyle="Calculation"/>
    <tableColumn id="7" xr3:uid="{D67B450A-29CE-419D-AD0B-051A26F85158}" name="FF" dataDxfId="670" dataCellStyle="Calculation"/>
    <tableColumn id="13" xr3:uid="{ED5812A5-38E7-463B-AED1-F5BBADA1B2A8}" name="GG" dataDxfId="669" dataCellStyle="Calculation"/>
    <tableColumn id="12" xr3:uid="{55FAAA06-AA39-4580-B538-588652CDBE12}" name="HH" dataDxfId="668" dataCellStyle="Calculation"/>
    <tableColumn id="8" xr3:uid="{2974F700-6723-49FA-BEAD-7F578A7C44E3}" name="II" dataDxfId="667" dataCellStyle="Calculation"/>
    <tableColumn id="9" xr3:uid="{7276EA3A-9096-4370-A79F-784AAF549D26}" name="JJ" dataDxfId="666" dataCellStyle="Calculation"/>
    <tableColumn id="10" xr3:uid="{D9958071-F986-477D-84CB-6AA3040875AD}" name="KK" dataDxfId="665" dataCellStyle="Calculation"/>
    <tableColumn id="11" xr3:uid="{9C75CF25-A199-4D3C-A6B5-81906001EA32}" name="LL" dataDxfId="664" dataCellStyle="Calcul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CF9C3B-5333-4CF8-A0E7-48E299FC79DC}" name="Process10" displayName="Process10" ref="B15:N63" totalsRowShown="0" headerRowDxfId="663" dataDxfId="661" headerRowBorderDxfId="662" tableBorderDxfId="660" headerRowCellStyle="Calculation" dataCellStyle="Calculation">
  <autoFilter ref="B15:N63" xr:uid="{AC1020E0-8392-4653-825B-7F301E97C5AE}"/>
  <tableColumns count="13">
    <tableColumn id="1" xr3:uid="{12441E86-667A-4C2F-959B-09DF57F13776}" name="Skill matrix" dataDxfId="659" dataCellStyle="Calculation"/>
    <tableColumn id="3" xr3:uid="{1400656E-9A67-49C3-A490-2483B15C1BAE}" name="AA" dataDxfId="658" dataCellStyle="Calculation"/>
    <tableColumn id="4" xr3:uid="{87C004D3-26BD-4098-86FC-35BBAEC3AB7E}" name="BB" dataDxfId="657" dataCellStyle="Calculation"/>
    <tableColumn id="5" xr3:uid="{1DE1EEA7-7111-4E7F-A3D7-143F5C48B928}" name="CC" dataDxfId="656" dataCellStyle="Calculation"/>
    <tableColumn id="6" xr3:uid="{60004F28-57E9-4F2E-ACD4-8A6B1969B649}" name="DD" dataDxfId="655" dataCellStyle="Calculation"/>
    <tableColumn id="2" xr3:uid="{24A4AAB9-031D-4D17-AC08-3DCFB8102DFC}" name="EE" dataDxfId="654" dataCellStyle="Calculation"/>
    <tableColumn id="7" xr3:uid="{7F90295F-3ACD-4F2C-91C8-5A67D8739E35}" name="FF" dataDxfId="653" dataCellStyle="Calculation"/>
    <tableColumn id="13" xr3:uid="{B2CED277-E669-48C9-8D3D-F2ADA42A6E37}" name="GG" dataDxfId="652" dataCellStyle="Calculation"/>
    <tableColumn id="12" xr3:uid="{5A029729-079B-4170-9114-018A85FE6B03}" name="HH" dataDxfId="651" dataCellStyle="Calculation"/>
    <tableColumn id="8" xr3:uid="{17683C3F-5683-495B-961D-9693E8EE8D86}" name="II" dataDxfId="650" dataCellStyle="Calculation"/>
    <tableColumn id="9" xr3:uid="{1C20F0B2-2F3D-4418-BD89-B3C1C3B2406C}" name="JJ" dataDxfId="649" dataCellStyle="Calculation"/>
    <tableColumn id="10" xr3:uid="{810FE9AA-A354-4AE8-A044-BC6878F9A300}" name="KK" dataDxfId="648" dataCellStyle="Calculation"/>
    <tableColumn id="11" xr3:uid="{795E3568-DF06-4B66-8163-E9C98C0A3CD9}" name="LL" dataDxfId="647" dataCellStyle="Calcul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9115F5-4486-41ED-A027-FAFEE571ED1E}" name="Process11" displayName="Process11" ref="B15:N63" totalsRowShown="0" headerRowDxfId="646" dataDxfId="644" headerRowBorderDxfId="645" tableBorderDxfId="643" headerRowCellStyle="Calculation" dataCellStyle="Calculation">
  <autoFilter ref="B15:N63" xr:uid="{AC1020E0-8392-4653-825B-7F301E97C5AE}"/>
  <tableColumns count="13">
    <tableColumn id="1" xr3:uid="{A7B638FE-70BF-46DD-8250-588268B2925B}" name="Skill matrix" dataDxfId="642" dataCellStyle="Calculation"/>
    <tableColumn id="3" xr3:uid="{74B41A03-D4AC-46FE-86D6-D8B2EEC12EE4}" name="AA" dataDxfId="641" dataCellStyle="Calculation"/>
    <tableColumn id="4" xr3:uid="{D916BE0F-50A5-4511-BEDD-B76511E72A8D}" name="BB" dataDxfId="640" dataCellStyle="Calculation"/>
    <tableColumn id="5" xr3:uid="{F68A56E5-B755-4995-AC4A-7B67254C8C11}" name="CC" dataDxfId="639" dataCellStyle="Calculation"/>
    <tableColumn id="6" xr3:uid="{0156001D-BAAA-47A7-8281-497C7CFD2D80}" name="DD" dataDxfId="638" dataCellStyle="Calculation"/>
    <tableColumn id="2" xr3:uid="{237BB33A-CCC2-4EE7-8631-CAC801645A02}" name="EE" dataDxfId="637" dataCellStyle="Calculation"/>
    <tableColumn id="7" xr3:uid="{BDCF1D8A-AF68-48B7-857C-50BECFD7541E}" name="FF" dataDxfId="636" dataCellStyle="Calculation"/>
    <tableColumn id="13" xr3:uid="{91FA4AED-88D1-4C9A-B677-4132FBB6F61B}" name="GG" dataDxfId="635" dataCellStyle="Calculation"/>
    <tableColumn id="12" xr3:uid="{44EE6764-3B90-48FB-BDE8-ED28D40C6755}" name="HH" dataDxfId="634" dataCellStyle="Calculation"/>
    <tableColumn id="8" xr3:uid="{C4CC81F2-3CC1-46C5-931D-A0019741D469}" name="II" dataDxfId="633" dataCellStyle="Calculation"/>
    <tableColumn id="9" xr3:uid="{11A31D48-45B7-46DF-8CB6-0ED3ACBF1843}" name="JJ" dataDxfId="632" dataCellStyle="Calculation"/>
    <tableColumn id="10" xr3:uid="{D236E0F7-5F27-4E87-9F29-6936C6B2D834}" name="KK" dataDxfId="631" dataCellStyle="Calculation"/>
    <tableColumn id="11" xr3:uid="{D94DDF48-A2AA-4A03-9225-AC99B3FE0350}" name="LL" dataDxfId="630" dataCellStyle="Calcul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6E3B1A-D82A-495F-9C61-9D94B25ED4A4}" name="Process12" displayName="Process12" ref="B15:N63" totalsRowShown="0" headerRowDxfId="629" dataDxfId="627" headerRowBorderDxfId="628" tableBorderDxfId="626" headerRowCellStyle="Calculation" dataCellStyle="Calculation">
  <autoFilter ref="B15:N63" xr:uid="{AC1020E0-8392-4653-825B-7F301E97C5AE}"/>
  <tableColumns count="13">
    <tableColumn id="1" xr3:uid="{9413AA96-4F3E-4E23-BF3B-B7591623CF35}" name="Skill matrix" dataDxfId="625" dataCellStyle="Calculation"/>
    <tableColumn id="3" xr3:uid="{8B06CAF2-9910-4AFA-921A-F89F219F1E1D}" name="AA" dataDxfId="624" dataCellStyle="Calculation"/>
    <tableColumn id="4" xr3:uid="{B0DF983D-CE59-4057-A0B5-FAFDB4F6F510}" name="BB" dataDxfId="623" dataCellStyle="Calculation"/>
    <tableColumn id="5" xr3:uid="{8BD9CDA9-003D-45F6-8464-122EFEB9DEE3}" name="CC" dataDxfId="622" dataCellStyle="Calculation"/>
    <tableColumn id="6" xr3:uid="{0E015922-F1AF-4AAA-AC8F-E438377241D6}" name="DD" dataDxfId="621" dataCellStyle="Calculation"/>
    <tableColumn id="2" xr3:uid="{1AEF32CD-0FC5-45A2-88CD-C34927961AED}" name="EE" dataDxfId="620" dataCellStyle="Calculation"/>
    <tableColumn id="7" xr3:uid="{AF2877A3-4B85-4AF3-8F00-205029F99F81}" name="FF" dataDxfId="619" dataCellStyle="Calculation"/>
    <tableColumn id="13" xr3:uid="{C45695BE-C841-4647-A61B-5DE189DD098B}" name="GG" dataDxfId="618" dataCellStyle="Calculation"/>
    <tableColumn id="12" xr3:uid="{57DE47F9-F8CB-40AC-9238-9919B562A5ED}" name="HH" dataDxfId="617" dataCellStyle="Calculation"/>
    <tableColumn id="8" xr3:uid="{23C2D19D-049C-47CC-8D04-442DBAF7B66E}" name="II" dataDxfId="616" dataCellStyle="Calculation"/>
    <tableColumn id="9" xr3:uid="{9D10E193-D457-4E29-8A72-F151CDD459BC}" name="JJ" dataDxfId="615" dataCellStyle="Calculation"/>
    <tableColumn id="10" xr3:uid="{941ED76B-9CB7-47A2-AEBB-3A9EF7A2FDCC}" name="KK" dataDxfId="614" dataCellStyle="Calculation"/>
    <tableColumn id="11" xr3:uid="{E6A749E2-CC20-4CF9-BBEA-0EC0F9DFBDD6}" name="LL" dataDxfId="613" dataCellStyle="Calcul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2AB7FB-B314-4BE7-8286-C5300DECDBBE}" name="Process13" displayName="Process13" ref="B15:N63" totalsRowShown="0" headerRowDxfId="612" dataDxfId="610" headerRowBorderDxfId="611" tableBorderDxfId="609" headerRowCellStyle="Calculation" dataCellStyle="Calculation">
  <autoFilter ref="B15:N63" xr:uid="{AC1020E0-8392-4653-825B-7F301E97C5AE}"/>
  <tableColumns count="13">
    <tableColumn id="1" xr3:uid="{0D7012B2-AED7-4C8B-83A4-6D1D87B1ACDB}" name="Skill matrix" dataDxfId="608" dataCellStyle="Calculation"/>
    <tableColumn id="3" xr3:uid="{9CEDC00A-CB83-437A-A8D8-E0A18F34A5CF}" name="AA" dataDxfId="607" dataCellStyle="Calculation"/>
    <tableColumn id="4" xr3:uid="{F7D7F0F2-B051-405C-9A5F-088C774FC330}" name="BB" dataDxfId="606" dataCellStyle="Calculation"/>
    <tableColumn id="5" xr3:uid="{8E788A27-7333-4227-940E-5725C964F53D}" name="CC" dataDxfId="605" dataCellStyle="Calculation"/>
    <tableColumn id="6" xr3:uid="{D12F536A-CC75-4AD0-822E-3C4AF1B09BE3}" name="DD" dataDxfId="604" dataCellStyle="Calculation"/>
    <tableColumn id="2" xr3:uid="{38898A76-CD64-4795-8AF8-94BBDC1A36C3}" name="EE" dataDxfId="603" dataCellStyle="Calculation"/>
    <tableColumn id="7" xr3:uid="{53153DCD-3A03-40D9-AE42-10EFD88EF70B}" name="FF" dataDxfId="602" dataCellStyle="Calculation"/>
    <tableColumn id="13" xr3:uid="{9B385242-67F1-4229-8425-845CA93104AD}" name="GG" dataDxfId="601" dataCellStyle="Calculation"/>
    <tableColumn id="12" xr3:uid="{64A8F89C-BD34-4D2D-BA47-904B4CC3C656}" name="HH" dataDxfId="600" dataCellStyle="Calculation"/>
    <tableColumn id="8" xr3:uid="{C510F41C-C3DF-4050-A649-082EF9065D64}" name="II" dataDxfId="599" dataCellStyle="Calculation"/>
    <tableColumn id="9" xr3:uid="{6E8F1BED-D7AC-42C9-A018-F28A2253DD1F}" name="JJ" dataDxfId="598" dataCellStyle="Calculation"/>
    <tableColumn id="10" xr3:uid="{707EF2A9-0CDF-4757-8A1B-B0DDF21B4A13}" name="KK" dataDxfId="597" dataCellStyle="Calculation"/>
    <tableColumn id="11" xr3:uid="{1A958C19-2046-4DC6-88F7-17AAA1C2314D}" name="LL" dataDxfId="596" dataCellStyle="Calcul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0FB260-CA65-4E4B-86C6-8E3F3984A7CF}" name="Process14" displayName="Process14" ref="B15:N63" totalsRowShown="0" headerRowDxfId="595" dataDxfId="593" headerRowBorderDxfId="594" tableBorderDxfId="592" headerRowCellStyle="Calculation" dataCellStyle="Calculation">
  <autoFilter ref="B15:N63" xr:uid="{AC1020E0-8392-4653-825B-7F301E97C5AE}"/>
  <tableColumns count="13">
    <tableColumn id="1" xr3:uid="{238075B0-8596-474F-817D-934C28F3D778}" name="Skill matrix" dataDxfId="591" dataCellStyle="Calculation"/>
    <tableColumn id="3" xr3:uid="{13F10712-C5AF-496D-8F2E-0A402D25BDA7}" name="AA" dataDxfId="590" dataCellStyle="Calculation"/>
    <tableColumn id="4" xr3:uid="{A21E2BF3-EE1C-42A8-965E-3AC39B132D4A}" name="BB" dataDxfId="589" dataCellStyle="Calculation"/>
    <tableColumn id="5" xr3:uid="{5F93999D-3529-4F39-AF22-AF28776931AE}" name="CC" dataDxfId="588" dataCellStyle="Calculation"/>
    <tableColumn id="6" xr3:uid="{211D0E2A-82BC-459C-A21B-7EFA23AD4BA6}" name="DD" dataDxfId="587" dataCellStyle="Calculation"/>
    <tableColumn id="2" xr3:uid="{A8EE68C0-A125-4299-849C-F3DF53DC531D}" name="EE" dataDxfId="586" dataCellStyle="Calculation"/>
    <tableColumn id="7" xr3:uid="{D0C31D58-19A2-4EAC-9B98-2ABA5454876E}" name="FF" dataDxfId="585" dataCellStyle="Calculation"/>
    <tableColumn id="13" xr3:uid="{13A3E133-E446-41A2-9F19-AB6D32B7F987}" name="GG" dataDxfId="584" dataCellStyle="Calculation"/>
    <tableColumn id="12" xr3:uid="{7D0BFABB-79E5-4FF8-A6DF-5C4F7A3759DF}" name="HH" dataDxfId="583" dataCellStyle="Calculation"/>
    <tableColumn id="8" xr3:uid="{F30BBD1A-46E4-4A1C-8FF9-030A82181643}" name="II" dataDxfId="582" dataCellStyle="Calculation"/>
    <tableColumn id="9" xr3:uid="{7F33B9E2-07E3-4D14-BEB0-14DCDCB610EE}" name="JJ" dataDxfId="581" dataCellStyle="Calculation"/>
    <tableColumn id="10" xr3:uid="{0797F0DF-1885-4048-9D67-B3780A763893}" name="KK" dataDxfId="580" dataCellStyle="Calculation"/>
    <tableColumn id="11" xr3:uid="{CD4F6EA1-67E8-40D6-87B9-98886665B96A}" name="LL" dataDxfId="579" dataCellStyle="Calcul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78A95A7-5333-447C-A414-5A128824E805}" name="Process15" displayName="Process15" ref="B15:N63" totalsRowShown="0" headerRowDxfId="578" dataDxfId="576" headerRowBorderDxfId="577" tableBorderDxfId="575" headerRowCellStyle="Calculation" dataCellStyle="Calculation">
  <autoFilter ref="B15:N63" xr:uid="{AC1020E0-8392-4653-825B-7F301E97C5AE}"/>
  <tableColumns count="13">
    <tableColumn id="1" xr3:uid="{1B3AA76F-5BF8-4861-95C1-AB64CB87B10E}" name="Skill matrix" dataDxfId="574" dataCellStyle="Calculation"/>
    <tableColumn id="3" xr3:uid="{6DEF1E57-C6B1-43A8-8378-E3C377D79BEE}" name="AA" dataDxfId="573" dataCellStyle="Calculation"/>
    <tableColumn id="4" xr3:uid="{6DED4320-CAC7-4083-A5DD-29622EF2D72C}" name="BB" dataDxfId="572" dataCellStyle="Calculation"/>
    <tableColumn id="5" xr3:uid="{DCA21735-C81B-483D-B42A-A9FBDF84E551}" name="CC" dataDxfId="571" dataCellStyle="Calculation"/>
    <tableColumn id="6" xr3:uid="{7D12DDED-4B72-40CD-9BED-7A86F6E95C42}" name="DD" dataDxfId="570" dataCellStyle="Calculation"/>
    <tableColumn id="2" xr3:uid="{586FE327-4DA4-43BE-87E8-D26A3D333893}" name="EE" dataDxfId="569" dataCellStyle="Calculation"/>
    <tableColumn id="7" xr3:uid="{F6527DDD-3C74-431D-BEC7-F2C741164157}" name="FF" dataDxfId="568" dataCellStyle="Calculation"/>
    <tableColumn id="13" xr3:uid="{EFE990F9-BBC2-4AD6-87C7-B92C9BB62C58}" name="GG" dataDxfId="567" dataCellStyle="Calculation"/>
    <tableColumn id="12" xr3:uid="{563305CE-7C2C-457C-BDD9-B84E401BE3AE}" name="HH" dataDxfId="566" dataCellStyle="Calculation"/>
    <tableColumn id="8" xr3:uid="{4A2BD696-A373-4D39-9A41-3C3C4AD8D518}" name="II" dataDxfId="565" dataCellStyle="Calculation"/>
    <tableColumn id="9" xr3:uid="{13B93D62-98F9-40EE-8D2A-15E780F69561}" name="JJ" dataDxfId="564" dataCellStyle="Calculation"/>
    <tableColumn id="10" xr3:uid="{94FCC3C4-40DA-472E-B8FD-4F169B878893}" name="KK" dataDxfId="563" dataCellStyle="Calculation"/>
    <tableColumn id="11" xr3:uid="{6D0689E3-811A-441D-97DA-7A00A248EEBD}" name="LL" dataDxfId="562" dataCellStyle="Calcul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CCEC2E7-DBA9-419D-85DD-4F47349E199F}" name="Process16" displayName="Process16" ref="B15:N63" totalsRowShown="0" headerRowDxfId="561" dataDxfId="559" headerRowBorderDxfId="560" tableBorderDxfId="558" headerRowCellStyle="Calculation" dataCellStyle="Calculation">
  <autoFilter ref="B15:N63" xr:uid="{AC1020E0-8392-4653-825B-7F301E97C5AE}"/>
  <tableColumns count="13">
    <tableColumn id="1" xr3:uid="{19161AE2-8E1A-4DF7-B97B-9706A5FDD604}" name="Skill matrix" dataDxfId="557" dataCellStyle="Calculation"/>
    <tableColumn id="3" xr3:uid="{CE6110C5-8419-4225-AA43-D4FAB696DEDA}" name="AA" dataDxfId="556" dataCellStyle="Calculation"/>
    <tableColumn id="4" xr3:uid="{244CEFAD-A741-40D3-859F-F9DDC191A8CF}" name="BB" dataDxfId="555" dataCellStyle="Calculation"/>
    <tableColumn id="5" xr3:uid="{389DF1CB-99EB-4B22-9617-7A0ACE6563F0}" name="CC" dataDxfId="554" dataCellStyle="Calculation"/>
    <tableColumn id="6" xr3:uid="{3401EFC2-CC3E-4BDC-AB3A-80D1E2502079}" name="DD" dataDxfId="553" dataCellStyle="Calculation"/>
    <tableColumn id="2" xr3:uid="{4F3B224E-84A9-4A8E-AFFB-C2982F4A3171}" name="EE" dataDxfId="552" dataCellStyle="Calculation"/>
    <tableColumn id="7" xr3:uid="{F9772F83-28DB-4320-AC2D-884F9B4B9066}" name="FF" dataDxfId="551" dataCellStyle="Calculation"/>
    <tableColumn id="13" xr3:uid="{DF2A8859-3529-4038-822E-73AF28CA44FC}" name="GG" dataDxfId="550" dataCellStyle="Calculation"/>
    <tableColumn id="12" xr3:uid="{63DF320E-953F-4DC4-9DF0-542F00C36CFE}" name="HH" dataDxfId="549" dataCellStyle="Calculation"/>
    <tableColumn id="8" xr3:uid="{68B971CD-9E9F-4541-94AC-CB3D075BC582}" name="II" dataDxfId="548" dataCellStyle="Calculation"/>
    <tableColumn id="9" xr3:uid="{2214FA5A-5565-4746-9565-D909E0164286}" name="JJ" dataDxfId="547" dataCellStyle="Calculation"/>
    <tableColumn id="10" xr3:uid="{31AFD43D-2B20-48B8-9FF8-DE6130B04124}" name="KK" dataDxfId="546" dataCellStyle="Calculation"/>
    <tableColumn id="11" xr3:uid="{8EA64D26-B3B1-4B44-BE4A-7C909CC2BE6E}" name="LL" dataDxfId="545" dataCellStyle="Calcul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28BD3A-E405-4A4F-99D3-64E82988EBBD}" name="Process17" displayName="Process17" ref="B15:N63" totalsRowShown="0" headerRowDxfId="544" dataDxfId="542" headerRowBorderDxfId="543" tableBorderDxfId="541" headerRowCellStyle="Calculation" dataCellStyle="Calculation">
  <autoFilter ref="B15:N63" xr:uid="{AC1020E0-8392-4653-825B-7F301E97C5AE}"/>
  <tableColumns count="13">
    <tableColumn id="1" xr3:uid="{8144E888-6D68-48CA-9408-7C3A52C865B7}" name="Skill matrix" dataDxfId="540" dataCellStyle="Calculation"/>
    <tableColumn id="3" xr3:uid="{B175F878-45FE-4DF2-AAEB-D4B9746B32C9}" name="AA" dataDxfId="539" dataCellStyle="Calculation"/>
    <tableColumn id="4" xr3:uid="{DAFD9D07-E621-4E38-86C8-64802F3C1574}" name="BB" dataDxfId="538" dataCellStyle="Calculation"/>
    <tableColumn id="5" xr3:uid="{8A0DCB48-E5FA-4B79-BC60-899724689306}" name="CC" dataDxfId="537" dataCellStyle="Calculation"/>
    <tableColumn id="6" xr3:uid="{28FC2D95-256A-4FBA-BA26-76FBD89C813A}" name="DD" dataDxfId="536" dataCellStyle="Calculation"/>
    <tableColumn id="2" xr3:uid="{C6C15F21-E0B3-483F-A2E5-78CCD8FB66BB}" name="EE" dataDxfId="535" dataCellStyle="Calculation"/>
    <tableColumn id="7" xr3:uid="{527E84E4-C918-4D62-9EB5-976852F6BDEC}" name="FF" dataDxfId="534" dataCellStyle="Calculation"/>
    <tableColumn id="13" xr3:uid="{B4D2F593-C653-455F-9B1B-651F930BCDD1}" name="GG" dataDxfId="533" dataCellStyle="Calculation"/>
    <tableColumn id="12" xr3:uid="{FAEF666B-59A2-400E-9035-51071E60ABB9}" name="HH" dataDxfId="532" dataCellStyle="Calculation"/>
    <tableColumn id="8" xr3:uid="{FC28867D-A5B3-4CA3-A1FB-BE9E108E5E32}" name="II" dataDxfId="531" dataCellStyle="Calculation"/>
    <tableColumn id="9" xr3:uid="{42AC5C54-B7B5-4554-952E-A8E84E1011E0}" name="JJ" dataDxfId="530" dataCellStyle="Calculation"/>
    <tableColumn id="10" xr3:uid="{00C8E8D2-83B0-4E3C-A13F-FDD709B50EB8}" name="KK" dataDxfId="529" dataCellStyle="Calculation"/>
    <tableColumn id="11" xr3:uid="{AC36A122-3FBC-4B1A-89E2-939C99FABCB6}" name="LL" dataDxfId="528" dataCellStyle="Calcul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43792B-F2B5-4651-8C57-8F88B2F9CD6B}" name="Process18" displayName="Process18" ref="B15:N63" totalsRowShown="0" headerRowDxfId="527" dataDxfId="525" headerRowBorderDxfId="526" tableBorderDxfId="524" headerRowCellStyle="Calculation" dataCellStyle="Calculation">
  <autoFilter ref="B15:N63" xr:uid="{AC1020E0-8392-4653-825B-7F301E97C5AE}"/>
  <tableColumns count="13">
    <tableColumn id="1" xr3:uid="{39FBED4F-04BA-4746-BFE6-07D1AD59D092}" name="Skill matrix" dataDxfId="523" dataCellStyle="Calculation"/>
    <tableColumn id="3" xr3:uid="{D974F23E-C0DF-4216-B95D-85FE4E38EFFF}" name="AA" dataDxfId="522" dataCellStyle="Calculation"/>
    <tableColumn id="4" xr3:uid="{E3BCEBC4-F849-45F6-9518-F3D01C8AE9B9}" name="BB" dataDxfId="521" dataCellStyle="Calculation"/>
    <tableColumn id="5" xr3:uid="{796A93F6-47E8-461C-855F-8F3DD7DEB620}" name="CC" dataDxfId="520" dataCellStyle="Calculation"/>
    <tableColumn id="6" xr3:uid="{A58BA761-50B6-4016-B5C4-01A3BFCB85EC}" name="DD" dataDxfId="519" dataCellStyle="Calculation"/>
    <tableColumn id="2" xr3:uid="{CB2449F7-6CBE-45F3-935E-41C040C9139F}" name="EE" dataDxfId="518" dataCellStyle="Calculation"/>
    <tableColumn id="7" xr3:uid="{D73AF18E-7EB9-4394-A170-0F20AD326797}" name="FF" dataDxfId="517" dataCellStyle="Calculation"/>
    <tableColumn id="13" xr3:uid="{830864BD-2F3B-4BAA-9DFD-3DB6BAE38B19}" name="GG" dataDxfId="516" dataCellStyle="Calculation"/>
    <tableColumn id="12" xr3:uid="{FB17A68B-B6EB-498F-96B3-151BC8970DC4}" name="HH" dataDxfId="515" dataCellStyle="Calculation"/>
    <tableColumn id="8" xr3:uid="{826116F6-9989-428D-96D7-5291B9A42A59}" name="II" dataDxfId="514" dataCellStyle="Calculation"/>
    <tableColumn id="9" xr3:uid="{DEE0B02C-5581-4B16-AF39-A8D59E7637FE}" name="JJ" dataDxfId="513" dataCellStyle="Calculation"/>
    <tableColumn id="10" xr3:uid="{E0043A1B-70CE-4EDF-B881-665297B7EA92}" name="KK" dataDxfId="512" dataCellStyle="Calculation"/>
    <tableColumn id="11" xr3:uid="{F88199DD-AB23-40F6-9A73-919709CA2398}" name="LL" dataDxfId="511" dataCellStyle="Calcul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77CB170-E781-47F8-A919-1B612203E43B}" name="Process19" displayName="Process19" ref="B15:N63" totalsRowShown="0" headerRowDxfId="510" dataDxfId="508" headerRowBorderDxfId="509" tableBorderDxfId="507" headerRowCellStyle="Calculation" dataCellStyle="Calculation">
  <autoFilter ref="B15:N63" xr:uid="{AC1020E0-8392-4653-825B-7F301E97C5AE}"/>
  <tableColumns count="13">
    <tableColumn id="1" xr3:uid="{29FFA6D4-CEED-435A-AB71-6B7140045927}" name="Skill matrix" dataDxfId="506" dataCellStyle="Calculation"/>
    <tableColumn id="3" xr3:uid="{C34DF8D1-89F6-4A50-9FB1-40796FEF4D31}" name="AA" dataDxfId="505" dataCellStyle="Calculation"/>
    <tableColumn id="4" xr3:uid="{1C80D7C5-3C78-440A-834A-7CDA51DA53AC}" name="BB" dataDxfId="504" dataCellStyle="Calculation"/>
    <tableColumn id="5" xr3:uid="{33851469-3E19-4AA3-B574-5F2167DBDC28}" name="CC" dataDxfId="503" dataCellStyle="Calculation"/>
    <tableColumn id="6" xr3:uid="{5B38FF38-870B-4583-B51D-BE98CB594492}" name="DD" dataDxfId="502" dataCellStyle="Calculation"/>
    <tableColumn id="2" xr3:uid="{3011A3C9-E495-474B-AFD5-A17EC995D341}" name="EE" dataDxfId="501" dataCellStyle="Calculation"/>
    <tableColumn id="7" xr3:uid="{3D7E5662-1540-42D2-8E40-56D8D50C7D59}" name="FF" dataDxfId="500" dataCellStyle="Calculation"/>
    <tableColumn id="13" xr3:uid="{84E8F204-97D6-469A-8CC3-7CB1477840D0}" name="GG" dataDxfId="499" dataCellStyle="Calculation"/>
    <tableColumn id="12" xr3:uid="{559DA24B-94B1-41DD-8577-FEC3E974D721}" name="HH" dataDxfId="498" dataCellStyle="Calculation"/>
    <tableColumn id="8" xr3:uid="{CF67E26E-2B66-48FB-B807-5F0627E934C1}" name="II" dataDxfId="497" dataCellStyle="Calculation"/>
    <tableColumn id="9" xr3:uid="{8795A597-0EFB-4A37-AC7D-33F9F859A84E}" name="JJ" dataDxfId="496" dataCellStyle="Calculation"/>
    <tableColumn id="10" xr3:uid="{A3A32BF6-D185-46AE-A6AF-7D666DFE24BF}" name="KK" dataDxfId="495" dataCellStyle="Calculation"/>
    <tableColumn id="11" xr3:uid="{8430DC52-8371-499B-98BB-937D2E250E2D}" name="LL" dataDxfId="494" dataCellStyle="Calcul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A67118A-BE3B-4C8E-AF79-1D1F5334968C}" name="Process20" displayName="Process20" ref="B15:N63" totalsRowShown="0" headerRowDxfId="493" dataDxfId="491" headerRowBorderDxfId="492" tableBorderDxfId="490" headerRowCellStyle="Calculation" dataCellStyle="Calculation">
  <autoFilter ref="B15:N63" xr:uid="{AC1020E0-8392-4653-825B-7F301E97C5AE}"/>
  <tableColumns count="13">
    <tableColumn id="1" xr3:uid="{A244B0F6-3353-4303-98EE-F592498B87F7}" name="Skill matrix" dataDxfId="489" dataCellStyle="Calculation"/>
    <tableColumn id="3" xr3:uid="{E0947557-1A52-4CCD-998E-E6B91506BCEF}" name="AA" dataDxfId="488" dataCellStyle="Calculation"/>
    <tableColumn id="4" xr3:uid="{BBEECD0C-822A-4495-9250-968CC945944E}" name="BB" dataDxfId="487" dataCellStyle="Calculation"/>
    <tableColumn id="5" xr3:uid="{CC7242BA-3454-4A33-8606-A5DDE50543F8}" name="CC" dataDxfId="486" dataCellStyle="Calculation"/>
    <tableColumn id="6" xr3:uid="{123D8DBB-F820-4683-9731-D4D646A2E8AD}" name="DD" dataDxfId="485" dataCellStyle="Calculation"/>
    <tableColumn id="2" xr3:uid="{3071950C-FE93-4297-A734-45FA62DAF5FE}" name="EE" dataDxfId="484" dataCellStyle="Calculation"/>
    <tableColumn id="7" xr3:uid="{8D6591FF-F2DF-4E33-AE26-1745B062ED5B}" name="FF" dataDxfId="483" dataCellStyle="Calculation"/>
    <tableColumn id="13" xr3:uid="{09996EF1-D799-4FDD-985F-D5183C39BC2D}" name="GG" dataDxfId="482" dataCellStyle="Calculation"/>
    <tableColumn id="12" xr3:uid="{F1B677E6-4FE8-4C8D-8074-AE3DEBA12EFD}" name="HH" dataDxfId="481" dataCellStyle="Calculation"/>
    <tableColumn id="8" xr3:uid="{323194AE-019E-44F0-A482-06FCF02A0F66}" name="II" dataDxfId="480" dataCellStyle="Calculation"/>
    <tableColumn id="9" xr3:uid="{C6AA773A-2424-4FF2-9D20-7B37F5E6B4E9}" name="JJ" dataDxfId="479" dataCellStyle="Calculation"/>
    <tableColumn id="10" xr3:uid="{D04CCFC6-F385-4F3E-A778-3362ECB73FEB}" name="KK" dataDxfId="478" dataCellStyle="Calculation"/>
    <tableColumn id="11" xr3:uid="{6E801834-B110-4A2A-AB79-491CC18FBDD6}" name="LL" dataDxfId="477" dataCellStyle="Calcul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8EA9D66-BC8A-4101-B16D-EB0136D2F655}" name="Process21" displayName="Process21" ref="B15:N63" totalsRowShown="0" headerRowDxfId="476" dataDxfId="474" headerRowBorderDxfId="475" tableBorderDxfId="473" headerRowCellStyle="Calculation" dataCellStyle="Calculation">
  <autoFilter ref="B15:N63" xr:uid="{AC1020E0-8392-4653-825B-7F301E97C5AE}"/>
  <tableColumns count="13">
    <tableColumn id="1" xr3:uid="{DA853D66-C01E-4767-8A5A-A47D7433E152}" name="Skill matrix" dataDxfId="472" dataCellStyle="Calculation"/>
    <tableColumn id="3" xr3:uid="{6DA2DBAF-742C-49E9-835E-F0C7E1F20547}" name="AA" dataDxfId="471" dataCellStyle="Calculation"/>
    <tableColumn id="4" xr3:uid="{968C8149-1351-46F9-8313-439ADDF3ED68}" name="BB" dataDxfId="470" dataCellStyle="Calculation"/>
    <tableColumn id="5" xr3:uid="{C93E4289-00E7-4BB3-91AE-1EA1CF5105B5}" name="CC" dataDxfId="469" dataCellStyle="Calculation"/>
    <tableColumn id="6" xr3:uid="{812D80E3-7B34-48DA-94A0-11D0376636EC}" name="DD" dataDxfId="468" dataCellStyle="Calculation"/>
    <tableColumn id="2" xr3:uid="{C8ABA9C1-9CBC-41AC-A0AB-464A2848DCF6}" name="EE" dataDxfId="467" dataCellStyle="Calculation"/>
    <tableColumn id="7" xr3:uid="{647C8F15-664C-465F-A3C2-DB027520A9D2}" name="FF" dataDxfId="466" dataCellStyle="Calculation"/>
    <tableColumn id="13" xr3:uid="{7ACDB9E8-3D7D-4531-A95E-12C8FD77A4D8}" name="GG" dataDxfId="465" dataCellStyle="Calculation"/>
    <tableColumn id="12" xr3:uid="{9D05AA89-57D4-496A-89FE-115A85E55CF7}" name="HH" dataDxfId="464" dataCellStyle="Calculation"/>
    <tableColumn id="8" xr3:uid="{9DB9DC36-5B2D-4B82-BAD7-4CD4E82189A1}" name="II" dataDxfId="463" dataCellStyle="Calculation"/>
    <tableColumn id="9" xr3:uid="{CC28779B-F577-404C-A109-D7D27C540A42}" name="JJ" dataDxfId="462" dataCellStyle="Calculation"/>
    <tableColumn id="10" xr3:uid="{37A7FCA1-5A7F-40E2-85AD-D1CD19323952}" name="KK" dataDxfId="461" dataCellStyle="Calculation"/>
    <tableColumn id="11" xr3:uid="{55FD2575-B677-4F12-AE21-D68BEA12B433}" name="LL" dataDxfId="460" dataCellStyle="Calcul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476133-7FF7-43D1-AFAA-58EEF4DAEFF0}" name="Process22" displayName="Process22" ref="B15:N63" totalsRowShown="0" headerRowDxfId="459" dataDxfId="457" headerRowBorderDxfId="458" tableBorderDxfId="456" headerRowCellStyle="Calculation" dataCellStyle="Calculation">
  <autoFilter ref="B15:N63" xr:uid="{AC1020E0-8392-4653-825B-7F301E97C5AE}"/>
  <tableColumns count="13">
    <tableColumn id="1" xr3:uid="{E98AF7EB-B036-448D-803D-BD4AA03C3D91}" name="Skill matrix" dataDxfId="455" dataCellStyle="Calculation"/>
    <tableColumn id="3" xr3:uid="{2F6DA2A0-E0C6-45B9-A2B8-D91B318C5CCF}" name="AA" dataDxfId="454" dataCellStyle="Calculation"/>
    <tableColumn id="4" xr3:uid="{AE596323-0ED2-44BF-AFFB-32EF3C47E497}" name="BB" dataDxfId="453" dataCellStyle="Calculation"/>
    <tableColumn id="5" xr3:uid="{579545AB-FA52-415C-AD75-847E49C197A7}" name="CC" dataDxfId="452" dataCellStyle="Calculation"/>
    <tableColumn id="6" xr3:uid="{F207FADD-775B-4B7C-B7C5-B304814A8336}" name="DD" dataDxfId="451" dataCellStyle="Calculation"/>
    <tableColumn id="2" xr3:uid="{1714A83C-3AC5-43D5-9927-9EABE14F4ADC}" name="EE" dataDxfId="450" dataCellStyle="Calculation"/>
    <tableColumn id="7" xr3:uid="{94EACC0D-3CB2-4929-93DF-974D6FBD5162}" name="FF" dataDxfId="449" dataCellStyle="Calculation"/>
    <tableColumn id="13" xr3:uid="{41932E7A-2BF1-4EBC-899C-EB508BB2E448}" name="GG" dataDxfId="448" dataCellStyle="Calculation"/>
    <tableColumn id="12" xr3:uid="{41059C06-5801-47E7-9882-C5B819C035B1}" name="HH" dataDxfId="447" dataCellStyle="Calculation"/>
    <tableColumn id="8" xr3:uid="{FE099AE1-245D-4AD0-ABBC-1AB4441EC271}" name="II" dataDxfId="446" dataCellStyle="Calculation"/>
    <tableColumn id="9" xr3:uid="{F2BB3D75-9536-4422-A5B1-8DBFC7584B7E}" name="JJ" dataDxfId="445" dataCellStyle="Calculation"/>
    <tableColumn id="10" xr3:uid="{D907F073-B9E4-4791-BBEA-EAEAD6E0EB86}" name="KK" dataDxfId="444" dataCellStyle="Calculation"/>
    <tableColumn id="11" xr3:uid="{EA9C1881-4C2F-41C8-835F-437A19BB525E}" name="LL" dataDxfId="443" dataCellStyle="Calcul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A307A56-0707-4B00-921D-9E6B63F6BEB5}" name="Process23" displayName="Process23" ref="B15:N63" totalsRowShown="0" headerRowDxfId="442" dataDxfId="440" headerRowBorderDxfId="441" tableBorderDxfId="439" headerRowCellStyle="Calculation" dataCellStyle="Calculation">
  <autoFilter ref="B15:N63" xr:uid="{AC1020E0-8392-4653-825B-7F301E97C5AE}"/>
  <tableColumns count="13">
    <tableColumn id="1" xr3:uid="{F7B0791F-13D0-4223-9BC2-E1877B3E0AC0}" name="Skill matrix" dataDxfId="438" dataCellStyle="Calculation"/>
    <tableColumn id="3" xr3:uid="{6535FE3D-772E-4314-A6A0-559E00F869D2}" name="AA" dataDxfId="437" dataCellStyle="Calculation"/>
    <tableColumn id="4" xr3:uid="{A9685FBB-F0CA-408C-855E-7FE31E4648A3}" name="BB" dataDxfId="436" dataCellStyle="Calculation"/>
    <tableColumn id="5" xr3:uid="{F40289BD-1BC5-455F-9791-40BE9551460F}" name="CC" dataDxfId="435" dataCellStyle="Calculation"/>
    <tableColumn id="6" xr3:uid="{565785A8-0575-406D-AB8D-C4AB930A4049}" name="DD" dataDxfId="434" dataCellStyle="Calculation"/>
    <tableColumn id="2" xr3:uid="{7B5979D8-8DDF-4D30-9B29-C179A7566DAE}" name="EE" dataDxfId="433" dataCellStyle="Calculation"/>
    <tableColumn id="7" xr3:uid="{1817228D-5906-4CE2-A251-6F1ECC58D902}" name="FF" dataDxfId="432" dataCellStyle="Calculation"/>
    <tableColumn id="13" xr3:uid="{ECFD7031-CB1C-4EC7-9A03-2203F2812175}" name="GG" dataDxfId="431" dataCellStyle="Calculation"/>
    <tableColumn id="12" xr3:uid="{7FDD21FD-0979-421D-BE45-C4DAD512ADD0}" name="HH" dataDxfId="430" dataCellStyle="Calculation"/>
    <tableColumn id="8" xr3:uid="{189E7A5D-2A8A-4B01-BCE3-5D9D8EFA4A82}" name="II" dataDxfId="429" dataCellStyle="Calculation"/>
    <tableColumn id="9" xr3:uid="{B4FD0EB1-0528-4B4D-BD34-CB0529EA4329}" name="JJ" dataDxfId="428" dataCellStyle="Calculation"/>
    <tableColumn id="10" xr3:uid="{5475CC9E-66B1-4868-9945-F038ECBF1E09}" name="KK" dataDxfId="427" dataCellStyle="Calculation"/>
    <tableColumn id="11" xr3:uid="{0CD612AA-7E27-413C-BDBE-612B4490352E}" name="LL" dataDxfId="426" dataCellStyle="Calcul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0ADE225-7755-4219-9787-E4062C592AE5}" name="Process24" displayName="Process24" ref="B15:N63" totalsRowShown="0" headerRowDxfId="425" dataDxfId="423" headerRowBorderDxfId="424" tableBorderDxfId="422" headerRowCellStyle="Calculation" dataCellStyle="Calculation">
  <autoFilter ref="B15:N63" xr:uid="{AC1020E0-8392-4653-825B-7F301E97C5AE}"/>
  <tableColumns count="13">
    <tableColumn id="1" xr3:uid="{9BC47E6D-7616-404B-A7B4-9A8628AEF645}" name="Skill matrix" dataDxfId="421" dataCellStyle="Calculation"/>
    <tableColumn id="3" xr3:uid="{1D64EB2F-81AB-40A2-AB98-23684E6FEC30}" name="AA" dataDxfId="420" dataCellStyle="Calculation"/>
    <tableColumn id="4" xr3:uid="{3C528902-9DC5-4882-866B-E4E0DFB8307E}" name="BB" dataDxfId="419" dataCellStyle="Calculation"/>
    <tableColumn id="5" xr3:uid="{82F476A2-0E54-4FA2-855E-91715716DAE5}" name="CC" dataDxfId="418" dataCellStyle="Calculation"/>
    <tableColumn id="6" xr3:uid="{CF8A5533-902E-441A-BC7A-F1C291356E05}" name="DD" dataDxfId="417" dataCellStyle="Calculation"/>
    <tableColumn id="2" xr3:uid="{4F1582CE-96A4-453F-9D28-6951CA8D72E3}" name="EE" dataDxfId="416" dataCellStyle="Calculation"/>
    <tableColumn id="7" xr3:uid="{600C01A3-E132-4532-AB42-F19E69B7D189}" name="FF" dataDxfId="415" dataCellStyle="Calculation"/>
    <tableColumn id="13" xr3:uid="{7DBB910D-2DC5-438B-9E38-88A1D119A76D}" name="GG" dataDxfId="414" dataCellStyle="Calculation"/>
    <tableColumn id="12" xr3:uid="{6C469F99-513B-4FC1-83C2-5911133233D1}" name="HH" dataDxfId="413" dataCellStyle="Calculation"/>
    <tableColumn id="8" xr3:uid="{58E7787D-BCC1-4AB6-848C-F20F0B2BB03C}" name="II" dataDxfId="412" dataCellStyle="Calculation"/>
    <tableColumn id="9" xr3:uid="{36DABE83-4973-4BEB-A88C-7B95716A9F8A}" name="JJ" dataDxfId="411" dataCellStyle="Calculation"/>
    <tableColumn id="10" xr3:uid="{01EC06A3-A963-4A75-9184-FC85D386D2E3}" name="KK" dataDxfId="410" dataCellStyle="Calculation"/>
    <tableColumn id="11" xr3:uid="{61E59565-25AA-4EF1-8D97-D2FFB762AA8C}" name="LL" dataDxfId="409" dataCellStyle="Calcula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F6DBD5C-909B-4A53-8E71-83B1EAFC6057}" name="Process25" displayName="Process25" ref="B15:N63" totalsRowShown="0" headerRowDxfId="408" dataDxfId="406" headerRowBorderDxfId="407" tableBorderDxfId="405" headerRowCellStyle="Calculation" dataCellStyle="Calculation">
  <autoFilter ref="B15:N63" xr:uid="{AC1020E0-8392-4653-825B-7F301E97C5AE}"/>
  <tableColumns count="13">
    <tableColumn id="1" xr3:uid="{3E65DD6E-A79C-4EC4-9966-9082BB261274}" name="Skill matrix" dataDxfId="404" dataCellStyle="Calculation"/>
    <tableColumn id="3" xr3:uid="{838879B8-7F8E-4233-BBF0-35787260E307}" name="AA" dataDxfId="403" dataCellStyle="Calculation"/>
    <tableColumn id="4" xr3:uid="{3EA76CB1-ACC3-402D-A2D5-6382379642F0}" name="BB" dataDxfId="402" dataCellStyle="Calculation"/>
    <tableColumn id="5" xr3:uid="{909BD11E-C6D1-4DA2-81FA-1A4963CBECD6}" name="CC" dataDxfId="401" dataCellStyle="Calculation"/>
    <tableColumn id="6" xr3:uid="{BB0F21B4-5561-452A-8A7B-4D62F5F30F8E}" name="DD" dataDxfId="400" dataCellStyle="Calculation"/>
    <tableColumn id="2" xr3:uid="{F24BD6C4-0BB3-4E62-B1EF-43A13B3E5C06}" name="EE" dataDxfId="399" dataCellStyle="Calculation"/>
    <tableColumn id="7" xr3:uid="{0831CC0D-EBC4-47E5-BDF0-CEBE3C50EB3D}" name="FF" dataDxfId="398" dataCellStyle="Calculation"/>
    <tableColumn id="13" xr3:uid="{A394C71B-D3EA-45F1-8915-447674149A9C}" name="GG" dataDxfId="397" dataCellStyle="Calculation"/>
    <tableColumn id="12" xr3:uid="{432DE7CE-75CC-4B2E-81F7-99AF524990CF}" name="HH" dataDxfId="396" dataCellStyle="Calculation"/>
    <tableColumn id="8" xr3:uid="{EEAF7CFF-447C-4A9D-823D-6200EEEE4B80}" name="II" dataDxfId="395" dataCellStyle="Calculation"/>
    <tableColumn id="9" xr3:uid="{6A5846E8-30AB-40EB-AA16-63FDF20F45CE}" name="JJ" dataDxfId="394" dataCellStyle="Calculation"/>
    <tableColumn id="10" xr3:uid="{07D41F59-E273-407F-92DD-38B6B342838A}" name="KK" dataDxfId="393" dataCellStyle="Calculation"/>
    <tableColumn id="11" xr3:uid="{CAED0F5E-15B6-4CC2-833B-83223473A8FE}" name="LL" dataDxfId="392" dataCellStyle="Calculatio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5994ED8-F6BF-4796-99A1-794BAA78C2AB}" name="Process26" displayName="Process26" ref="B15:N63" totalsRowShown="0" headerRowDxfId="391" dataDxfId="389" headerRowBorderDxfId="390" tableBorderDxfId="388" headerRowCellStyle="Calculation" dataCellStyle="Calculation">
  <autoFilter ref="B15:N63" xr:uid="{AC1020E0-8392-4653-825B-7F301E97C5AE}"/>
  <tableColumns count="13">
    <tableColumn id="1" xr3:uid="{33385DC1-9BB1-49DD-A4D1-C7E56677EA93}" name="Skill matrix" dataDxfId="387" dataCellStyle="Calculation"/>
    <tableColumn id="3" xr3:uid="{E5DEB447-9649-4E31-BB93-D994FD1DAC5E}" name="AA" dataDxfId="386" dataCellStyle="Calculation"/>
    <tableColumn id="4" xr3:uid="{B45B3157-A9BA-4D59-BC71-03A235326B06}" name="BB" dataDxfId="385" dataCellStyle="Calculation"/>
    <tableColumn id="5" xr3:uid="{531C0D8C-9095-43A4-8D92-095AF7D48A69}" name="CC" dataDxfId="384" dataCellStyle="Calculation"/>
    <tableColumn id="6" xr3:uid="{0E8949EF-957E-4E20-9C24-356BCFFA55B3}" name="DD" dataDxfId="383" dataCellStyle="Calculation"/>
    <tableColumn id="2" xr3:uid="{8A526654-68AC-4584-98B1-0D5B685F78A3}" name="EE" dataDxfId="382" dataCellStyle="Calculation"/>
    <tableColumn id="7" xr3:uid="{F4408077-7A1C-4037-8072-5A8A4C139C7A}" name="FF" dataDxfId="381" dataCellStyle="Calculation"/>
    <tableColumn id="13" xr3:uid="{70C618A6-002C-4EE0-9439-E3BABBDD1F43}" name="GG" dataDxfId="380" dataCellStyle="Calculation"/>
    <tableColumn id="12" xr3:uid="{703CBDF1-FF4E-48A1-9F65-1FCA3AF19AB0}" name="HH" dataDxfId="379" dataCellStyle="Calculation"/>
    <tableColumn id="8" xr3:uid="{3A9F5781-3D09-4598-B53D-302751CFC133}" name="II" dataDxfId="378" dataCellStyle="Calculation"/>
    <tableColumn id="9" xr3:uid="{549DE767-2716-4FF2-95FB-E6800B53BF21}" name="JJ" dataDxfId="377" dataCellStyle="Calculation"/>
    <tableColumn id="10" xr3:uid="{D545EDA9-D391-4E21-9E14-A920EC50010C}" name="KK" dataDxfId="376" dataCellStyle="Calculation"/>
    <tableColumn id="11" xr3:uid="{F815EBD9-0B77-420D-A664-FB7FA84C23BA}" name="LL" dataDxfId="375" dataCellStyle="Calcula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624D7DF-D2DD-4323-9052-244EDEC93DBA}" name="Process27" displayName="Process27" ref="B15:N63" totalsRowShown="0" headerRowDxfId="374" dataDxfId="372" headerRowBorderDxfId="373" tableBorderDxfId="371" headerRowCellStyle="Calculation" dataCellStyle="Calculation">
  <autoFilter ref="B15:N63" xr:uid="{AC1020E0-8392-4653-825B-7F301E97C5AE}"/>
  <tableColumns count="13">
    <tableColumn id="1" xr3:uid="{58D48B26-F387-49B4-BB44-805D43847150}" name="Skill matrix" dataDxfId="370" dataCellStyle="Calculation"/>
    <tableColumn id="3" xr3:uid="{44ADD21E-1DEE-41FB-8DAC-CA1394E35827}" name="AA" dataDxfId="369" dataCellStyle="Calculation"/>
    <tableColumn id="4" xr3:uid="{5F727570-E6CC-4D98-AD5A-19058EB15C5B}" name="BB" dataDxfId="368" dataCellStyle="Calculation"/>
    <tableColumn id="5" xr3:uid="{1C7617B0-BF13-4788-872E-1596C12B9E61}" name="CC" dataDxfId="367" dataCellStyle="Calculation"/>
    <tableColumn id="6" xr3:uid="{4ECFBD20-0ABD-4A73-9125-41D66237BA9E}" name="DD" dataDxfId="366" dataCellStyle="Calculation"/>
    <tableColumn id="2" xr3:uid="{D5B86A82-3EDA-49A3-9A3E-5ACE16056345}" name="EE" dataDxfId="365" dataCellStyle="Calculation"/>
    <tableColumn id="7" xr3:uid="{0A92EEC4-6E73-484C-8F27-7B613BDDE383}" name="FF" dataDxfId="364" dataCellStyle="Calculation"/>
    <tableColumn id="13" xr3:uid="{3C1F8C70-7808-4585-9C06-E52511D74AB3}" name="GG" dataDxfId="363" dataCellStyle="Calculation"/>
    <tableColumn id="12" xr3:uid="{9C7081BE-F5A8-49D9-9A1F-16C57F697214}" name="HH" dataDxfId="362" dataCellStyle="Calculation"/>
    <tableColumn id="8" xr3:uid="{EDC7D3B6-7492-48C1-9E2C-0DC9BB58612C}" name="II" dataDxfId="361" dataCellStyle="Calculation"/>
    <tableColumn id="9" xr3:uid="{82223B5D-F58B-4BF9-B8FD-E9FEA17988F8}" name="JJ" dataDxfId="360" dataCellStyle="Calculation"/>
    <tableColumn id="10" xr3:uid="{E3CE6B26-D3D5-4455-8307-BF89B978C822}" name="KK" dataDxfId="359" dataCellStyle="Calculation"/>
    <tableColumn id="11" xr3:uid="{3CF76AC5-105E-4806-A560-B9E3E04014C6}" name="LL" dataDxfId="358" dataCellStyle="Calcula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F81042C-2479-44AE-BA0A-7166ADFE022E}" name="Process28" displayName="Process28" ref="B15:N63" totalsRowShown="0" headerRowDxfId="357" dataDxfId="355" headerRowBorderDxfId="356" tableBorderDxfId="354" headerRowCellStyle="Calculation" dataCellStyle="Calculation">
  <autoFilter ref="B15:N63" xr:uid="{AC1020E0-8392-4653-825B-7F301E97C5AE}"/>
  <tableColumns count="13">
    <tableColumn id="1" xr3:uid="{7FBB61F2-A4A1-46A7-A764-3E1920C69F05}" name="Skill matrix" dataDxfId="353" dataCellStyle="Calculation"/>
    <tableColumn id="3" xr3:uid="{F457A77C-FF4F-4382-98E9-3CD297632583}" name="AA" dataDxfId="352" dataCellStyle="Calculation"/>
    <tableColumn id="4" xr3:uid="{801EDF5F-EFBB-4533-93E6-35B5E9652CA5}" name="BB" dataDxfId="351" dataCellStyle="Calculation"/>
    <tableColumn id="5" xr3:uid="{B30B6450-9453-4D3A-AB1D-EBD6994A0D11}" name="CC" dataDxfId="350" dataCellStyle="Calculation"/>
    <tableColumn id="6" xr3:uid="{7AECDD10-2315-4935-9982-2C3C342AF253}" name="DD" dataDxfId="349" dataCellStyle="Calculation"/>
    <tableColumn id="2" xr3:uid="{AEE18AC0-97AF-4F8F-B318-EBFB3A8D785E}" name="EE" dataDxfId="348" dataCellStyle="Calculation"/>
    <tableColumn id="7" xr3:uid="{5BE3DF34-E16A-468C-B631-952DFBFDE7BB}" name="FF" dataDxfId="347" dataCellStyle="Calculation"/>
    <tableColumn id="13" xr3:uid="{0DD6045F-CF10-4BDF-986E-080EACF84DEA}" name="GG" dataDxfId="346" dataCellStyle="Calculation"/>
    <tableColumn id="12" xr3:uid="{8BB272E2-259C-4436-8922-033430A9F0BA}" name="HH" dataDxfId="345" dataCellStyle="Calculation"/>
    <tableColumn id="8" xr3:uid="{5603D6AD-0C52-4F00-A6CC-3E1BC48E0A37}" name="II" dataDxfId="344" dataCellStyle="Calculation"/>
    <tableColumn id="9" xr3:uid="{1EF8CBE8-F2F0-4C5F-A9B5-B90D76B8180D}" name="JJ" dataDxfId="343" dataCellStyle="Calculation"/>
    <tableColumn id="10" xr3:uid="{3419BC28-65F5-4A20-A38E-3F1F6637E9DA}" name="KK" dataDxfId="342" dataCellStyle="Calculation"/>
    <tableColumn id="11" xr3:uid="{ACB9A774-C30C-4539-AEB6-E1BE4BE70C1A}" name="LL" dataDxfId="341" dataCellStyle="Calcula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40FEC3B-40F7-4DA9-A4DF-64AA1DEF1795}" name="Process29" displayName="Process29" ref="B15:N63" totalsRowShown="0" headerRowDxfId="340" dataDxfId="338" headerRowBorderDxfId="339" tableBorderDxfId="337" headerRowCellStyle="Calculation" dataCellStyle="Calculation">
  <autoFilter ref="B15:N63" xr:uid="{AC1020E0-8392-4653-825B-7F301E97C5AE}"/>
  <tableColumns count="13">
    <tableColumn id="1" xr3:uid="{7A7C6987-A241-4402-AE41-B5C63FE6FBF4}" name="Skill matrix" dataDxfId="336" dataCellStyle="Calculation"/>
    <tableColumn id="3" xr3:uid="{E078182A-3F35-4D7D-9DE3-954790DCA95A}" name="AA" dataDxfId="335" dataCellStyle="Calculation"/>
    <tableColumn id="4" xr3:uid="{01F9456C-0CF2-47F2-A45E-D507C8BB1216}" name="BB" dataDxfId="334" dataCellStyle="Calculation"/>
    <tableColumn id="5" xr3:uid="{37C86B23-4D46-4CF2-9764-7185397E49E1}" name="CC" dataDxfId="333" dataCellStyle="Calculation"/>
    <tableColumn id="6" xr3:uid="{949DD996-19A3-48FF-B6FD-514BA934A111}" name="DD" dataDxfId="332" dataCellStyle="Calculation"/>
    <tableColumn id="2" xr3:uid="{0732F7F7-239B-45F7-93F8-56F27355C473}" name="EE" dataDxfId="331" dataCellStyle="Calculation"/>
    <tableColumn id="7" xr3:uid="{D0833A1D-2A5F-4242-B303-D71ED8027EA1}" name="FF" dataDxfId="330" dataCellStyle="Calculation"/>
    <tableColumn id="13" xr3:uid="{BAE0F81E-66AD-475D-B42D-C711FDF6415E}" name="GG" dataDxfId="329" dataCellStyle="Calculation"/>
    <tableColumn id="12" xr3:uid="{A091B1FB-BA85-4103-86E3-8579D6F5CA16}" name="HH" dataDxfId="328" dataCellStyle="Calculation"/>
    <tableColumn id="8" xr3:uid="{60F36A35-1D16-4F5E-B9F6-4A131D048088}" name="II" dataDxfId="327" dataCellStyle="Calculation"/>
    <tableColumn id="9" xr3:uid="{BB54ED89-46CE-4692-BC67-746BA599D226}" name="JJ" dataDxfId="326" dataCellStyle="Calculation"/>
    <tableColumn id="10" xr3:uid="{FC4CB9E7-D092-47E8-8691-E250E3DD6E85}" name="KK" dataDxfId="325" dataCellStyle="Calculation"/>
    <tableColumn id="11" xr3:uid="{CC3931DE-0656-4AE7-B817-D54CAEF5DA73}" name="LL" dataDxfId="324" dataCellStyle="Calculation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C434333-8803-4E73-90A0-87912B77EDEC}" name="Process30" displayName="Process30" ref="B15:N63" totalsRowShown="0" headerRowDxfId="323" dataDxfId="321" headerRowBorderDxfId="322" tableBorderDxfId="320" headerRowCellStyle="Calculation" dataCellStyle="Calculation">
  <autoFilter ref="B15:N63" xr:uid="{AC1020E0-8392-4653-825B-7F301E97C5AE}"/>
  <tableColumns count="13">
    <tableColumn id="1" xr3:uid="{F4B91572-38CB-490F-920B-61B365B2B7EA}" name="Skill matrix" dataDxfId="319" dataCellStyle="Calculation"/>
    <tableColumn id="3" xr3:uid="{F68B5D3C-B106-45A5-AC3F-784FE87B3F7E}" name="AA" dataDxfId="318" dataCellStyle="Calculation"/>
    <tableColumn id="4" xr3:uid="{D118EB3C-AAE4-4932-99C3-FFDDE0C14F10}" name="BB" dataDxfId="317" dataCellStyle="Calculation"/>
    <tableColumn id="5" xr3:uid="{D5821085-43C5-4C4E-A566-C546E5BB0B28}" name="CC" dataDxfId="316" dataCellStyle="Calculation"/>
    <tableColumn id="6" xr3:uid="{4CC0D874-40B6-418D-80AF-9BB250422997}" name="DD" dataDxfId="315" dataCellStyle="Calculation"/>
    <tableColumn id="2" xr3:uid="{86CB9A47-EFDE-4A10-9D50-556F178AA5C1}" name="EE" dataDxfId="314" dataCellStyle="Calculation"/>
    <tableColumn id="7" xr3:uid="{C2D6E2EF-5710-4FB4-8CA2-F4B14BEFD7BB}" name="FF" dataDxfId="313" dataCellStyle="Calculation"/>
    <tableColumn id="13" xr3:uid="{638517E2-2962-45CD-9DA6-49906DEBB10D}" name="GG" dataDxfId="312" dataCellStyle="Calculation"/>
    <tableColumn id="12" xr3:uid="{64C8FC1F-CA5E-4530-8905-8436BFAD74F2}" name="HH" dataDxfId="311" dataCellStyle="Calculation"/>
    <tableColumn id="8" xr3:uid="{3F75CBDB-8402-4B0E-AF91-316CE02FD821}" name="II" dataDxfId="310" dataCellStyle="Calculation"/>
    <tableColumn id="9" xr3:uid="{3A6BD1C0-2D66-42AF-B766-1F87479EAC6F}" name="JJ" dataDxfId="309" dataCellStyle="Calculation"/>
    <tableColumn id="10" xr3:uid="{AA37D4AF-5FF0-408B-A9D7-B000E6E4D573}" name="KK" dataDxfId="308" dataCellStyle="Calculation"/>
    <tableColumn id="11" xr3:uid="{CF105515-ABB7-4AC6-98F1-480803E8F194}" name="LL" dataDxfId="307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14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table" Target="../tables/table15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table" Target="../tables/table16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table" Target="../tables/table17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table" Target="../tables/table18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table" Target="../tables/table19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table" Target="../tables/table20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table" Target="../tables/table21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table" Target="../tables/table22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table" Target="../tables/table23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table" Target="../tables/table24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table" Target="../tables/table25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table" Target="../tables/table26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table" Target="../tables/table27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table" Target="../tables/table28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table" Target="../tables/table29.xml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table" Target="../tables/table30.xml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table" Target="../tables/table31.xml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table" Target="../tables/table32.xml"/><Relationship Id="rId1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table" Target="../tables/table33.xml"/><Relationship Id="rId1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53BE-794F-454D-83B3-328D2134111D}">
  <sheetPr codeName="Sheet4">
    <tabColor theme="0" tint="-0.249977111117893"/>
  </sheetPr>
  <dimension ref="A1:AF43"/>
  <sheetViews>
    <sheetView tabSelected="1" zoomScale="85" zoomScaleNormal="85" workbookViewId="0">
      <selection activeCell="D2" sqref="D2:T3"/>
    </sheetView>
  </sheetViews>
  <sheetFormatPr defaultColWidth="9.109375" defaultRowHeight="15" customHeight="1"/>
  <cols>
    <col min="1" max="3" width="4.6640625" customWidth="1"/>
    <col min="4" max="4" width="27.5546875" customWidth="1"/>
    <col min="5" max="13" width="7.33203125" customWidth="1"/>
    <col min="14" max="15" width="8.88671875" bestFit="1" customWidth="1"/>
    <col min="16" max="16" width="8.6640625" customWidth="1"/>
    <col min="17" max="21" width="13" customWidth="1"/>
    <col min="22" max="22" width="83.44140625" bestFit="1" customWidth="1"/>
    <col min="23" max="23" width="10.5546875" bestFit="1" customWidth="1"/>
  </cols>
  <sheetData>
    <row r="1" spans="1:32" ht="24" customHeight="1" thickBot="1">
      <c r="A1" s="6"/>
      <c r="B1" s="6"/>
      <c r="C1" s="6"/>
      <c r="D1" s="6"/>
      <c r="E1" s="20"/>
      <c r="F1" s="20"/>
      <c r="G1" s="6"/>
      <c r="H1" s="6"/>
      <c r="I1" s="6"/>
      <c r="J1" s="6"/>
      <c r="K1" s="6"/>
      <c r="L1" s="6"/>
      <c r="M1" s="6"/>
      <c r="N1" s="6"/>
      <c r="O1" s="39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2" ht="24" customHeight="1">
      <c r="A2" s="6"/>
      <c r="B2" s="6"/>
      <c r="C2" s="6"/>
      <c r="D2" s="82" t="s">
        <v>36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4"/>
      <c r="U2" s="6"/>
      <c r="V2" s="70" t="s">
        <v>37</v>
      </c>
      <c r="W2" s="75">
        <f>1 - (COUNTIF(_TotalsTable[Gap], "&gt;0") / COUNTA(_TotalsTable[Competence index 
(Limited to N  employees)]))</f>
        <v>3.3333333333333326E-2</v>
      </c>
      <c r="X2" s="6"/>
      <c r="Y2" s="6"/>
      <c r="Z2" s="6"/>
      <c r="AA2" s="6"/>
      <c r="AB2" s="6"/>
      <c r="AC2" s="6"/>
      <c r="AD2" s="6"/>
      <c r="AE2" s="6"/>
      <c r="AF2" s="6"/>
    </row>
    <row r="3" spans="1:32" ht="24" customHeight="1">
      <c r="A3" s="6"/>
      <c r="B3" s="6"/>
      <c r="C3" s="6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7"/>
      <c r="U3" s="6"/>
      <c r="V3" s="71" t="s">
        <v>124</v>
      </c>
      <c r="W3" s="80">
        <f>AVERAGE(_TotalsTable[Competence index 
(Limited to N  employees)])</f>
        <v>0.2</v>
      </c>
      <c r="X3" s="6"/>
      <c r="Y3" s="6"/>
      <c r="Z3" s="6"/>
      <c r="AA3" s="6"/>
      <c r="AB3" s="6"/>
      <c r="AC3" s="6"/>
      <c r="AD3" s="6"/>
      <c r="AE3" s="6"/>
      <c r="AF3" s="6"/>
    </row>
    <row r="4" spans="1:32" ht="91.8" customHeight="1" thickBot="1">
      <c r="A4" s="6"/>
      <c r="B4" s="6"/>
      <c r="C4" s="6"/>
      <c r="D4" s="40" t="s">
        <v>38</v>
      </c>
      <c r="E4" s="79" t="s">
        <v>39</v>
      </c>
      <c r="F4" s="79" t="s">
        <v>40</v>
      </c>
      <c r="G4" s="79" t="s">
        <v>41</v>
      </c>
      <c r="H4" s="79" t="s">
        <v>42</v>
      </c>
      <c r="I4" s="79" t="s">
        <v>43</v>
      </c>
      <c r="J4" s="79" t="s">
        <v>44</v>
      </c>
      <c r="K4" s="79" t="s">
        <v>45</v>
      </c>
      <c r="L4" s="79" t="s">
        <v>46</v>
      </c>
      <c r="M4" s="79" t="s">
        <v>47</v>
      </c>
      <c r="N4" s="79" t="s">
        <v>48</v>
      </c>
      <c r="O4" s="79" t="s">
        <v>49</v>
      </c>
      <c r="P4" s="79" t="s">
        <v>50</v>
      </c>
      <c r="Q4" s="9" t="s">
        <v>129</v>
      </c>
      <c r="R4" s="9" t="s">
        <v>51</v>
      </c>
      <c r="S4" s="41" t="s">
        <v>130</v>
      </c>
      <c r="T4" s="9" t="s">
        <v>131</v>
      </c>
      <c r="U4" s="6"/>
      <c r="V4" s="72" t="s">
        <v>52</v>
      </c>
      <c r="W4" s="81">
        <f>MAX(_TotalsTable[Gap])</f>
        <v>4</v>
      </c>
      <c r="X4" s="6"/>
      <c r="Y4" s="6"/>
      <c r="Z4" s="6"/>
      <c r="AA4" s="6"/>
      <c r="AB4" s="6"/>
      <c r="AC4" s="6"/>
      <c r="AD4" s="6"/>
      <c r="AE4" s="6"/>
      <c r="AF4" s="6"/>
    </row>
    <row r="5" spans="1:32" ht="21" customHeight="1" thickBot="1">
      <c r="A5" s="6"/>
      <c r="B5" s="6"/>
      <c r="C5" s="6"/>
      <c r="D5" s="43" t="str">
        <f>Process01!B2</f>
        <v>&lt;Process01&gt;</v>
      </c>
      <c r="E5" s="38">
        <f>Process01!C13</f>
        <v>2.3382716049382717</v>
      </c>
      <c r="F5" s="38">
        <f>Process01!D13</f>
        <v>2.3358024691358024</v>
      </c>
      <c r="G5" s="38">
        <f>Process01!E13</f>
        <v>2.4888888888888889</v>
      </c>
      <c r="H5" s="38">
        <f>Process01!F13</f>
        <v>1.8370370370370368</v>
      </c>
      <c r="I5" s="38">
        <f>Process01!G13</f>
        <v>1.3555555555555556</v>
      </c>
      <c r="J5" s="38">
        <f>Process01!H13</f>
        <v>2.138271604938272</v>
      </c>
      <c r="K5" s="38">
        <f>Process01!I13</f>
        <v>2.2962962962962963</v>
      </c>
      <c r="L5" s="38">
        <f>Process01!J13</f>
        <v>3</v>
      </c>
      <c r="M5" s="38">
        <f>Process01!K13</f>
        <v>0.79259259259259263</v>
      </c>
      <c r="N5" s="38">
        <f>Process01!L13</f>
        <v>1.6444444444444446</v>
      </c>
      <c r="O5" s="38">
        <f>Process01!M13</f>
        <v>3</v>
      </c>
      <c r="P5" s="38">
        <f>Process01!N13</f>
        <v>2.4469135802469135</v>
      </c>
      <c r="Q5" s="7">
        <f t="shared" ref="Q5:Q34" si="0">IF(COUNTIF(E5:P5,"&gt;=3")&gt;4,4,COUNTIF(E5:P5,"&gt;=3"))</f>
        <v>2</v>
      </c>
      <c r="R5" s="7">
        <f t="shared" ref="R5:R34" si="1">COUNTIF(E5:P5,"&gt;=3")</f>
        <v>2</v>
      </c>
      <c r="S5" s="8">
        <f>_TotalsTable[[#This Row],[Employee target in the process
(Limited to N employees)]] - _TotalsTable[[#This Row],[Competence index 
(Limited to N  employees)]]</f>
        <v>2</v>
      </c>
      <c r="T5" s="10">
        <f>4</f>
        <v>4</v>
      </c>
      <c r="U5" s="6"/>
      <c r="V5" s="13"/>
      <c r="W5" s="13"/>
      <c r="X5" s="6"/>
      <c r="Y5" s="6"/>
      <c r="Z5" s="6"/>
      <c r="AA5" s="6"/>
      <c r="AB5" s="6"/>
      <c r="AC5" s="6"/>
      <c r="AD5" s="6"/>
      <c r="AE5" s="6"/>
      <c r="AF5" s="6"/>
    </row>
    <row r="6" spans="1:32" ht="21" customHeight="1">
      <c r="A6" s="6"/>
      <c r="B6" s="6"/>
      <c r="C6" s="6"/>
      <c r="D6" s="44" t="str">
        <f>Process02!B2</f>
        <v>&lt;Process02&gt;</v>
      </c>
      <c r="E6" s="38">
        <f>Process02!C13</f>
        <v>2.7827160493827159</v>
      </c>
      <c r="F6" s="38">
        <f>Process02!D13</f>
        <v>2.5802469135802468</v>
      </c>
      <c r="G6" s="38">
        <f>Process02!E13</f>
        <v>3</v>
      </c>
      <c r="H6" s="38">
        <f>Process02!F13</f>
        <v>3</v>
      </c>
      <c r="I6" s="38">
        <f>Process02!G13</f>
        <v>1.3555555555555556</v>
      </c>
      <c r="J6" s="38">
        <f>Process02!H13</f>
        <v>2.3851851851851853</v>
      </c>
      <c r="K6" s="38">
        <f>Process02!I13</f>
        <v>3</v>
      </c>
      <c r="L6" s="38">
        <f>Process02!J13</f>
        <v>2.7851851851851852</v>
      </c>
      <c r="M6" s="38">
        <f>Process02!K13</f>
        <v>0.84444444444444455</v>
      </c>
      <c r="N6" s="38">
        <f>Process02!L13</f>
        <v>1.7777777777777777</v>
      </c>
      <c r="O6" s="38">
        <f>Process02!M13</f>
        <v>3</v>
      </c>
      <c r="P6" s="38">
        <f>Process02!N13</f>
        <v>2.2691358024691359</v>
      </c>
      <c r="Q6" s="7">
        <f t="shared" si="0"/>
        <v>4</v>
      </c>
      <c r="R6" s="7">
        <f t="shared" si="1"/>
        <v>4</v>
      </c>
      <c r="S6" s="8">
        <f>_TotalsTable[[#This Row],[Employee target in the process
(Limited to N employees)]] - _TotalsTable[[#This Row],[Competence index 
(Limited to N  employees)]]</f>
        <v>0</v>
      </c>
      <c r="T6" s="10">
        <f>4</f>
        <v>4</v>
      </c>
      <c r="U6" s="6"/>
      <c r="V6" s="67" t="s">
        <v>125</v>
      </c>
      <c r="W6" s="76">
        <f>COUNTIF(_TotalsTable[Gap],"4")+COUNTIF(_TotalsTable[Gap],"3")</f>
        <v>28</v>
      </c>
      <c r="X6" s="6"/>
      <c r="Y6" s="6"/>
      <c r="Z6" s="6"/>
      <c r="AA6" s="6"/>
      <c r="AB6" s="6"/>
      <c r="AC6" s="6"/>
      <c r="AD6" s="6"/>
      <c r="AE6" s="6"/>
      <c r="AF6" s="6"/>
    </row>
    <row r="7" spans="1:32" ht="21" customHeight="1">
      <c r="A7" s="6"/>
      <c r="B7" s="6"/>
      <c r="C7" s="6"/>
      <c r="D7" s="44" t="str">
        <f>Process03!B2</f>
        <v>&lt;Process03&gt;</v>
      </c>
      <c r="E7" s="38">
        <f>Process03!C13</f>
        <v>0</v>
      </c>
      <c r="F7" s="38">
        <f>Process03!D13</f>
        <v>0</v>
      </c>
      <c r="G7" s="38">
        <f>Process03!E13</f>
        <v>0</v>
      </c>
      <c r="H7" s="38">
        <f>Process03!F13</f>
        <v>0</v>
      </c>
      <c r="I7" s="38">
        <f>Process03!G13</f>
        <v>0</v>
      </c>
      <c r="J7" s="38">
        <f>Process03!H13</f>
        <v>0</v>
      </c>
      <c r="K7" s="38">
        <f>Process03!I13</f>
        <v>0</v>
      </c>
      <c r="L7" s="38">
        <f>Process03!J13</f>
        <v>0</v>
      </c>
      <c r="M7" s="38">
        <f>Process03!K13</f>
        <v>0</v>
      </c>
      <c r="N7" s="38">
        <f>Process03!L13</f>
        <v>0</v>
      </c>
      <c r="O7" s="38">
        <f>Process03!M13</f>
        <v>0</v>
      </c>
      <c r="P7" s="38">
        <f>Process03!N13</f>
        <v>0</v>
      </c>
      <c r="Q7" s="7">
        <f t="shared" si="0"/>
        <v>0</v>
      </c>
      <c r="R7" s="7">
        <f t="shared" si="1"/>
        <v>0</v>
      </c>
      <c r="S7" s="8">
        <f>_TotalsTable[[#This Row],[Employee target in the process
(Limited to N employees)]] - _TotalsTable[[#This Row],[Competence index 
(Limited to N  employees)]]</f>
        <v>4</v>
      </c>
      <c r="T7" s="10">
        <f>4</f>
        <v>4</v>
      </c>
      <c r="U7" s="6"/>
      <c r="V7" s="68" t="s">
        <v>126</v>
      </c>
      <c r="W7" s="77">
        <f>COUNTIF(_TotalsTable[Gap],"2")</f>
        <v>1</v>
      </c>
      <c r="X7" s="6"/>
      <c r="Y7" s="6"/>
      <c r="Z7" s="6"/>
      <c r="AA7" s="6"/>
      <c r="AB7" s="6"/>
      <c r="AC7" s="6"/>
      <c r="AD7" s="6"/>
      <c r="AE7" s="6"/>
      <c r="AF7" s="6"/>
    </row>
    <row r="8" spans="1:32" ht="21" customHeight="1">
      <c r="A8" s="6"/>
      <c r="B8" s="6"/>
      <c r="C8" s="6"/>
      <c r="D8" s="44" t="str">
        <f>Process04!B2</f>
        <v>&lt;Process04&gt;</v>
      </c>
      <c r="E8" s="38">
        <f>Process04!C13</f>
        <v>0</v>
      </c>
      <c r="F8" s="38">
        <f>Process04!D13</f>
        <v>0</v>
      </c>
      <c r="G8" s="38">
        <f>Process04!E13</f>
        <v>0</v>
      </c>
      <c r="H8" s="38">
        <f>Process04!F13</f>
        <v>0</v>
      </c>
      <c r="I8" s="38">
        <f>Process04!G13</f>
        <v>0</v>
      </c>
      <c r="J8" s="38">
        <f>Process04!H13</f>
        <v>0</v>
      </c>
      <c r="K8" s="38">
        <f>Process04!I13</f>
        <v>0</v>
      </c>
      <c r="L8" s="38">
        <f>Process04!J13</f>
        <v>0</v>
      </c>
      <c r="M8" s="38">
        <f>Process04!K13</f>
        <v>0</v>
      </c>
      <c r="N8" s="38">
        <f>Process04!L13</f>
        <v>0</v>
      </c>
      <c r="O8" s="38">
        <f>Process04!M13</f>
        <v>0</v>
      </c>
      <c r="P8" s="38">
        <f>Process04!N13</f>
        <v>0</v>
      </c>
      <c r="Q8" s="7">
        <f t="shared" si="0"/>
        <v>0</v>
      </c>
      <c r="R8" s="7">
        <f t="shared" si="1"/>
        <v>0</v>
      </c>
      <c r="S8" s="8">
        <f>_TotalsTable[[#This Row],[Employee target in the process
(Limited to N employees)]] - _TotalsTable[[#This Row],[Competence index 
(Limited to N  employees)]]</f>
        <v>4</v>
      </c>
      <c r="T8" s="10">
        <f>4</f>
        <v>4</v>
      </c>
      <c r="U8" s="6"/>
      <c r="V8" s="68" t="s">
        <v>127</v>
      </c>
      <c r="W8" s="77">
        <f>COUNTIF(_TotalsTable[Gap],"1")</f>
        <v>0</v>
      </c>
      <c r="X8" s="6"/>
      <c r="Y8" s="6"/>
      <c r="Z8" s="6"/>
      <c r="AA8" s="6"/>
      <c r="AB8" s="6"/>
      <c r="AC8" s="6"/>
      <c r="AD8" s="6"/>
      <c r="AE8" s="6"/>
      <c r="AF8" s="6"/>
    </row>
    <row r="9" spans="1:32" ht="21" customHeight="1" thickBot="1">
      <c r="A9" s="6"/>
      <c r="B9" s="6"/>
      <c r="C9" s="6"/>
      <c r="D9" s="44" t="str">
        <f>Process05!B2</f>
        <v>&lt;Process05&gt;</v>
      </c>
      <c r="E9" s="38">
        <f>Process05!C13</f>
        <v>0</v>
      </c>
      <c r="F9" s="38">
        <f>Process05!D13</f>
        <v>0</v>
      </c>
      <c r="G9" s="38">
        <f>Process05!E13</f>
        <v>0</v>
      </c>
      <c r="H9" s="38">
        <f>Process05!F13</f>
        <v>0</v>
      </c>
      <c r="I9" s="38">
        <f>Process05!G13</f>
        <v>0</v>
      </c>
      <c r="J9" s="38">
        <f>Process05!H13</f>
        <v>0</v>
      </c>
      <c r="K9" s="38">
        <f>Process05!I13</f>
        <v>0</v>
      </c>
      <c r="L9" s="38">
        <f>Process05!J13</f>
        <v>0</v>
      </c>
      <c r="M9" s="38">
        <f>Process05!K13</f>
        <v>0</v>
      </c>
      <c r="N9" s="38">
        <f>Process05!L13</f>
        <v>0</v>
      </c>
      <c r="O9" s="38">
        <f>Process05!M13</f>
        <v>0</v>
      </c>
      <c r="P9" s="38">
        <f>Process05!N13</f>
        <v>0</v>
      </c>
      <c r="Q9" s="7">
        <f t="shared" si="0"/>
        <v>0</v>
      </c>
      <c r="R9" s="7">
        <f t="shared" si="1"/>
        <v>0</v>
      </c>
      <c r="S9" s="8">
        <f>_TotalsTable[[#This Row],[Employee target in the process
(Limited to N employees)]] - _TotalsTable[[#This Row],[Competence index 
(Limited to N  employees)]]</f>
        <v>4</v>
      </c>
      <c r="T9" s="10">
        <f>4</f>
        <v>4</v>
      </c>
      <c r="U9" s="6"/>
      <c r="V9" s="69" t="s">
        <v>128</v>
      </c>
      <c r="W9" s="78">
        <f>COUNTIF(_TotalsTable[Gap],"0")</f>
        <v>1</v>
      </c>
      <c r="X9" s="6"/>
      <c r="Y9" s="6"/>
      <c r="Z9" s="6"/>
      <c r="AA9" s="6"/>
      <c r="AB9" s="6"/>
      <c r="AC9" s="6"/>
      <c r="AD9" s="6"/>
      <c r="AE9" s="6"/>
      <c r="AF9" s="6"/>
    </row>
    <row r="10" spans="1:32" ht="21" customHeight="1">
      <c r="A10" s="6"/>
      <c r="B10" s="6"/>
      <c r="C10" s="6"/>
      <c r="D10" s="44" t="str">
        <f>Process06!B2</f>
        <v>&lt;Process06&gt;</v>
      </c>
      <c r="E10" s="38">
        <f>Process06!C13</f>
        <v>0</v>
      </c>
      <c r="F10" s="38">
        <f>Process06!D13</f>
        <v>0</v>
      </c>
      <c r="G10" s="38">
        <f>Process06!E13</f>
        <v>0</v>
      </c>
      <c r="H10" s="38">
        <f>Process06!F13</f>
        <v>0</v>
      </c>
      <c r="I10" s="38">
        <f>Process06!G13</f>
        <v>0</v>
      </c>
      <c r="J10" s="38">
        <f>Process06!H13</f>
        <v>0</v>
      </c>
      <c r="K10" s="38">
        <f>Process06!I13</f>
        <v>0</v>
      </c>
      <c r="L10" s="38">
        <f>Process06!J13</f>
        <v>0</v>
      </c>
      <c r="M10" s="38">
        <f>Process06!K13</f>
        <v>0</v>
      </c>
      <c r="N10" s="38">
        <f>Process06!L13</f>
        <v>0</v>
      </c>
      <c r="O10" s="38">
        <f>Process06!M13</f>
        <v>0</v>
      </c>
      <c r="P10" s="38">
        <f>Process06!N13</f>
        <v>0</v>
      </c>
      <c r="Q10" s="7">
        <f t="shared" si="0"/>
        <v>0</v>
      </c>
      <c r="R10" s="7">
        <f t="shared" si="1"/>
        <v>0</v>
      </c>
      <c r="S10" s="8">
        <f>_TotalsTable[[#This Row],[Employee target in the process
(Limited to N employees)]] - _TotalsTable[[#This Row],[Competence index 
(Limited to N  employees)]]</f>
        <v>4</v>
      </c>
      <c r="T10" s="10">
        <f>4</f>
        <v>4</v>
      </c>
      <c r="U10" s="6"/>
      <c r="V10" s="13"/>
      <c r="W10" s="12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1" customHeight="1">
      <c r="A11" s="6"/>
      <c r="B11" s="6"/>
      <c r="C11" s="6"/>
      <c r="D11" s="44" t="str">
        <f>Process07!B2</f>
        <v>&lt;Process07&gt;</v>
      </c>
      <c r="E11" s="38">
        <f>Process07!C13</f>
        <v>0</v>
      </c>
      <c r="F11" s="38">
        <f>Process07!D13</f>
        <v>0</v>
      </c>
      <c r="G11" s="38">
        <f>Process07!E13</f>
        <v>0</v>
      </c>
      <c r="H11" s="38">
        <f>Process07!F13</f>
        <v>0</v>
      </c>
      <c r="I11" s="38">
        <f>Process07!G13</f>
        <v>0</v>
      </c>
      <c r="J11" s="38">
        <f>Process07!H13</f>
        <v>0</v>
      </c>
      <c r="K11" s="38">
        <f>Process07!I13</f>
        <v>0</v>
      </c>
      <c r="L11" s="38">
        <f>Process07!J13</f>
        <v>0</v>
      </c>
      <c r="M11" s="38">
        <f>Process07!K13</f>
        <v>0</v>
      </c>
      <c r="N11" s="38">
        <f>Process07!L13</f>
        <v>0</v>
      </c>
      <c r="O11" s="38">
        <f>Process07!M13</f>
        <v>0</v>
      </c>
      <c r="P11" s="38">
        <f>Process07!N13</f>
        <v>0</v>
      </c>
      <c r="Q11" s="7">
        <f t="shared" si="0"/>
        <v>0</v>
      </c>
      <c r="R11" s="7">
        <f t="shared" si="1"/>
        <v>0</v>
      </c>
      <c r="S11" s="8">
        <f>_TotalsTable[[#This Row],[Employee target in the process
(Limited to N employees)]] - _TotalsTable[[#This Row],[Competence index 
(Limited to N  employees)]]</f>
        <v>4</v>
      </c>
      <c r="T11" s="10">
        <f>4</f>
        <v>4</v>
      </c>
      <c r="U11" s="6"/>
      <c r="V11" s="13"/>
      <c r="W11" s="12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1" customHeight="1">
      <c r="A12" s="6"/>
      <c r="B12" s="6"/>
      <c r="C12" s="6"/>
      <c r="D12" s="44" t="str">
        <f>Process08!B2</f>
        <v>&lt;Process08&gt;</v>
      </c>
      <c r="E12" s="38">
        <f>Process08!C13</f>
        <v>0</v>
      </c>
      <c r="F12" s="38">
        <f>Process08!D13</f>
        <v>0</v>
      </c>
      <c r="G12" s="38">
        <f>Process08!E13</f>
        <v>0</v>
      </c>
      <c r="H12" s="38">
        <f>Process08!F13</f>
        <v>0</v>
      </c>
      <c r="I12" s="38">
        <f>Process08!G13</f>
        <v>0</v>
      </c>
      <c r="J12" s="38">
        <f>Process08!H13</f>
        <v>0</v>
      </c>
      <c r="K12" s="38">
        <f>Process08!I13</f>
        <v>0</v>
      </c>
      <c r="L12" s="38">
        <f>Process08!J13</f>
        <v>0</v>
      </c>
      <c r="M12" s="38">
        <f>Process08!K13</f>
        <v>0</v>
      </c>
      <c r="N12" s="38">
        <f>Process08!L13</f>
        <v>0</v>
      </c>
      <c r="O12" s="38">
        <f>Process08!M13</f>
        <v>0</v>
      </c>
      <c r="P12" s="38">
        <f>Process08!N13</f>
        <v>0</v>
      </c>
      <c r="Q12" s="7">
        <f t="shared" si="0"/>
        <v>0</v>
      </c>
      <c r="R12" s="7">
        <f t="shared" si="1"/>
        <v>0</v>
      </c>
      <c r="S12" s="8">
        <f>_TotalsTable[[#This Row],[Employee target in the process
(Limited to N employees)]] - _TotalsTable[[#This Row],[Competence index 
(Limited to N  employees)]]</f>
        <v>4</v>
      </c>
      <c r="T12" s="10">
        <f>4</f>
        <v>4</v>
      </c>
      <c r="U12" s="6"/>
      <c r="V12" s="48"/>
      <c r="W12" s="11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1" customHeight="1">
      <c r="A13" s="6"/>
      <c r="B13" s="6"/>
      <c r="C13" s="6"/>
      <c r="D13" s="44" t="str">
        <f>Process09!B2</f>
        <v>&lt;Process09&gt;</v>
      </c>
      <c r="E13" s="38">
        <f>Process09!C13</f>
        <v>0</v>
      </c>
      <c r="F13" s="38">
        <f>Process09!D13</f>
        <v>0</v>
      </c>
      <c r="G13" s="38">
        <f>Process09!E13</f>
        <v>0</v>
      </c>
      <c r="H13" s="38">
        <f>Process09!F13</f>
        <v>0</v>
      </c>
      <c r="I13" s="38">
        <f>Process09!G13</f>
        <v>0</v>
      </c>
      <c r="J13" s="38">
        <f>Process09!H13</f>
        <v>0</v>
      </c>
      <c r="K13" s="38">
        <f>Process09!I13</f>
        <v>0</v>
      </c>
      <c r="L13" s="38">
        <f>Process09!J13</f>
        <v>0</v>
      </c>
      <c r="M13" s="38">
        <f>Process09!K13</f>
        <v>0</v>
      </c>
      <c r="N13" s="38">
        <f>Process09!L13</f>
        <v>0</v>
      </c>
      <c r="O13" s="38">
        <f>Process09!M13</f>
        <v>0</v>
      </c>
      <c r="P13" s="38">
        <f>Process09!N13</f>
        <v>0</v>
      </c>
      <c r="Q13" s="7">
        <f t="shared" si="0"/>
        <v>0</v>
      </c>
      <c r="R13" s="7">
        <f t="shared" si="1"/>
        <v>0</v>
      </c>
      <c r="S13" s="8">
        <f>_TotalsTable[[#This Row],[Employee target in the process
(Limited to N employees)]] - _TotalsTable[[#This Row],[Competence index 
(Limited to N  employees)]]</f>
        <v>4</v>
      </c>
      <c r="T13" s="10">
        <f>4</f>
        <v>4</v>
      </c>
      <c r="U13" s="6"/>
      <c r="V13" s="48"/>
      <c r="W13" s="11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1" customHeight="1">
      <c r="A14" s="6"/>
      <c r="B14" s="6"/>
      <c r="C14" s="6"/>
      <c r="D14" s="44" t="str">
        <f>'Process 10'!B2</f>
        <v>&lt;Process 10&gt;</v>
      </c>
      <c r="E14" s="38">
        <f>'Process 10'!C13</f>
        <v>0</v>
      </c>
      <c r="F14" s="38">
        <f>'Process 10'!D13</f>
        <v>0</v>
      </c>
      <c r="G14" s="38">
        <f>'Process 10'!E13</f>
        <v>0</v>
      </c>
      <c r="H14" s="38">
        <f>'Process 10'!F13</f>
        <v>0</v>
      </c>
      <c r="I14" s="38">
        <f>'Process 10'!G13</f>
        <v>0</v>
      </c>
      <c r="J14" s="38">
        <f>'Process 10'!H13</f>
        <v>0</v>
      </c>
      <c r="K14" s="38">
        <f>'Process 10'!I13</f>
        <v>0</v>
      </c>
      <c r="L14" s="38">
        <f>'Process 10'!J13</f>
        <v>0</v>
      </c>
      <c r="M14" s="38">
        <f>'Process 10'!K13</f>
        <v>0</v>
      </c>
      <c r="N14" s="38">
        <f>'Process 10'!L13</f>
        <v>0</v>
      </c>
      <c r="O14" s="38">
        <f>'Process 10'!M13</f>
        <v>0</v>
      </c>
      <c r="P14" s="38">
        <f>'Process 10'!N13</f>
        <v>0</v>
      </c>
      <c r="Q14" s="7">
        <f t="shared" si="0"/>
        <v>0</v>
      </c>
      <c r="R14" s="7">
        <f t="shared" si="1"/>
        <v>0</v>
      </c>
      <c r="S14" s="8">
        <f>_TotalsTable[[#This Row],[Employee target in the process
(Limited to N employees)]] - _TotalsTable[[#This Row],[Competence index 
(Limited to N  employees)]]</f>
        <v>4</v>
      </c>
      <c r="T14" s="10">
        <f>4</f>
        <v>4</v>
      </c>
      <c r="U14" s="6"/>
      <c r="V14" s="48"/>
      <c r="W14" s="11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1" customHeight="1">
      <c r="A15" s="6"/>
      <c r="B15" s="6"/>
      <c r="C15" s="6"/>
      <c r="D15" s="44" t="str">
        <f>'Process 11'!B2</f>
        <v>&lt;Process 11&gt;</v>
      </c>
      <c r="E15" s="38">
        <f>'Process 11'!C13</f>
        <v>0</v>
      </c>
      <c r="F15" s="38">
        <f>'Process 11'!D13</f>
        <v>0</v>
      </c>
      <c r="G15" s="38">
        <f>'Process 11'!E13</f>
        <v>0</v>
      </c>
      <c r="H15" s="38">
        <f>'Process 11'!F13</f>
        <v>0</v>
      </c>
      <c r="I15" s="38">
        <f>'Process 11'!G13</f>
        <v>0</v>
      </c>
      <c r="J15" s="38">
        <f>'Process 11'!H13</f>
        <v>0</v>
      </c>
      <c r="K15" s="38">
        <f>'Process 11'!I13</f>
        <v>0</v>
      </c>
      <c r="L15" s="38">
        <f>'Process 11'!J13</f>
        <v>0</v>
      </c>
      <c r="M15" s="38">
        <f>'Process 11'!K13</f>
        <v>0</v>
      </c>
      <c r="N15" s="38">
        <f>'Process 11'!L13</f>
        <v>0</v>
      </c>
      <c r="O15" s="38">
        <f>'Process 11'!M13</f>
        <v>0</v>
      </c>
      <c r="P15" s="38">
        <f>'Process 11'!N13</f>
        <v>0</v>
      </c>
      <c r="Q15" s="7">
        <f t="shared" si="0"/>
        <v>0</v>
      </c>
      <c r="R15" s="7">
        <f t="shared" si="1"/>
        <v>0</v>
      </c>
      <c r="S15" s="8">
        <f>_TotalsTable[[#This Row],[Employee target in the process
(Limited to N employees)]] - _TotalsTable[[#This Row],[Competence index 
(Limited to N  employees)]]</f>
        <v>4</v>
      </c>
      <c r="T15" s="10">
        <f>4</f>
        <v>4</v>
      </c>
      <c r="U15" s="6"/>
      <c r="V15" s="48"/>
      <c r="W15" s="11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1" customHeight="1">
      <c r="A16" s="6"/>
      <c r="B16" s="6"/>
      <c r="C16" s="6"/>
      <c r="D16" s="44" t="str">
        <f>'Process 12'!B2</f>
        <v>&lt;Process 12&gt;</v>
      </c>
      <c r="E16" s="38">
        <f>'Process 12'!C13</f>
        <v>0</v>
      </c>
      <c r="F16" s="38">
        <f>'Process 12'!D13</f>
        <v>0</v>
      </c>
      <c r="G16" s="38">
        <f>'Process 12'!E13</f>
        <v>0</v>
      </c>
      <c r="H16" s="38">
        <f>'Process 12'!F13</f>
        <v>0</v>
      </c>
      <c r="I16" s="38">
        <f>'Process 12'!G13</f>
        <v>0</v>
      </c>
      <c r="J16" s="38">
        <f>'Process 12'!H13</f>
        <v>0</v>
      </c>
      <c r="K16" s="38">
        <f>'Process 12'!I13</f>
        <v>0</v>
      </c>
      <c r="L16" s="38">
        <f>'Process 12'!J13</f>
        <v>0</v>
      </c>
      <c r="M16" s="38">
        <f>'Process 12'!K13</f>
        <v>0</v>
      </c>
      <c r="N16" s="38">
        <f>'Process 12'!L13</f>
        <v>0</v>
      </c>
      <c r="O16" s="38">
        <f>'Process 12'!M13</f>
        <v>0</v>
      </c>
      <c r="P16" s="38">
        <f>'Process 12'!N13</f>
        <v>0</v>
      </c>
      <c r="Q16" s="7">
        <f t="shared" si="0"/>
        <v>0</v>
      </c>
      <c r="R16" s="7">
        <f t="shared" si="1"/>
        <v>0</v>
      </c>
      <c r="S16" s="8">
        <f>_TotalsTable[[#This Row],[Employee target in the process
(Limited to N employees)]] - _TotalsTable[[#This Row],[Competence index 
(Limited to N  employees)]]</f>
        <v>4</v>
      </c>
      <c r="T16" s="10">
        <f>4</f>
        <v>4</v>
      </c>
      <c r="U16" s="6"/>
      <c r="V16" s="48"/>
      <c r="W16" s="11"/>
      <c r="X16" s="6"/>
      <c r="Y16" s="6"/>
      <c r="Z16" s="6"/>
      <c r="AA16" s="6"/>
      <c r="AB16" s="6"/>
      <c r="AC16" s="6"/>
      <c r="AD16" s="6"/>
      <c r="AE16" s="6"/>
      <c r="AF16" s="6"/>
    </row>
    <row r="17" spans="1:32" ht="21" customHeight="1">
      <c r="A17" s="6"/>
      <c r="B17" s="6"/>
      <c r="C17" s="6"/>
      <c r="D17" s="44" t="str">
        <f>'Process 13'!B2</f>
        <v>&lt;Process 13&gt;</v>
      </c>
      <c r="E17" s="38">
        <f>'Process 13'!C13</f>
        <v>0</v>
      </c>
      <c r="F17" s="38">
        <f>'Process 13'!D13</f>
        <v>0</v>
      </c>
      <c r="G17" s="38">
        <f>'Process 13'!E13</f>
        <v>0</v>
      </c>
      <c r="H17" s="38">
        <f>'Process 13'!F13</f>
        <v>0</v>
      </c>
      <c r="I17" s="38">
        <f>'Process 13'!G13</f>
        <v>0</v>
      </c>
      <c r="J17" s="38">
        <f>'Process 13'!H13</f>
        <v>0</v>
      </c>
      <c r="K17" s="38">
        <f>'Process 13'!I13</f>
        <v>0</v>
      </c>
      <c r="L17" s="38">
        <f>'Process 13'!J13</f>
        <v>0</v>
      </c>
      <c r="M17" s="38">
        <f>'Process 13'!K13</f>
        <v>0</v>
      </c>
      <c r="N17" s="38">
        <f>'Process 13'!L13</f>
        <v>0</v>
      </c>
      <c r="O17" s="38">
        <f>'Process 13'!M13</f>
        <v>0</v>
      </c>
      <c r="P17" s="38">
        <f>'Process 13'!N13</f>
        <v>0</v>
      </c>
      <c r="Q17" s="7">
        <f t="shared" si="0"/>
        <v>0</v>
      </c>
      <c r="R17" s="7">
        <f t="shared" si="1"/>
        <v>0</v>
      </c>
      <c r="S17" s="8">
        <f>_TotalsTable[[#This Row],[Employee target in the process
(Limited to N employees)]] - _TotalsTable[[#This Row],[Competence index 
(Limited to N  employees)]]</f>
        <v>4</v>
      </c>
      <c r="T17" s="10">
        <f>4</f>
        <v>4</v>
      </c>
      <c r="U17" s="6"/>
      <c r="V17" s="48"/>
      <c r="W17" s="11"/>
      <c r="X17" s="6"/>
      <c r="Y17" s="6"/>
      <c r="Z17" s="6"/>
      <c r="AA17" s="6"/>
      <c r="AB17" s="6"/>
      <c r="AC17" s="6"/>
      <c r="AD17" s="6"/>
      <c r="AE17" s="6"/>
      <c r="AF17" s="6"/>
    </row>
    <row r="18" spans="1:32" ht="21" customHeight="1">
      <c r="A18" s="6"/>
      <c r="B18" s="6"/>
      <c r="C18" s="6"/>
      <c r="D18" s="44" t="str">
        <f>'Process 14'!B2</f>
        <v>&lt;Process 14&gt;</v>
      </c>
      <c r="E18" s="38">
        <f>'Process 14'!C13</f>
        <v>0</v>
      </c>
      <c r="F18" s="38">
        <f>'Process 14'!D13</f>
        <v>0</v>
      </c>
      <c r="G18" s="38">
        <f>'Process 14'!E13</f>
        <v>0</v>
      </c>
      <c r="H18" s="38">
        <f>'Process 14'!F13</f>
        <v>0</v>
      </c>
      <c r="I18" s="38">
        <f>'Process 14'!G13</f>
        <v>0</v>
      </c>
      <c r="J18" s="38">
        <f>'Process 14'!H13</f>
        <v>0</v>
      </c>
      <c r="K18" s="38">
        <f>'Process 14'!I13</f>
        <v>0</v>
      </c>
      <c r="L18" s="38">
        <f>'Process 14'!J13</f>
        <v>0</v>
      </c>
      <c r="M18" s="38">
        <f>'Process 14'!K13</f>
        <v>0</v>
      </c>
      <c r="N18" s="38">
        <f>'Process 14'!L13</f>
        <v>0</v>
      </c>
      <c r="O18" s="38">
        <f>'Process 14'!M13</f>
        <v>0</v>
      </c>
      <c r="P18" s="38">
        <f>'Process 14'!N13</f>
        <v>0</v>
      </c>
      <c r="Q18" s="7">
        <f t="shared" si="0"/>
        <v>0</v>
      </c>
      <c r="R18" s="7">
        <f t="shared" si="1"/>
        <v>0</v>
      </c>
      <c r="S18" s="8">
        <f>_TotalsTable[[#This Row],[Employee target in the process
(Limited to N employees)]] - _TotalsTable[[#This Row],[Competence index 
(Limited to N  employees)]]</f>
        <v>4</v>
      </c>
      <c r="T18" s="10">
        <f>4</f>
        <v>4</v>
      </c>
      <c r="U18" s="6"/>
      <c r="V18" s="48"/>
      <c r="W18" s="11"/>
      <c r="X18" s="6"/>
      <c r="Y18" s="6"/>
      <c r="Z18" s="6"/>
      <c r="AA18" s="6"/>
      <c r="AB18" s="6"/>
      <c r="AC18" s="6"/>
      <c r="AD18" s="6"/>
      <c r="AE18" s="6"/>
      <c r="AF18" s="6"/>
    </row>
    <row r="19" spans="1:32" ht="21" customHeight="1">
      <c r="A19" s="6"/>
      <c r="B19" s="6"/>
      <c r="C19" s="6"/>
      <c r="D19" s="44" t="str">
        <f>'Process 15'!B2</f>
        <v>&lt;Process 15&gt;</v>
      </c>
      <c r="E19" s="38">
        <f>'Process 15'!C13</f>
        <v>0</v>
      </c>
      <c r="F19" s="38">
        <f>'Process 15'!D13</f>
        <v>0</v>
      </c>
      <c r="G19" s="38">
        <f>'Process 15'!E13</f>
        <v>0</v>
      </c>
      <c r="H19" s="38">
        <f>'Process 15'!F13</f>
        <v>0</v>
      </c>
      <c r="I19" s="38">
        <f>'Process 15'!G13</f>
        <v>0</v>
      </c>
      <c r="J19" s="38">
        <f>'Process 15'!H13</f>
        <v>0</v>
      </c>
      <c r="K19" s="38">
        <f>'Process 15'!I13</f>
        <v>0</v>
      </c>
      <c r="L19" s="38">
        <f>'Process 15'!J13</f>
        <v>0</v>
      </c>
      <c r="M19" s="38">
        <f>'Process 15'!K13</f>
        <v>0</v>
      </c>
      <c r="N19" s="38">
        <f>'Process 15'!L13</f>
        <v>0</v>
      </c>
      <c r="O19" s="38">
        <f>'Process 15'!M13</f>
        <v>0</v>
      </c>
      <c r="P19" s="38">
        <f>'Process 15'!N13</f>
        <v>0</v>
      </c>
      <c r="Q19" s="7">
        <f t="shared" si="0"/>
        <v>0</v>
      </c>
      <c r="R19" s="7">
        <f t="shared" si="1"/>
        <v>0</v>
      </c>
      <c r="S19" s="8">
        <f>_TotalsTable[[#This Row],[Employee target in the process
(Limited to N employees)]] - _TotalsTable[[#This Row],[Competence index 
(Limited to N  employees)]]</f>
        <v>4</v>
      </c>
      <c r="T19" s="10">
        <f>4</f>
        <v>4</v>
      </c>
      <c r="U19" s="6"/>
      <c r="V19" s="11"/>
      <c r="W19" s="11"/>
      <c r="X19" s="6"/>
      <c r="Y19" s="6"/>
      <c r="Z19" s="6"/>
      <c r="AA19" s="6"/>
      <c r="AB19" s="6"/>
      <c r="AC19" s="6"/>
      <c r="AD19" s="6"/>
      <c r="AE19" s="6"/>
      <c r="AF19" s="6"/>
    </row>
    <row r="20" spans="1:32" ht="21" customHeight="1">
      <c r="A20" s="6"/>
      <c r="B20" s="6"/>
      <c r="C20" s="6"/>
      <c r="D20" s="44" t="str">
        <f>'Process 16'!B2</f>
        <v>&lt;Process 16&gt;</v>
      </c>
      <c r="E20" s="38">
        <f>'Process 16'!C13</f>
        <v>0</v>
      </c>
      <c r="F20" s="38">
        <f>'Process 16'!D13</f>
        <v>0</v>
      </c>
      <c r="G20" s="38">
        <f>'Process 16'!E13</f>
        <v>0</v>
      </c>
      <c r="H20" s="38">
        <f>'Process 16'!F13</f>
        <v>0</v>
      </c>
      <c r="I20" s="38">
        <f>'Process 16'!G13</f>
        <v>0</v>
      </c>
      <c r="J20" s="38">
        <f>'Process 16'!H13</f>
        <v>0</v>
      </c>
      <c r="K20" s="38">
        <f>'Process 16'!I13</f>
        <v>0</v>
      </c>
      <c r="L20" s="38">
        <f>'Process 16'!J13</f>
        <v>0</v>
      </c>
      <c r="M20" s="38">
        <f>'Process 16'!K13</f>
        <v>0</v>
      </c>
      <c r="N20" s="38">
        <f>'Process 16'!L13</f>
        <v>0</v>
      </c>
      <c r="O20" s="38">
        <f>'Process 16'!M13</f>
        <v>0</v>
      </c>
      <c r="P20" s="38">
        <f>'Process 16'!N13</f>
        <v>0</v>
      </c>
      <c r="Q20" s="7">
        <f t="shared" si="0"/>
        <v>0</v>
      </c>
      <c r="R20" s="7">
        <f t="shared" si="1"/>
        <v>0</v>
      </c>
      <c r="S20" s="8">
        <f>_TotalsTable[[#This Row],[Employee target in the process
(Limited to N employees)]] - _TotalsTable[[#This Row],[Competence index 
(Limited to N  employees)]]</f>
        <v>4</v>
      </c>
      <c r="T20" s="10">
        <f>4</f>
        <v>4</v>
      </c>
      <c r="U20" s="6"/>
      <c r="V20" s="11"/>
      <c r="W20" s="11"/>
      <c r="X20" s="6"/>
      <c r="Y20" s="6"/>
      <c r="Z20" s="6"/>
      <c r="AA20" s="6"/>
      <c r="AB20" s="6"/>
      <c r="AC20" s="6"/>
      <c r="AD20" s="6"/>
      <c r="AE20" s="6"/>
      <c r="AF20" s="6"/>
    </row>
    <row r="21" spans="1:32" ht="21" customHeight="1">
      <c r="A21" s="6"/>
      <c r="B21" s="6"/>
      <c r="C21" s="6"/>
      <c r="D21" s="44" t="str">
        <f>'Process 17'!B2</f>
        <v>&lt;Process 17&gt;</v>
      </c>
      <c r="E21" s="38">
        <f>'Process 17'!C13</f>
        <v>0</v>
      </c>
      <c r="F21" s="38">
        <f>'Process 17'!D13</f>
        <v>0</v>
      </c>
      <c r="G21" s="38">
        <f>'Process 17'!E13</f>
        <v>0</v>
      </c>
      <c r="H21" s="38">
        <f>'Process 17'!F13</f>
        <v>0</v>
      </c>
      <c r="I21" s="38">
        <f>'Process 17'!G13</f>
        <v>0</v>
      </c>
      <c r="J21" s="38">
        <f>'Process 17'!H13</f>
        <v>0</v>
      </c>
      <c r="K21" s="38">
        <f>'Process 17'!I13</f>
        <v>0</v>
      </c>
      <c r="L21" s="38">
        <f>'Process 17'!J13</f>
        <v>0</v>
      </c>
      <c r="M21" s="38">
        <f>'Process 17'!K13</f>
        <v>0</v>
      </c>
      <c r="N21" s="38">
        <f>'Process 17'!L13</f>
        <v>0</v>
      </c>
      <c r="O21" s="38">
        <f>'Process 17'!M13</f>
        <v>0</v>
      </c>
      <c r="P21" s="38">
        <f>'Process 17'!N13</f>
        <v>0</v>
      </c>
      <c r="Q21" s="7">
        <f t="shared" si="0"/>
        <v>0</v>
      </c>
      <c r="R21" s="7">
        <f t="shared" si="1"/>
        <v>0</v>
      </c>
      <c r="S21" s="8">
        <f>_TotalsTable[[#This Row],[Employee target in the process
(Limited to N employees)]] - _TotalsTable[[#This Row],[Competence index 
(Limited to N  employees)]]</f>
        <v>4</v>
      </c>
      <c r="T21" s="10">
        <f>4</f>
        <v>4</v>
      </c>
      <c r="U21" s="6"/>
      <c r="V21" s="11"/>
      <c r="W21" s="11"/>
      <c r="X21" s="6"/>
      <c r="Y21" s="6"/>
      <c r="Z21" s="6"/>
      <c r="AA21" s="6"/>
      <c r="AB21" s="6"/>
      <c r="AC21" s="6"/>
      <c r="AD21" s="6"/>
      <c r="AE21" s="6"/>
      <c r="AF21" s="6"/>
    </row>
    <row r="22" spans="1:32" ht="21" customHeight="1">
      <c r="A22" s="6"/>
      <c r="B22" s="6"/>
      <c r="C22" s="6"/>
      <c r="D22" s="44" t="str">
        <f>'Process 18'!B2</f>
        <v>&lt;Process 18&gt;</v>
      </c>
      <c r="E22" s="38">
        <f>'Process 18'!C13</f>
        <v>0</v>
      </c>
      <c r="F22" s="38">
        <f>'Process 18'!D13</f>
        <v>0</v>
      </c>
      <c r="G22" s="38">
        <f>'Process 18'!E13</f>
        <v>0</v>
      </c>
      <c r="H22" s="38">
        <f>'Process 18'!F13</f>
        <v>0</v>
      </c>
      <c r="I22" s="38">
        <f>'Process 18'!G13</f>
        <v>0</v>
      </c>
      <c r="J22" s="38">
        <f>'Process 18'!H13</f>
        <v>0</v>
      </c>
      <c r="K22" s="38">
        <f>'Process 18'!I13</f>
        <v>0</v>
      </c>
      <c r="L22" s="38">
        <f>'Process 18'!J13</f>
        <v>0</v>
      </c>
      <c r="M22" s="38">
        <f>'Process 18'!K13</f>
        <v>0</v>
      </c>
      <c r="N22" s="38">
        <f>'Process 18'!L13</f>
        <v>0</v>
      </c>
      <c r="O22" s="38">
        <f>'Process 18'!M13</f>
        <v>0</v>
      </c>
      <c r="P22" s="38">
        <f>'Process 18'!N13</f>
        <v>0</v>
      </c>
      <c r="Q22" s="7">
        <f t="shared" si="0"/>
        <v>0</v>
      </c>
      <c r="R22" s="7">
        <f t="shared" si="1"/>
        <v>0</v>
      </c>
      <c r="S22" s="8">
        <f>_TotalsTable[[#This Row],[Employee target in the process
(Limited to N employees)]] - _TotalsTable[[#This Row],[Competence index 
(Limited to N  employees)]]</f>
        <v>4</v>
      </c>
      <c r="T22" s="10">
        <f>4</f>
        <v>4</v>
      </c>
      <c r="U22" s="6"/>
      <c r="V22" s="11"/>
      <c r="W22" s="11"/>
      <c r="X22" s="6"/>
      <c r="Y22" s="6"/>
      <c r="Z22" s="6"/>
      <c r="AA22" s="6"/>
      <c r="AB22" s="6"/>
      <c r="AC22" s="6"/>
      <c r="AD22" s="6"/>
      <c r="AE22" s="6"/>
      <c r="AF22" s="6"/>
    </row>
    <row r="23" spans="1:32" ht="21" customHeight="1">
      <c r="A23" s="6"/>
      <c r="B23" s="6"/>
      <c r="C23" s="6"/>
      <c r="D23" s="44" t="str">
        <f>'Process 19'!B2</f>
        <v>&lt;Process 19&gt;</v>
      </c>
      <c r="E23" s="38">
        <f>'Process 19'!C13</f>
        <v>0</v>
      </c>
      <c r="F23" s="38">
        <f>'Process 19'!D13</f>
        <v>0</v>
      </c>
      <c r="G23" s="38">
        <f>'Process 19'!E13</f>
        <v>0</v>
      </c>
      <c r="H23" s="38">
        <f>'Process 19'!F13</f>
        <v>0</v>
      </c>
      <c r="I23" s="38">
        <f>'Process 19'!G13</f>
        <v>0</v>
      </c>
      <c r="J23" s="38">
        <f>'Process 19'!H13</f>
        <v>0</v>
      </c>
      <c r="K23" s="38">
        <f>'Process 19'!I13</f>
        <v>0</v>
      </c>
      <c r="L23" s="38">
        <f>'Process 19'!J13</f>
        <v>0</v>
      </c>
      <c r="M23" s="38">
        <f>'Process 19'!K13</f>
        <v>0</v>
      </c>
      <c r="N23" s="38">
        <f>'Process 19'!L13</f>
        <v>0</v>
      </c>
      <c r="O23" s="38">
        <f>'Process 19'!M13</f>
        <v>0</v>
      </c>
      <c r="P23" s="38">
        <f>'Process 19'!N13</f>
        <v>0</v>
      </c>
      <c r="Q23" s="7">
        <f t="shared" si="0"/>
        <v>0</v>
      </c>
      <c r="R23" s="7">
        <f t="shared" si="1"/>
        <v>0</v>
      </c>
      <c r="S23" s="8">
        <f>_TotalsTable[[#This Row],[Employee target in the process
(Limited to N employees)]] - _TotalsTable[[#This Row],[Competence index 
(Limited to N  employees)]]</f>
        <v>4</v>
      </c>
      <c r="T23" s="10">
        <f>4</f>
        <v>4</v>
      </c>
      <c r="U23" s="6"/>
      <c r="V23" s="11"/>
      <c r="W23" s="11"/>
      <c r="X23" s="6"/>
      <c r="Y23" s="6"/>
      <c r="Z23" s="6"/>
      <c r="AA23" s="6"/>
      <c r="AB23" s="6"/>
      <c r="AC23" s="6"/>
      <c r="AD23" s="6"/>
      <c r="AE23" s="6"/>
      <c r="AF23" s="6"/>
    </row>
    <row r="24" spans="1:32" ht="21" customHeight="1">
      <c r="A24" s="6"/>
      <c r="B24" s="6"/>
      <c r="C24" s="6"/>
      <c r="D24" s="44" t="str">
        <f>'Process 20'!B2</f>
        <v>&lt;Process 20&gt;</v>
      </c>
      <c r="E24" s="38">
        <f>'Process 20'!C13</f>
        <v>0</v>
      </c>
      <c r="F24" s="38">
        <f>'Process 20'!D13</f>
        <v>0</v>
      </c>
      <c r="G24" s="38">
        <f>'Process 20'!E13</f>
        <v>0</v>
      </c>
      <c r="H24" s="38">
        <f>'Process 20'!F13</f>
        <v>0</v>
      </c>
      <c r="I24" s="38">
        <f>'Process 20'!G13</f>
        <v>0</v>
      </c>
      <c r="J24" s="38">
        <f>'Process 20'!H13</f>
        <v>0</v>
      </c>
      <c r="K24" s="38">
        <f>'Process 20'!I13</f>
        <v>0</v>
      </c>
      <c r="L24" s="38">
        <f>'Process 20'!J13</f>
        <v>0</v>
      </c>
      <c r="M24" s="38">
        <f>'Process 20'!K13</f>
        <v>0</v>
      </c>
      <c r="N24" s="38">
        <f>'Process 20'!L13</f>
        <v>0</v>
      </c>
      <c r="O24" s="38">
        <f>'Process 20'!M13</f>
        <v>0</v>
      </c>
      <c r="P24" s="38">
        <f>'Process 20'!N13</f>
        <v>0</v>
      </c>
      <c r="Q24" s="7">
        <f t="shared" si="0"/>
        <v>0</v>
      </c>
      <c r="R24" s="7">
        <f t="shared" si="1"/>
        <v>0</v>
      </c>
      <c r="S24" s="8">
        <f>_TotalsTable[[#This Row],[Employee target in the process
(Limited to N employees)]] - _TotalsTable[[#This Row],[Competence index 
(Limited to N  employees)]]</f>
        <v>4</v>
      </c>
      <c r="T24" s="10">
        <f>4</f>
        <v>4</v>
      </c>
      <c r="U24" s="6"/>
      <c r="V24" s="11"/>
      <c r="W24" s="11"/>
      <c r="X24" s="6"/>
      <c r="Y24" s="6"/>
      <c r="Z24" s="6"/>
      <c r="AA24" s="6"/>
      <c r="AB24" s="6"/>
      <c r="AC24" s="6"/>
      <c r="AD24" s="6"/>
      <c r="AE24" s="6"/>
      <c r="AF24" s="6"/>
    </row>
    <row r="25" spans="1:32" ht="21" customHeight="1">
      <c r="A25" s="6"/>
      <c r="B25" s="6"/>
      <c r="C25" s="6"/>
      <c r="D25" s="44" t="str">
        <f>'Process 21'!B2</f>
        <v>&lt;Process 21&gt;</v>
      </c>
      <c r="E25" s="38">
        <f>'Process 21'!C13</f>
        <v>0</v>
      </c>
      <c r="F25" s="38">
        <f>'Process 21'!D13</f>
        <v>0</v>
      </c>
      <c r="G25" s="38">
        <f>'Process 21'!E13</f>
        <v>0</v>
      </c>
      <c r="H25" s="38">
        <f>'Process 21'!F13</f>
        <v>0</v>
      </c>
      <c r="I25" s="38">
        <f>'Process 21'!G13</f>
        <v>0</v>
      </c>
      <c r="J25" s="38">
        <f>'Process 21'!H13</f>
        <v>0</v>
      </c>
      <c r="K25" s="38">
        <f>'Process 21'!I13</f>
        <v>0</v>
      </c>
      <c r="L25" s="38">
        <f>'Process 21'!J13</f>
        <v>0</v>
      </c>
      <c r="M25" s="38">
        <f>'Process 21'!K13</f>
        <v>0</v>
      </c>
      <c r="N25" s="38">
        <f>'Process 21'!L13</f>
        <v>0</v>
      </c>
      <c r="O25" s="38">
        <f>'Process 21'!M13</f>
        <v>0</v>
      </c>
      <c r="P25" s="38">
        <f>'Process 21'!N13</f>
        <v>0</v>
      </c>
      <c r="Q25" s="7">
        <f t="shared" si="0"/>
        <v>0</v>
      </c>
      <c r="R25" s="7">
        <f t="shared" si="1"/>
        <v>0</v>
      </c>
      <c r="S25" s="8">
        <f>_TotalsTable[[#This Row],[Employee target in the process
(Limited to N employees)]] - _TotalsTable[[#This Row],[Competence index 
(Limited to N  employees)]]</f>
        <v>4</v>
      </c>
      <c r="T25" s="10">
        <f>4</f>
        <v>4</v>
      </c>
      <c r="U25" s="6"/>
      <c r="V25" s="11"/>
      <c r="W25" s="11"/>
      <c r="X25" s="6"/>
      <c r="Y25" s="6"/>
      <c r="Z25" s="6"/>
      <c r="AA25" s="6"/>
      <c r="AB25" s="6"/>
      <c r="AC25" s="6"/>
      <c r="AD25" s="6"/>
      <c r="AE25" s="6"/>
      <c r="AF25" s="6"/>
    </row>
    <row r="26" spans="1:32" ht="21" customHeight="1">
      <c r="A26" s="6"/>
      <c r="B26" s="6"/>
      <c r="C26" s="6"/>
      <c r="D26" s="44" t="str">
        <f>'Process 22'!B2</f>
        <v>&lt;Process 22&gt;</v>
      </c>
      <c r="E26" s="38">
        <f>'Process 22'!C13</f>
        <v>0</v>
      </c>
      <c r="F26" s="38">
        <f>'Process 22'!D13</f>
        <v>0</v>
      </c>
      <c r="G26" s="38">
        <f>'Process 22'!E13</f>
        <v>0</v>
      </c>
      <c r="H26" s="38">
        <f>'Process 22'!F13</f>
        <v>0</v>
      </c>
      <c r="I26" s="38">
        <f>'Process 22'!G13</f>
        <v>0</v>
      </c>
      <c r="J26" s="38">
        <f>'Process 22'!H13</f>
        <v>0</v>
      </c>
      <c r="K26" s="38">
        <f>'Process 22'!I13</f>
        <v>0</v>
      </c>
      <c r="L26" s="38">
        <f>'Process 22'!J13</f>
        <v>0</v>
      </c>
      <c r="M26" s="38">
        <f>'Process 22'!K13</f>
        <v>0</v>
      </c>
      <c r="N26" s="38">
        <f>'Process 22'!L13</f>
        <v>0</v>
      </c>
      <c r="O26" s="38">
        <f>'Process 22'!M13</f>
        <v>0</v>
      </c>
      <c r="P26" s="38">
        <f>'Process 22'!N13</f>
        <v>0</v>
      </c>
      <c r="Q26" s="7">
        <f t="shared" si="0"/>
        <v>0</v>
      </c>
      <c r="R26" s="7">
        <f t="shared" si="1"/>
        <v>0</v>
      </c>
      <c r="S26" s="8">
        <f>_TotalsTable[[#This Row],[Employee target in the process
(Limited to N employees)]] - _TotalsTable[[#This Row],[Competence index 
(Limited to N  employees)]]</f>
        <v>4</v>
      </c>
      <c r="T26" s="10">
        <f>4</f>
        <v>4</v>
      </c>
      <c r="U26" s="6"/>
      <c r="V26" s="11"/>
      <c r="W26" s="11"/>
      <c r="X26" s="6"/>
      <c r="Y26" s="6"/>
      <c r="Z26" s="6"/>
      <c r="AA26" s="6"/>
      <c r="AB26" s="6"/>
      <c r="AC26" s="6"/>
      <c r="AD26" s="6"/>
      <c r="AE26" s="6"/>
      <c r="AF26" s="6"/>
    </row>
    <row r="27" spans="1:32" ht="21" customHeight="1">
      <c r="A27" s="6"/>
      <c r="B27" s="6"/>
      <c r="C27" s="6"/>
      <c r="D27" s="44" t="str">
        <f>'Process 23'!B2</f>
        <v>&lt;Process 23&gt;</v>
      </c>
      <c r="E27" s="38">
        <f>'Process 23'!C13</f>
        <v>0</v>
      </c>
      <c r="F27" s="38">
        <f>'Process 23'!D13</f>
        <v>0</v>
      </c>
      <c r="G27" s="38">
        <f>'Process 23'!E13</f>
        <v>0</v>
      </c>
      <c r="H27" s="38">
        <f>'Process 23'!F13</f>
        <v>0</v>
      </c>
      <c r="I27" s="38">
        <f>'Process 23'!G13</f>
        <v>0</v>
      </c>
      <c r="J27" s="38">
        <f>'Process 23'!H13</f>
        <v>0</v>
      </c>
      <c r="K27" s="38">
        <f>'Process 23'!I13</f>
        <v>0</v>
      </c>
      <c r="L27" s="38">
        <f>'Process 23'!J13</f>
        <v>0</v>
      </c>
      <c r="M27" s="38">
        <f>'Process 23'!K13</f>
        <v>0</v>
      </c>
      <c r="N27" s="38">
        <f>'Process 23'!L13</f>
        <v>0</v>
      </c>
      <c r="O27" s="38">
        <f>'Process 23'!M13</f>
        <v>0</v>
      </c>
      <c r="P27" s="38">
        <f>'Process 23'!N13</f>
        <v>0</v>
      </c>
      <c r="Q27" s="7">
        <f t="shared" si="0"/>
        <v>0</v>
      </c>
      <c r="R27" s="7">
        <f t="shared" si="1"/>
        <v>0</v>
      </c>
      <c r="S27" s="8">
        <f>_TotalsTable[[#This Row],[Employee target in the process
(Limited to N employees)]] - _TotalsTable[[#This Row],[Competence index 
(Limited to N  employees)]]</f>
        <v>4</v>
      </c>
      <c r="T27" s="10">
        <f>4</f>
        <v>4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21" customHeight="1">
      <c r="A28" s="6"/>
      <c r="B28" s="6"/>
      <c r="C28" s="6"/>
      <c r="D28" s="44" t="str">
        <f>'Process 24'!B2</f>
        <v>&lt;Process 24&gt;</v>
      </c>
      <c r="E28" s="38">
        <f>'Process 24'!C13</f>
        <v>0</v>
      </c>
      <c r="F28" s="38">
        <f>'Process 24'!D13</f>
        <v>0</v>
      </c>
      <c r="G28" s="38">
        <f>'Process 24'!E13</f>
        <v>0</v>
      </c>
      <c r="H28" s="38">
        <f>'Process 24'!F13</f>
        <v>0</v>
      </c>
      <c r="I28" s="38">
        <f>'Process 24'!G13</f>
        <v>0</v>
      </c>
      <c r="J28" s="38">
        <f>'Process 24'!H13</f>
        <v>0</v>
      </c>
      <c r="K28" s="38">
        <f>'Process 24'!I13</f>
        <v>0</v>
      </c>
      <c r="L28" s="38">
        <f>'Process 24'!J13</f>
        <v>0</v>
      </c>
      <c r="M28" s="38">
        <f>'Process 24'!K13</f>
        <v>0</v>
      </c>
      <c r="N28" s="38">
        <f>'Process 24'!L13</f>
        <v>0</v>
      </c>
      <c r="O28" s="38">
        <f>'Process 24'!M13</f>
        <v>0</v>
      </c>
      <c r="P28" s="38">
        <f>'Process 24'!N13</f>
        <v>0</v>
      </c>
      <c r="Q28" s="7">
        <f t="shared" si="0"/>
        <v>0</v>
      </c>
      <c r="R28" s="7">
        <f t="shared" si="1"/>
        <v>0</v>
      </c>
      <c r="S28" s="8">
        <f>_TotalsTable[[#This Row],[Employee target in the process
(Limited to N employees)]] - _TotalsTable[[#This Row],[Competence index 
(Limited to N  employees)]]</f>
        <v>4</v>
      </c>
      <c r="T28" s="10">
        <f>4</f>
        <v>4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21" customHeight="1">
      <c r="A29" s="6"/>
      <c r="B29" s="6"/>
      <c r="C29" s="6"/>
      <c r="D29" s="44" t="str">
        <f>'Process 25'!B2</f>
        <v>&lt;Process 25&gt;</v>
      </c>
      <c r="E29" s="38">
        <f>'Process 25'!C13</f>
        <v>0</v>
      </c>
      <c r="F29" s="38">
        <f>'Process 25'!D13</f>
        <v>0</v>
      </c>
      <c r="G29" s="38">
        <f>'Process 25'!E13</f>
        <v>0</v>
      </c>
      <c r="H29" s="38">
        <f>'Process 25'!F13</f>
        <v>0</v>
      </c>
      <c r="I29" s="38">
        <f>'Process 25'!G13</f>
        <v>0</v>
      </c>
      <c r="J29" s="38">
        <f>'Process 25'!H13</f>
        <v>0</v>
      </c>
      <c r="K29" s="38">
        <f>'Process 25'!I13</f>
        <v>0</v>
      </c>
      <c r="L29" s="38">
        <f>'Process 25'!J13</f>
        <v>0</v>
      </c>
      <c r="M29" s="38">
        <f>'Process 25'!K13</f>
        <v>0</v>
      </c>
      <c r="N29" s="38">
        <f>'Process 25'!L13</f>
        <v>0</v>
      </c>
      <c r="O29" s="38">
        <f>'Process 25'!M13</f>
        <v>0</v>
      </c>
      <c r="P29" s="38">
        <f>'Process 25'!N13</f>
        <v>0</v>
      </c>
      <c r="Q29" s="7">
        <f t="shared" si="0"/>
        <v>0</v>
      </c>
      <c r="R29" s="7">
        <f t="shared" si="1"/>
        <v>0</v>
      </c>
      <c r="S29" s="8">
        <f>_TotalsTable[[#This Row],[Employee target in the process
(Limited to N employees)]] - _TotalsTable[[#This Row],[Competence index 
(Limited to N  employees)]]</f>
        <v>4</v>
      </c>
      <c r="T29" s="10">
        <f>4</f>
        <v>4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21" customHeight="1">
      <c r="A30" s="6"/>
      <c r="B30" s="6"/>
      <c r="C30" s="6"/>
      <c r="D30" s="44" t="str">
        <f>'Process 26'!B2</f>
        <v>&lt;Process 26&gt;</v>
      </c>
      <c r="E30" s="38">
        <f>'Process 26'!C13</f>
        <v>0</v>
      </c>
      <c r="F30" s="38">
        <f>'Process 26'!D13</f>
        <v>0</v>
      </c>
      <c r="G30" s="38">
        <f>'Process 26'!E13</f>
        <v>0</v>
      </c>
      <c r="H30" s="38">
        <f>'Process 26'!F13</f>
        <v>0</v>
      </c>
      <c r="I30" s="38">
        <f>'Process 26'!G13</f>
        <v>0</v>
      </c>
      <c r="J30" s="38">
        <f>'Process 26'!H13</f>
        <v>0</v>
      </c>
      <c r="K30" s="38">
        <f>'Process 26'!I13</f>
        <v>0</v>
      </c>
      <c r="L30" s="38">
        <f>'Process 26'!J13</f>
        <v>0</v>
      </c>
      <c r="M30" s="38">
        <f>'Process 26'!K13</f>
        <v>0</v>
      </c>
      <c r="N30" s="38">
        <f>'Process 26'!L13</f>
        <v>0</v>
      </c>
      <c r="O30" s="38">
        <f>'Process 26'!M13</f>
        <v>0</v>
      </c>
      <c r="P30" s="38">
        <f>'Process 26'!N13</f>
        <v>0</v>
      </c>
      <c r="Q30" s="7">
        <f t="shared" si="0"/>
        <v>0</v>
      </c>
      <c r="R30" s="7">
        <f t="shared" si="1"/>
        <v>0</v>
      </c>
      <c r="S30" s="8">
        <f>_TotalsTable[[#This Row],[Employee target in the process
(Limited to N employees)]] - _TotalsTable[[#This Row],[Competence index 
(Limited to N  employees)]]</f>
        <v>4</v>
      </c>
      <c r="T30" s="10">
        <f>4</f>
        <v>4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21" customHeight="1">
      <c r="A31" s="6"/>
      <c r="B31" s="6"/>
      <c r="C31" s="6"/>
      <c r="D31" s="44" t="str">
        <f>'Process 27'!B2</f>
        <v>&lt;Process 27&gt;</v>
      </c>
      <c r="E31" s="38">
        <f>'Process 27'!C13</f>
        <v>0</v>
      </c>
      <c r="F31" s="38">
        <f>'Process 27'!D13</f>
        <v>0</v>
      </c>
      <c r="G31" s="38">
        <f>'Process 27'!E13</f>
        <v>0</v>
      </c>
      <c r="H31" s="38">
        <f>'Process 27'!F13</f>
        <v>0</v>
      </c>
      <c r="I31" s="38">
        <f>'Process 27'!G13</f>
        <v>0</v>
      </c>
      <c r="J31" s="38">
        <f>'Process 27'!H13</f>
        <v>0</v>
      </c>
      <c r="K31" s="38">
        <f>'Process 27'!I13</f>
        <v>0</v>
      </c>
      <c r="L31" s="38">
        <f>'Process 27'!J13</f>
        <v>0</v>
      </c>
      <c r="M31" s="38">
        <f>'Process 27'!K13</f>
        <v>0</v>
      </c>
      <c r="N31" s="38">
        <f>'Process 27'!L13</f>
        <v>0</v>
      </c>
      <c r="O31" s="38">
        <f>'Process 27'!M13</f>
        <v>0</v>
      </c>
      <c r="P31" s="38">
        <f>'Process 27'!N13</f>
        <v>0</v>
      </c>
      <c r="Q31" s="7">
        <f t="shared" si="0"/>
        <v>0</v>
      </c>
      <c r="R31" s="7">
        <f t="shared" si="1"/>
        <v>0</v>
      </c>
      <c r="S31" s="8">
        <f>_TotalsTable[[#This Row],[Employee target in the process
(Limited to N employees)]] - _TotalsTable[[#This Row],[Competence index 
(Limited to N  employees)]]</f>
        <v>4</v>
      </c>
      <c r="T31" s="10">
        <f>4</f>
        <v>4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21" customHeight="1">
      <c r="A32" s="6"/>
      <c r="B32" s="6"/>
      <c r="C32" s="6"/>
      <c r="D32" s="44" t="str">
        <f>'Process 28'!B2</f>
        <v>&lt;Process 28&gt;</v>
      </c>
      <c r="E32" s="38">
        <f>'Process 28'!C13</f>
        <v>0</v>
      </c>
      <c r="F32" s="38">
        <f>'Process 28'!D13</f>
        <v>0</v>
      </c>
      <c r="G32" s="38">
        <f>'Process 28'!E13</f>
        <v>0</v>
      </c>
      <c r="H32" s="38">
        <f>'Process 28'!F13</f>
        <v>0</v>
      </c>
      <c r="I32" s="38">
        <f>'Process 28'!G13</f>
        <v>0</v>
      </c>
      <c r="J32" s="38">
        <f>'Process 28'!H13</f>
        <v>0</v>
      </c>
      <c r="K32" s="38">
        <f>'Process 28'!I13</f>
        <v>0</v>
      </c>
      <c r="L32" s="38">
        <f>'Process 28'!J13</f>
        <v>0</v>
      </c>
      <c r="M32" s="38">
        <f>'Process 28'!K13</f>
        <v>0</v>
      </c>
      <c r="N32" s="38">
        <f>'Process 28'!L13</f>
        <v>0</v>
      </c>
      <c r="O32" s="38">
        <f>'Process 28'!M13</f>
        <v>0</v>
      </c>
      <c r="P32" s="38">
        <f>'Process 28'!N13</f>
        <v>0</v>
      </c>
      <c r="Q32" s="7">
        <f t="shared" si="0"/>
        <v>0</v>
      </c>
      <c r="R32" s="7">
        <f t="shared" si="1"/>
        <v>0</v>
      </c>
      <c r="S32" s="8">
        <f>_TotalsTable[[#This Row],[Employee target in the process
(Limited to N employees)]] - _TotalsTable[[#This Row],[Competence index 
(Limited to N  employees)]]</f>
        <v>4</v>
      </c>
      <c r="T32" s="10">
        <f>4</f>
        <v>4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21" customHeight="1">
      <c r="A33" s="6"/>
      <c r="B33" s="6"/>
      <c r="C33" s="6"/>
      <c r="D33" s="44" t="str">
        <f>'Process 29'!B2</f>
        <v>&lt;Process 29&gt;</v>
      </c>
      <c r="E33" s="38">
        <f>'Process 29'!C13</f>
        <v>0</v>
      </c>
      <c r="F33" s="38">
        <f>'Process 29'!D13</f>
        <v>0</v>
      </c>
      <c r="G33" s="38">
        <f>'Process 29'!E13</f>
        <v>0</v>
      </c>
      <c r="H33" s="38">
        <f>'Process 29'!F13</f>
        <v>0</v>
      </c>
      <c r="I33" s="38">
        <f>'Process 29'!G13</f>
        <v>0</v>
      </c>
      <c r="J33" s="38">
        <f>'Process 29'!H13</f>
        <v>0</v>
      </c>
      <c r="K33" s="38">
        <f>'Process 29'!I13</f>
        <v>0</v>
      </c>
      <c r="L33" s="38">
        <f>'Process 29'!J13</f>
        <v>0</v>
      </c>
      <c r="M33" s="38">
        <f>'Process 29'!K13</f>
        <v>0</v>
      </c>
      <c r="N33" s="38">
        <f>'Process 29'!L13</f>
        <v>0</v>
      </c>
      <c r="O33" s="38">
        <f>'Process 29'!M13</f>
        <v>0</v>
      </c>
      <c r="P33" s="38">
        <f>'Process 29'!N13</f>
        <v>0</v>
      </c>
      <c r="Q33" s="7">
        <f t="shared" si="0"/>
        <v>0</v>
      </c>
      <c r="R33" s="7">
        <f t="shared" si="1"/>
        <v>0</v>
      </c>
      <c r="S33" s="8">
        <f>_TotalsTable[[#This Row],[Employee target in the process
(Limited to N employees)]] - _TotalsTable[[#This Row],[Competence index 
(Limited to N  employees)]]</f>
        <v>4</v>
      </c>
      <c r="T33" s="10">
        <f>4</f>
        <v>4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21" customHeight="1">
      <c r="A34" s="6"/>
      <c r="B34" s="6"/>
      <c r="C34" s="6"/>
      <c r="D34" s="44" t="str">
        <f>'Process 30'!B2</f>
        <v>&lt;Process 30&gt;</v>
      </c>
      <c r="E34" s="38">
        <f>'Process 30'!C13</f>
        <v>0</v>
      </c>
      <c r="F34" s="38">
        <f>'Process 30'!D13</f>
        <v>0</v>
      </c>
      <c r="G34" s="38">
        <f>'Process 30'!E13</f>
        <v>0</v>
      </c>
      <c r="H34" s="38">
        <f>'Process 30'!F13</f>
        <v>0</v>
      </c>
      <c r="I34" s="38">
        <f>'Process 30'!G13</f>
        <v>0</v>
      </c>
      <c r="J34" s="38">
        <f>'Process 30'!H13</f>
        <v>0</v>
      </c>
      <c r="K34" s="38">
        <f>'Process 30'!I13</f>
        <v>0</v>
      </c>
      <c r="L34" s="38">
        <f>'Process 30'!J13</f>
        <v>0</v>
      </c>
      <c r="M34" s="38">
        <f>'Process 30'!K13</f>
        <v>0</v>
      </c>
      <c r="N34" s="38">
        <f>'Process 30'!L13</f>
        <v>0</v>
      </c>
      <c r="O34" s="38">
        <f>'Process 30'!M13</f>
        <v>0</v>
      </c>
      <c r="P34" s="38">
        <f>'Process 30'!N13</f>
        <v>0</v>
      </c>
      <c r="Q34" s="7">
        <f t="shared" si="0"/>
        <v>0</v>
      </c>
      <c r="R34" s="7">
        <f t="shared" si="1"/>
        <v>0</v>
      </c>
      <c r="S34" s="8">
        <f>_TotalsTable[[#This Row],[Employee target in the process
(Limited to N employees)]] - _TotalsTable[[#This Row],[Competence index 
(Limited to N  employees)]]</f>
        <v>4</v>
      </c>
      <c r="T34" s="10">
        <f>4</f>
        <v>4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21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" customHeight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</sheetData>
  <mergeCells count="1">
    <mergeCell ref="D2:T3"/>
  </mergeCells>
  <phoneticPr fontId="8" type="noConversion"/>
  <conditionalFormatting sqref="E5:P34">
    <cfRule type="cellIs" dxfId="306" priority="30" operator="between">
      <formula>0</formula>
      <formula>0.99</formula>
    </cfRule>
    <cfRule type="cellIs" dxfId="305" priority="31" operator="between">
      <formula>1</formula>
      <formula>1.99</formula>
    </cfRule>
    <cfRule type="cellIs" dxfId="304" priority="32" operator="between">
      <formula>2</formula>
      <formula>2.99</formula>
    </cfRule>
    <cfRule type="cellIs" dxfId="303" priority="33" operator="between">
      <formula>3</formula>
      <formula>3</formula>
    </cfRule>
  </conditionalFormatting>
  <conditionalFormatting sqref="Q5:R34">
    <cfRule type="cellIs" dxfId="302" priority="52" operator="between">
      <formula>0</formula>
      <formula>0.99</formula>
    </cfRule>
    <cfRule type="cellIs" dxfId="301" priority="53" operator="between">
      <formula>1</formula>
      <formula>1.99</formula>
    </cfRule>
    <cfRule type="cellIs" dxfId="300" priority="54" operator="between">
      <formula>2</formula>
      <formula>2.99</formula>
    </cfRule>
    <cfRule type="cellIs" dxfId="299" priority="55" operator="between">
      <formula>3</formula>
      <formula>4</formula>
    </cfRule>
    <cfRule type="cellIs" dxfId="298" priority="56" operator="between">
      <formula>5</formula>
      <formula>10</formula>
    </cfRule>
  </conditionalFormatting>
  <conditionalFormatting sqref="S5:S34">
    <cfRule type="cellIs" dxfId="297" priority="34" operator="between">
      <formula>0</formula>
      <formula>0.99</formula>
    </cfRule>
    <cfRule type="cellIs" dxfId="296" priority="35" operator="between">
      <formula>1</formula>
      <formula>1</formula>
    </cfRule>
    <cfRule type="cellIs" dxfId="295" priority="36" operator="between">
      <formula>2</formula>
      <formula>3</formula>
    </cfRule>
    <cfRule type="cellIs" dxfId="294" priority="37" operator="between">
      <formula>4</formula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F94F-5242-4D8C-9452-69F0305CA12C}">
  <dimension ref="A1:B34"/>
  <sheetViews>
    <sheetView workbookViewId="0">
      <selection activeCell="B34" sqref="B34"/>
    </sheetView>
  </sheetViews>
  <sheetFormatPr defaultRowHeight="14.4"/>
  <cols>
    <col min="1" max="1" width="10.109375" bestFit="1" customWidth="1"/>
    <col min="2" max="2" width="2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0740-E464-4D4F-A6FE-3A5ED20143AD}">
  <sheetPr>
    <tabColor theme="2"/>
  </sheetPr>
  <dimension ref="A1:AC101"/>
  <sheetViews>
    <sheetView topLeftCell="A2" zoomScaleNormal="100" workbookViewId="0">
      <selection activeCell="B75" sqref="B74:B75"/>
    </sheetView>
  </sheetViews>
  <sheetFormatPr defaultRowHeight="15" customHeight="1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 ht="14.4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53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 thickBo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 thickBo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 thickBo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5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 thickBot="1">
      <c r="A9" s="15"/>
      <c r="B9" s="27" t="s">
        <v>59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5"/>
      <c r="B10" s="31" t="s">
        <v>60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5"/>
      <c r="B11" s="25" t="s">
        <v>61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 thickBot="1">
      <c r="A12" s="15"/>
      <c r="B12" s="34" t="s">
        <v>62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 thickBot="1">
      <c r="A13" s="15"/>
      <c r="B13" s="29" t="s">
        <v>63</v>
      </c>
      <c r="C13" s="30" cm="1">
        <f t="array" ref="C13">AVERAGE(IF(_xlfn.ISFORMULA(_TemplateTable[AA]),_TemplateTable[AA]))</f>
        <v>2.3382716049382717</v>
      </c>
      <c r="D13" s="30" cm="1">
        <f t="array" ref="D13">AVERAGE(IF(_xlfn.ISFORMULA(_TemplateTable[BB]),_TemplateTable[BB]))</f>
        <v>2.3358024691358024</v>
      </c>
      <c r="E13" s="30" cm="1">
        <f t="array" ref="E13">AVERAGE(IF(_xlfn.ISFORMULA(_TemplateTable[CC]),_TemplateTable[CC]))</f>
        <v>2.4888888888888889</v>
      </c>
      <c r="F13" s="30" cm="1">
        <f t="array" ref="F13">AVERAGE(IF(_xlfn.ISFORMULA(_TemplateTable[DD]),_TemplateTable[DD]))</f>
        <v>1.8370370370370368</v>
      </c>
      <c r="G13" s="30" cm="1">
        <f t="array" ref="G13">AVERAGE(IF(_xlfn.ISFORMULA(_TemplateTable[EE]),_TemplateTable[EE]))</f>
        <v>1.3555555555555556</v>
      </c>
      <c r="H13" s="30" cm="1">
        <f t="array" ref="H13">AVERAGE(IF(_xlfn.ISFORMULA(_TemplateTable[FF]),_TemplateTable[FF]))</f>
        <v>2.138271604938272</v>
      </c>
      <c r="I13" s="30" cm="1">
        <f t="array" ref="I13">AVERAGE(IF(_xlfn.ISFORMULA(_TemplateTable[GG]),_TemplateTable[GG]))</f>
        <v>2.2962962962962963</v>
      </c>
      <c r="J13" s="30" cm="1">
        <f t="array" ref="J13">AVERAGE(IF(_xlfn.ISFORMULA(_TemplateTable[HH]),_TemplateTable[HH]))</f>
        <v>3</v>
      </c>
      <c r="K13" s="30" cm="1">
        <f t="array" ref="K13">AVERAGE(IF(_xlfn.ISFORMULA(_TemplateTable[II]),_TemplateTable[II]))</f>
        <v>0.79259259259259263</v>
      </c>
      <c r="L13" s="30" cm="1">
        <f t="array" ref="L13">AVERAGE(IF(_xlfn.ISFORMULA(_TemplateTable[JJ]),_TemplateTable[JJ]))</f>
        <v>1.6444444444444446</v>
      </c>
      <c r="M13" s="30" cm="1">
        <f t="array" ref="M13">AVERAGE(IF(_xlfn.ISFORMULA(_TemplateTable[KK]),_TemplateTable[KK]))</f>
        <v>3</v>
      </c>
      <c r="N13" s="49" cm="1">
        <f t="array" ref="N13">AVERAGE(IF(_xlfn.ISFORMULA(_TemplateTable[LL]),_TemplateTable[LL]))</f>
        <v>2.4469135802469135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 thickBo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thickBot="1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4.4">
      <c r="A16" s="14">
        <v>1</v>
      </c>
      <c r="B16" s="57" t="s">
        <v>65</v>
      </c>
      <c r="C16" s="73">
        <f>AVERAGE(C17:C25)</f>
        <v>2.4444444444444446</v>
      </c>
      <c r="D16" s="58">
        <f t="shared" ref="D16:N16" si="0">AVERAGE(D17:D25)</f>
        <v>2.2222222222222223</v>
      </c>
      <c r="E16" s="58">
        <f>AVERAGE(E17:E25)</f>
        <v>3</v>
      </c>
      <c r="F16" s="58">
        <f t="shared" ref="F16" si="1">AVERAGE(F17:F25)</f>
        <v>2.3333333333333335</v>
      </c>
      <c r="G16" s="58">
        <f t="shared" si="0"/>
        <v>1</v>
      </c>
      <c r="H16" s="58">
        <f t="shared" si="0"/>
        <v>2.4444444444444446</v>
      </c>
      <c r="I16" s="58">
        <f t="shared" si="0"/>
        <v>2.6666666666666665</v>
      </c>
      <c r="J16" s="58">
        <f t="shared" si="0"/>
        <v>3</v>
      </c>
      <c r="K16" s="58">
        <f t="shared" si="0"/>
        <v>0.33333333333333331</v>
      </c>
      <c r="L16" s="58">
        <f t="shared" si="0"/>
        <v>1</v>
      </c>
      <c r="M16" s="58">
        <f t="shared" si="0"/>
        <v>3</v>
      </c>
      <c r="N16" s="58">
        <f t="shared" si="0"/>
        <v>1.2222222222222223</v>
      </c>
      <c r="O16" s="46" t="s">
        <v>66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4.4" hidden="1" outlineLevel="1">
      <c r="A17" s="14"/>
      <c r="B17" s="52" t="s">
        <v>67</v>
      </c>
      <c r="C17" s="53">
        <v>3</v>
      </c>
      <c r="D17" s="53">
        <v>1</v>
      </c>
      <c r="E17" s="53">
        <v>3</v>
      </c>
      <c r="F17" s="53">
        <v>3</v>
      </c>
      <c r="G17" s="53">
        <v>1</v>
      </c>
      <c r="H17" s="53">
        <v>3</v>
      </c>
      <c r="I17" s="53">
        <v>3</v>
      </c>
      <c r="J17" s="53">
        <v>3</v>
      </c>
      <c r="K17" s="53">
        <v>1</v>
      </c>
      <c r="L17" s="53">
        <v>1</v>
      </c>
      <c r="M17" s="53">
        <v>3</v>
      </c>
      <c r="N17" s="53">
        <v>1</v>
      </c>
      <c r="O17" s="45" t="s">
        <v>68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4.4" hidden="1" outlineLevel="1">
      <c r="A18" s="14"/>
      <c r="B18" s="52" t="s">
        <v>69</v>
      </c>
      <c r="C18" s="53">
        <v>2</v>
      </c>
      <c r="D18" s="53">
        <v>1</v>
      </c>
      <c r="E18" s="53">
        <v>3</v>
      </c>
      <c r="F18" s="53">
        <v>1</v>
      </c>
      <c r="G18" s="53">
        <v>1</v>
      </c>
      <c r="H18" s="53">
        <v>2</v>
      </c>
      <c r="I18" s="53">
        <v>3</v>
      </c>
      <c r="J18" s="53">
        <v>3</v>
      </c>
      <c r="K18" s="53">
        <v>1</v>
      </c>
      <c r="L18" s="53">
        <v>1</v>
      </c>
      <c r="M18" s="53">
        <v>3</v>
      </c>
      <c r="N18" s="53">
        <v>1</v>
      </c>
      <c r="O18" s="45" t="s">
        <v>68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4.4" hidden="1" outlineLevel="1">
      <c r="A19" s="14"/>
      <c r="B19" s="52" t="s">
        <v>70</v>
      </c>
      <c r="C19" s="53">
        <v>2</v>
      </c>
      <c r="D19" s="53">
        <v>2</v>
      </c>
      <c r="E19" s="53">
        <v>3</v>
      </c>
      <c r="F19" s="53">
        <v>2</v>
      </c>
      <c r="G19" s="53">
        <v>1</v>
      </c>
      <c r="H19" s="53">
        <v>2</v>
      </c>
      <c r="I19" s="53">
        <v>3</v>
      </c>
      <c r="J19" s="53">
        <v>3</v>
      </c>
      <c r="K19" s="53">
        <v>1</v>
      </c>
      <c r="L19" s="53">
        <v>1</v>
      </c>
      <c r="M19" s="53">
        <v>3</v>
      </c>
      <c r="N19" s="53">
        <v>1</v>
      </c>
      <c r="O19" s="45" t="s">
        <v>68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4.4" hidden="1" outlineLevel="1">
      <c r="A20" s="14"/>
      <c r="B20" s="52" t="s">
        <v>71</v>
      </c>
      <c r="C20" s="53">
        <v>2</v>
      </c>
      <c r="D20" s="53">
        <v>3</v>
      </c>
      <c r="E20" s="53">
        <v>3</v>
      </c>
      <c r="F20" s="53">
        <v>1</v>
      </c>
      <c r="G20" s="53">
        <v>1</v>
      </c>
      <c r="H20" s="53">
        <v>1</v>
      </c>
      <c r="I20" s="53">
        <v>1</v>
      </c>
      <c r="J20" s="53">
        <v>3</v>
      </c>
      <c r="K20" s="53">
        <v>0</v>
      </c>
      <c r="L20" s="53">
        <v>1</v>
      </c>
      <c r="M20" s="53">
        <v>3</v>
      </c>
      <c r="N20" s="53">
        <v>1</v>
      </c>
      <c r="O20" s="45" t="s">
        <v>68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4.4" hidden="1" outlineLevel="1">
      <c r="A21" s="14"/>
      <c r="B21" s="52" t="s">
        <v>72</v>
      </c>
      <c r="C21" s="53">
        <v>2</v>
      </c>
      <c r="D21" s="53">
        <v>2</v>
      </c>
      <c r="E21" s="53">
        <v>3</v>
      </c>
      <c r="F21" s="53">
        <v>3</v>
      </c>
      <c r="G21" s="53">
        <v>1</v>
      </c>
      <c r="H21" s="53">
        <v>3</v>
      </c>
      <c r="I21" s="53">
        <v>3</v>
      </c>
      <c r="J21" s="53">
        <v>3</v>
      </c>
      <c r="K21" s="53">
        <v>0</v>
      </c>
      <c r="L21" s="53">
        <v>1</v>
      </c>
      <c r="M21" s="53">
        <v>3</v>
      </c>
      <c r="N21" s="53">
        <v>1</v>
      </c>
      <c r="O21" s="45" t="s">
        <v>68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4.4" hidden="1" outlineLevel="1">
      <c r="A22" s="14"/>
      <c r="B22" s="52" t="s">
        <v>73</v>
      </c>
      <c r="C22" s="53">
        <v>2</v>
      </c>
      <c r="D22" s="53">
        <v>3</v>
      </c>
      <c r="E22" s="53">
        <v>3</v>
      </c>
      <c r="F22" s="53">
        <v>3</v>
      </c>
      <c r="G22" s="53">
        <v>1</v>
      </c>
      <c r="H22" s="53">
        <v>3</v>
      </c>
      <c r="I22" s="53">
        <v>3</v>
      </c>
      <c r="J22" s="53">
        <v>3</v>
      </c>
      <c r="K22" s="53">
        <v>0</v>
      </c>
      <c r="L22" s="53">
        <v>1</v>
      </c>
      <c r="M22" s="53">
        <v>3</v>
      </c>
      <c r="N22" s="53">
        <v>1</v>
      </c>
      <c r="O22" s="45" t="s">
        <v>68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4.4" hidden="1" outlineLevel="1">
      <c r="A23" s="14"/>
      <c r="B23" s="52" t="s">
        <v>74</v>
      </c>
      <c r="C23" s="53">
        <v>3</v>
      </c>
      <c r="D23" s="53">
        <v>3</v>
      </c>
      <c r="E23" s="53">
        <v>3</v>
      </c>
      <c r="F23" s="53">
        <v>3</v>
      </c>
      <c r="G23" s="53">
        <v>1</v>
      </c>
      <c r="H23" s="53">
        <v>3</v>
      </c>
      <c r="I23" s="53">
        <v>3</v>
      </c>
      <c r="J23" s="53">
        <v>3</v>
      </c>
      <c r="K23" s="53">
        <v>0</v>
      </c>
      <c r="L23" s="53">
        <v>1</v>
      </c>
      <c r="M23" s="53">
        <v>3</v>
      </c>
      <c r="N23" s="53">
        <v>1</v>
      </c>
      <c r="O23" s="45" t="s">
        <v>68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4.4" hidden="1" outlineLevel="1">
      <c r="A24" s="14"/>
      <c r="B24" s="52" t="s">
        <v>75</v>
      </c>
      <c r="C24" s="53">
        <v>3</v>
      </c>
      <c r="D24" s="53">
        <v>2</v>
      </c>
      <c r="E24" s="53">
        <v>3</v>
      </c>
      <c r="F24" s="53">
        <v>2</v>
      </c>
      <c r="G24" s="53">
        <v>1</v>
      </c>
      <c r="H24" s="53">
        <v>2</v>
      </c>
      <c r="I24" s="53">
        <v>2</v>
      </c>
      <c r="J24" s="53">
        <v>3</v>
      </c>
      <c r="K24" s="53">
        <v>0</v>
      </c>
      <c r="L24" s="53">
        <v>1</v>
      </c>
      <c r="M24" s="53">
        <v>3</v>
      </c>
      <c r="N24" s="53">
        <v>1</v>
      </c>
      <c r="O24" s="45" t="s">
        <v>68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4.4" hidden="1" outlineLevel="1">
      <c r="A25" s="14"/>
      <c r="B25" s="52" t="s">
        <v>76</v>
      </c>
      <c r="C25" s="53">
        <v>3</v>
      </c>
      <c r="D25" s="53">
        <v>3</v>
      </c>
      <c r="E25" s="53">
        <v>3</v>
      </c>
      <c r="F25" s="53">
        <v>3</v>
      </c>
      <c r="G25" s="53">
        <v>1</v>
      </c>
      <c r="H25" s="53">
        <v>3</v>
      </c>
      <c r="I25" s="53">
        <v>3</v>
      </c>
      <c r="J25" s="53">
        <v>3</v>
      </c>
      <c r="K25" s="53">
        <v>0</v>
      </c>
      <c r="L25" s="53">
        <v>1</v>
      </c>
      <c r="M25" s="53">
        <v>3</v>
      </c>
      <c r="N25" s="53">
        <v>3</v>
      </c>
      <c r="O25" s="45" t="s">
        <v>68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4.4" collapsed="1">
      <c r="A26" s="14">
        <v>2</v>
      </c>
      <c r="B26" s="50" t="s">
        <v>77</v>
      </c>
      <c r="C26" s="51">
        <f t="shared" ref="C26:N26" si="2">AVERAGE(C27:C31)</f>
        <v>3</v>
      </c>
      <c r="D26" s="51">
        <f t="shared" si="2"/>
        <v>2.4</v>
      </c>
      <c r="E26" s="51">
        <f>AVERAGE(E27:E31)</f>
        <v>3</v>
      </c>
      <c r="F26" s="51">
        <f t="shared" ref="F26" si="3">AVERAGE(F27:F31)</f>
        <v>1.8</v>
      </c>
      <c r="G26" s="51">
        <f t="shared" si="2"/>
        <v>1.4</v>
      </c>
      <c r="H26" s="51">
        <f t="shared" si="2"/>
        <v>2</v>
      </c>
      <c r="I26" s="51">
        <f t="shared" si="2"/>
        <v>2</v>
      </c>
      <c r="J26" s="51">
        <f t="shared" si="2"/>
        <v>3</v>
      </c>
      <c r="K26" s="51">
        <f t="shared" si="2"/>
        <v>1.8</v>
      </c>
      <c r="L26" s="51">
        <f t="shared" si="2"/>
        <v>1.4</v>
      </c>
      <c r="M26" s="51">
        <f t="shared" si="2"/>
        <v>3</v>
      </c>
      <c r="N26" s="51">
        <f t="shared" si="2"/>
        <v>1.8</v>
      </c>
      <c r="O26" s="46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4.4" hidden="1" outlineLevel="1">
      <c r="A27" s="14"/>
      <c r="B27" s="52" t="s">
        <v>78</v>
      </c>
      <c r="C27" s="53">
        <v>3</v>
      </c>
      <c r="D27" s="53">
        <v>1</v>
      </c>
      <c r="E27" s="53">
        <v>3</v>
      </c>
      <c r="F27" s="53">
        <v>2</v>
      </c>
      <c r="G27" s="53">
        <v>3</v>
      </c>
      <c r="H27" s="53">
        <v>2</v>
      </c>
      <c r="I27" s="53">
        <v>2</v>
      </c>
      <c r="J27" s="53">
        <v>3</v>
      </c>
      <c r="K27" s="53">
        <v>2</v>
      </c>
      <c r="L27" s="53">
        <v>3</v>
      </c>
      <c r="M27" s="53">
        <v>3</v>
      </c>
      <c r="N27" s="53">
        <v>3</v>
      </c>
      <c r="O27" s="45" t="s">
        <v>68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4.4" hidden="1" outlineLevel="1">
      <c r="A28" s="14"/>
      <c r="B28" s="52" t="s">
        <v>79</v>
      </c>
      <c r="C28" s="53">
        <v>3</v>
      </c>
      <c r="D28" s="53">
        <v>2</v>
      </c>
      <c r="E28" s="53">
        <v>3</v>
      </c>
      <c r="F28" s="53">
        <v>1</v>
      </c>
      <c r="G28" s="53">
        <v>1</v>
      </c>
      <c r="H28" s="53">
        <v>2</v>
      </c>
      <c r="I28" s="53">
        <v>2</v>
      </c>
      <c r="J28" s="53">
        <v>3</v>
      </c>
      <c r="K28" s="53">
        <v>2</v>
      </c>
      <c r="L28" s="53">
        <v>1</v>
      </c>
      <c r="M28" s="53">
        <v>3</v>
      </c>
      <c r="N28" s="53">
        <v>3</v>
      </c>
      <c r="O28" s="45" t="s">
        <v>68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4.4" hidden="1" outlineLevel="1">
      <c r="A29" s="14"/>
      <c r="B29" s="52" t="s">
        <v>80</v>
      </c>
      <c r="C29" s="53">
        <v>3</v>
      </c>
      <c r="D29" s="53">
        <v>3</v>
      </c>
      <c r="E29" s="53">
        <v>3</v>
      </c>
      <c r="F29" s="53">
        <v>1</v>
      </c>
      <c r="G29" s="53">
        <v>1</v>
      </c>
      <c r="H29" s="53">
        <v>1</v>
      </c>
      <c r="I29" s="53">
        <v>1</v>
      </c>
      <c r="J29" s="53">
        <v>3</v>
      </c>
      <c r="K29" s="53">
        <v>2</v>
      </c>
      <c r="L29" s="53">
        <v>1</v>
      </c>
      <c r="M29" s="53">
        <v>3</v>
      </c>
      <c r="N29" s="53">
        <v>1</v>
      </c>
      <c r="O29" s="45" t="s">
        <v>68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4.4" hidden="1" outlineLevel="1">
      <c r="A30" s="14"/>
      <c r="B30" s="52" t="s">
        <v>81</v>
      </c>
      <c r="C30" s="53">
        <v>3</v>
      </c>
      <c r="D30" s="53">
        <v>3</v>
      </c>
      <c r="E30" s="53">
        <v>3</v>
      </c>
      <c r="F30" s="53">
        <v>2</v>
      </c>
      <c r="G30" s="53">
        <v>1</v>
      </c>
      <c r="H30" s="53">
        <v>2</v>
      </c>
      <c r="I30" s="53">
        <v>2</v>
      </c>
      <c r="J30" s="53">
        <v>3</v>
      </c>
      <c r="K30" s="53">
        <v>1</v>
      </c>
      <c r="L30" s="53">
        <v>1</v>
      </c>
      <c r="M30" s="53">
        <v>3</v>
      </c>
      <c r="N30" s="53">
        <v>1</v>
      </c>
      <c r="O30" s="45" t="s">
        <v>68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4.4" hidden="1" outlineLevel="1">
      <c r="A31" s="14"/>
      <c r="B31" s="52" t="s">
        <v>82</v>
      </c>
      <c r="C31" s="53">
        <v>3</v>
      </c>
      <c r="D31" s="53">
        <v>3</v>
      </c>
      <c r="E31" s="53">
        <v>3</v>
      </c>
      <c r="F31" s="53">
        <v>3</v>
      </c>
      <c r="G31" s="53">
        <v>1</v>
      </c>
      <c r="H31" s="53">
        <v>3</v>
      </c>
      <c r="I31" s="53">
        <v>3</v>
      </c>
      <c r="J31" s="53">
        <v>3</v>
      </c>
      <c r="K31" s="53">
        <v>2</v>
      </c>
      <c r="L31" s="53">
        <v>1</v>
      </c>
      <c r="M31" s="53">
        <v>3</v>
      </c>
      <c r="N31" s="53">
        <v>1</v>
      </c>
      <c r="O31" s="45" t="s">
        <v>68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4.4" collapsed="1">
      <c r="A32" s="14">
        <v>3</v>
      </c>
      <c r="B32" s="50" t="s">
        <v>83</v>
      </c>
      <c r="C32" s="74">
        <f>2</f>
        <v>2</v>
      </c>
      <c r="D32" s="54">
        <f>2</f>
        <v>2</v>
      </c>
      <c r="E32" s="54">
        <f>1</f>
        <v>1</v>
      </c>
      <c r="F32" s="54">
        <f>1</f>
        <v>1</v>
      </c>
      <c r="G32" s="54">
        <f>1</f>
        <v>1</v>
      </c>
      <c r="H32" s="54">
        <f>2</f>
        <v>2</v>
      </c>
      <c r="I32" s="54">
        <f>2</f>
        <v>2</v>
      </c>
      <c r="J32" s="54">
        <f>3</f>
        <v>3</v>
      </c>
      <c r="K32" s="54">
        <f>1</f>
        <v>1</v>
      </c>
      <c r="L32" s="54">
        <f>2</f>
        <v>2</v>
      </c>
      <c r="M32" s="54">
        <f>3</f>
        <v>3</v>
      </c>
      <c r="N32" s="54">
        <f>3</f>
        <v>3</v>
      </c>
      <c r="O32" s="46" t="s">
        <v>84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4">
      <c r="A33" s="14">
        <v>4</v>
      </c>
      <c r="B33" s="50" t="s">
        <v>85</v>
      </c>
      <c r="C33" s="51">
        <f>AVERAGE(C34:C38)</f>
        <v>3</v>
      </c>
      <c r="D33" s="51">
        <f>AVERAGE(D34:D38)</f>
        <v>2</v>
      </c>
      <c r="E33" s="51">
        <f>AVERAGE(E34:E38)</f>
        <v>3</v>
      </c>
      <c r="F33" s="51">
        <f t="shared" ref="F33" si="4">AVERAGE(F34:F38)</f>
        <v>3</v>
      </c>
      <c r="G33" s="51">
        <f t="shared" ref="G33:N33" si="5">AVERAGE(G34:G38)</f>
        <v>1</v>
      </c>
      <c r="H33" s="51">
        <f t="shared" si="5"/>
        <v>3</v>
      </c>
      <c r="I33" s="51">
        <f t="shared" si="5"/>
        <v>3</v>
      </c>
      <c r="J33" s="51">
        <f t="shared" si="5"/>
        <v>3</v>
      </c>
      <c r="K33" s="51">
        <f>AVERAGE(K34:K38)</f>
        <v>0</v>
      </c>
      <c r="L33" s="51">
        <f t="shared" si="5"/>
        <v>1.8</v>
      </c>
      <c r="M33" s="51">
        <f t="shared" si="5"/>
        <v>3</v>
      </c>
      <c r="N33" s="51">
        <f t="shared" si="5"/>
        <v>3</v>
      </c>
      <c r="O33" s="46" t="s">
        <v>86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4.4" hidden="1" outlineLevel="1">
      <c r="A34" s="14"/>
      <c r="B34" s="52" t="s">
        <v>78</v>
      </c>
      <c r="C34" s="53">
        <v>3</v>
      </c>
      <c r="D34" s="53">
        <v>2</v>
      </c>
      <c r="E34" s="53">
        <v>3</v>
      </c>
      <c r="F34" s="53">
        <v>3</v>
      </c>
      <c r="G34" s="53">
        <v>1</v>
      </c>
      <c r="H34" s="53">
        <v>3</v>
      </c>
      <c r="I34" s="53">
        <v>3</v>
      </c>
      <c r="J34" s="53">
        <v>3</v>
      </c>
      <c r="K34" s="53">
        <v>0</v>
      </c>
      <c r="L34" s="53">
        <v>3</v>
      </c>
      <c r="M34" s="53">
        <v>3</v>
      </c>
      <c r="N34" s="53">
        <v>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4.4" hidden="1" outlineLevel="1">
      <c r="A35" s="14"/>
      <c r="B35" s="52" t="s">
        <v>79</v>
      </c>
      <c r="C35" s="53">
        <v>3</v>
      </c>
      <c r="D35" s="53">
        <v>2</v>
      </c>
      <c r="E35" s="53">
        <v>3</v>
      </c>
      <c r="F35" s="53">
        <v>3</v>
      </c>
      <c r="G35" s="53">
        <v>1</v>
      </c>
      <c r="H35" s="53">
        <v>3</v>
      </c>
      <c r="I35" s="53">
        <v>3</v>
      </c>
      <c r="J35" s="53">
        <v>3</v>
      </c>
      <c r="K35" s="53">
        <v>0</v>
      </c>
      <c r="L35" s="53">
        <v>1</v>
      </c>
      <c r="M35" s="53">
        <v>3</v>
      </c>
      <c r="N35" s="53">
        <v>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4.4" hidden="1" outlineLevel="1">
      <c r="A36" s="14"/>
      <c r="B36" s="52" t="s">
        <v>80</v>
      </c>
      <c r="C36" s="53">
        <v>3</v>
      </c>
      <c r="D36" s="53">
        <v>1</v>
      </c>
      <c r="E36" s="53">
        <v>3</v>
      </c>
      <c r="F36" s="53">
        <v>3</v>
      </c>
      <c r="G36" s="53">
        <v>1</v>
      </c>
      <c r="H36" s="53">
        <v>3</v>
      </c>
      <c r="I36" s="53">
        <v>3</v>
      </c>
      <c r="J36" s="53">
        <v>3</v>
      </c>
      <c r="K36" s="53">
        <v>0</v>
      </c>
      <c r="L36" s="53">
        <v>1</v>
      </c>
      <c r="M36" s="53">
        <v>3</v>
      </c>
      <c r="N36" s="53">
        <v>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4.4" hidden="1" outlineLevel="1">
      <c r="A37" s="14"/>
      <c r="B37" s="52" t="s">
        <v>81</v>
      </c>
      <c r="C37" s="53">
        <v>3</v>
      </c>
      <c r="D37" s="53">
        <v>2</v>
      </c>
      <c r="E37" s="53">
        <v>3</v>
      </c>
      <c r="F37" s="53">
        <v>3</v>
      </c>
      <c r="G37" s="53">
        <v>1</v>
      </c>
      <c r="H37" s="53">
        <v>3</v>
      </c>
      <c r="I37" s="53">
        <v>3</v>
      </c>
      <c r="J37" s="53">
        <v>3</v>
      </c>
      <c r="K37" s="53">
        <v>0</v>
      </c>
      <c r="L37" s="53">
        <v>1</v>
      </c>
      <c r="M37" s="53">
        <v>3</v>
      </c>
      <c r="N37" s="53">
        <v>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4.4" hidden="1" outlineLevel="1">
      <c r="A38" s="14"/>
      <c r="B38" s="52" t="s">
        <v>82</v>
      </c>
      <c r="C38" s="53">
        <v>3</v>
      </c>
      <c r="D38" s="53">
        <v>3</v>
      </c>
      <c r="E38" s="53">
        <v>3</v>
      </c>
      <c r="F38" s="53">
        <v>3</v>
      </c>
      <c r="G38" s="53">
        <v>1</v>
      </c>
      <c r="H38" s="53">
        <v>3</v>
      </c>
      <c r="I38" s="53">
        <v>3</v>
      </c>
      <c r="J38" s="53">
        <v>3</v>
      </c>
      <c r="K38" s="53">
        <v>0</v>
      </c>
      <c r="L38" s="53">
        <v>3</v>
      </c>
      <c r="M38" s="53">
        <v>3</v>
      </c>
      <c r="N38" s="53">
        <v>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4.4" collapsed="1">
      <c r="A39" s="14">
        <v>5</v>
      </c>
      <c r="B39" s="50" t="s">
        <v>87</v>
      </c>
      <c r="C39" s="51">
        <f t="shared" ref="C39:N39" si="6">AVERAGE(C40:C44)</f>
        <v>1.8</v>
      </c>
      <c r="D39" s="51">
        <f t="shared" si="6"/>
        <v>1.8</v>
      </c>
      <c r="E39" s="51">
        <f>AVERAGE(E40:E44)</f>
        <v>3</v>
      </c>
      <c r="F39" s="51">
        <f t="shared" ref="F39" si="7">AVERAGE(F40:F44)</f>
        <v>1.8</v>
      </c>
      <c r="G39" s="51">
        <f t="shared" si="6"/>
        <v>1.4</v>
      </c>
      <c r="H39" s="51">
        <f t="shared" si="6"/>
        <v>1.4</v>
      </c>
      <c r="I39" s="51">
        <f t="shared" si="6"/>
        <v>1.4</v>
      </c>
      <c r="J39" s="51">
        <f t="shared" si="6"/>
        <v>3</v>
      </c>
      <c r="K39" s="51">
        <f t="shared" si="6"/>
        <v>0.4</v>
      </c>
      <c r="L39" s="51">
        <f t="shared" si="6"/>
        <v>1.8</v>
      </c>
      <c r="M39" s="51">
        <f t="shared" si="6"/>
        <v>3</v>
      </c>
      <c r="N39" s="51">
        <f t="shared" si="6"/>
        <v>3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4.4" hidden="1" outlineLevel="1">
      <c r="A40" s="14"/>
      <c r="B40" s="52" t="s">
        <v>78</v>
      </c>
      <c r="C40" s="53">
        <v>2</v>
      </c>
      <c r="D40" s="53">
        <v>2</v>
      </c>
      <c r="E40" s="53">
        <v>3</v>
      </c>
      <c r="F40" s="53">
        <v>2</v>
      </c>
      <c r="G40" s="53">
        <v>1</v>
      </c>
      <c r="H40" s="53">
        <v>1</v>
      </c>
      <c r="I40" s="53">
        <v>1</v>
      </c>
      <c r="J40" s="53">
        <v>3</v>
      </c>
      <c r="K40" s="53">
        <v>1</v>
      </c>
      <c r="L40" s="53">
        <v>2</v>
      </c>
      <c r="M40" s="53">
        <v>3</v>
      </c>
      <c r="N40" s="53">
        <v>3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4.4" hidden="1" outlineLevel="1">
      <c r="A41" s="14"/>
      <c r="B41" s="52" t="s">
        <v>79</v>
      </c>
      <c r="C41" s="53">
        <v>2</v>
      </c>
      <c r="D41" s="53">
        <v>2</v>
      </c>
      <c r="E41" s="53">
        <v>3</v>
      </c>
      <c r="F41" s="53">
        <v>2</v>
      </c>
      <c r="G41" s="53">
        <v>1</v>
      </c>
      <c r="H41" s="53">
        <v>1</v>
      </c>
      <c r="I41" s="53">
        <v>1</v>
      </c>
      <c r="J41" s="53">
        <v>3</v>
      </c>
      <c r="K41" s="53">
        <v>1</v>
      </c>
      <c r="L41" s="53">
        <v>2</v>
      </c>
      <c r="M41" s="53">
        <v>3</v>
      </c>
      <c r="N41" s="53">
        <v>3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4.4" hidden="1" outlineLevel="1">
      <c r="A42" s="14"/>
      <c r="B42" s="52" t="s">
        <v>80</v>
      </c>
      <c r="C42" s="53">
        <v>1</v>
      </c>
      <c r="D42" s="53">
        <v>1</v>
      </c>
      <c r="E42" s="53">
        <v>3</v>
      </c>
      <c r="F42" s="53">
        <v>1</v>
      </c>
      <c r="G42" s="53">
        <v>1</v>
      </c>
      <c r="H42" s="53">
        <v>1</v>
      </c>
      <c r="I42" s="53">
        <v>1</v>
      </c>
      <c r="J42" s="53">
        <v>3</v>
      </c>
      <c r="K42" s="53">
        <v>0</v>
      </c>
      <c r="L42" s="53">
        <v>1</v>
      </c>
      <c r="M42" s="53">
        <v>3</v>
      </c>
      <c r="N42" s="53">
        <v>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4.4" hidden="1" outlineLevel="1">
      <c r="A43" s="14"/>
      <c r="B43" s="52" t="s">
        <v>81</v>
      </c>
      <c r="C43" s="53">
        <v>1</v>
      </c>
      <c r="D43" s="53">
        <v>1</v>
      </c>
      <c r="E43" s="53">
        <v>3</v>
      </c>
      <c r="F43" s="53">
        <v>1</v>
      </c>
      <c r="G43" s="53">
        <v>1</v>
      </c>
      <c r="H43" s="53">
        <v>1</v>
      </c>
      <c r="I43" s="53">
        <v>1</v>
      </c>
      <c r="J43" s="53">
        <v>3</v>
      </c>
      <c r="K43" s="53">
        <v>0</v>
      </c>
      <c r="L43" s="53">
        <v>1</v>
      </c>
      <c r="M43" s="53">
        <v>3</v>
      </c>
      <c r="N43" s="53">
        <v>3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4.4" hidden="1" outlineLevel="1">
      <c r="A44" s="14"/>
      <c r="B44" s="52" t="s">
        <v>82</v>
      </c>
      <c r="C44" s="53">
        <v>3</v>
      </c>
      <c r="D44" s="53">
        <v>3</v>
      </c>
      <c r="E44" s="53">
        <v>3</v>
      </c>
      <c r="F44" s="53">
        <v>3</v>
      </c>
      <c r="G44" s="53">
        <v>3</v>
      </c>
      <c r="H44" s="53">
        <v>3</v>
      </c>
      <c r="I44" s="53">
        <v>3</v>
      </c>
      <c r="J44" s="53">
        <v>3</v>
      </c>
      <c r="K44" s="53">
        <v>0</v>
      </c>
      <c r="L44" s="53">
        <v>3</v>
      </c>
      <c r="M44" s="53">
        <v>3</v>
      </c>
      <c r="N44" s="53">
        <v>3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4.4" collapsed="1">
      <c r="A45" s="14">
        <v>6</v>
      </c>
      <c r="B45" s="50" t="s">
        <v>88</v>
      </c>
      <c r="C45" s="51">
        <f>AVERAGE(C46:C50)</f>
        <v>3</v>
      </c>
      <c r="D45" s="51">
        <f t="shared" ref="D45:N45" si="8">AVERAGE(D46:D50)</f>
        <v>3</v>
      </c>
      <c r="E45" s="51">
        <f>AVERAGE(E46:E50)</f>
        <v>3</v>
      </c>
      <c r="F45" s="51">
        <f t="shared" ref="F45" si="9">AVERAGE(F46:F50)</f>
        <v>1.6</v>
      </c>
      <c r="G45" s="51">
        <f t="shared" si="8"/>
        <v>1.8</v>
      </c>
      <c r="H45" s="51">
        <f t="shared" si="8"/>
        <v>1.8</v>
      </c>
      <c r="I45" s="51">
        <f t="shared" si="8"/>
        <v>3</v>
      </c>
      <c r="J45" s="51">
        <f t="shared" si="8"/>
        <v>3</v>
      </c>
      <c r="K45" s="51">
        <f t="shared" si="8"/>
        <v>1.4</v>
      </c>
      <c r="L45" s="51">
        <f t="shared" si="8"/>
        <v>1.8</v>
      </c>
      <c r="M45" s="51">
        <f t="shared" si="8"/>
        <v>3</v>
      </c>
      <c r="N45" s="51">
        <f t="shared" si="8"/>
        <v>1.4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4.4" hidden="1" outlineLevel="1">
      <c r="A46" s="14"/>
      <c r="B46" s="52" t="s">
        <v>78</v>
      </c>
      <c r="C46" s="53">
        <v>3</v>
      </c>
      <c r="D46" s="53">
        <v>3</v>
      </c>
      <c r="E46" s="53">
        <v>3</v>
      </c>
      <c r="F46" s="53">
        <v>1</v>
      </c>
      <c r="G46" s="53">
        <v>3</v>
      </c>
      <c r="H46" s="53">
        <v>1</v>
      </c>
      <c r="I46" s="53">
        <v>3</v>
      </c>
      <c r="J46" s="53">
        <v>3</v>
      </c>
      <c r="K46" s="53">
        <v>3</v>
      </c>
      <c r="L46" s="53">
        <v>3</v>
      </c>
      <c r="M46" s="53">
        <v>3</v>
      </c>
      <c r="N46" s="53">
        <v>1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4.4" hidden="1" outlineLevel="1">
      <c r="A47" s="14"/>
      <c r="B47" s="52" t="s">
        <v>79</v>
      </c>
      <c r="C47" s="53">
        <v>3</v>
      </c>
      <c r="D47" s="53">
        <v>3</v>
      </c>
      <c r="E47" s="53">
        <v>3</v>
      </c>
      <c r="F47" s="53">
        <v>2</v>
      </c>
      <c r="G47" s="53">
        <v>1</v>
      </c>
      <c r="H47" s="53">
        <v>2</v>
      </c>
      <c r="I47" s="53">
        <v>3</v>
      </c>
      <c r="J47" s="53">
        <v>3</v>
      </c>
      <c r="K47" s="53">
        <v>1</v>
      </c>
      <c r="L47" s="53">
        <v>1</v>
      </c>
      <c r="M47" s="53">
        <v>3</v>
      </c>
      <c r="N47" s="53">
        <v>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4.4" hidden="1" outlineLevel="1">
      <c r="A48" s="14"/>
      <c r="B48" s="52" t="s">
        <v>80</v>
      </c>
      <c r="C48" s="53">
        <v>3</v>
      </c>
      <c r="D48" s="53">
        <v>3</v>
      </c>
      <c r="E48" s="53">
        <v>3</v>
      </c>
      <c r="F48" s="53">
        <v>1</v>
      </c>
      <c r="G48" s="53">
        <v>1</v>
      </c>
      <c r="H48" s="53">
        <v>1</v>
      </c>
      <c r="I48" s="53">
        <v>3</v>
      </c>
      <c r="J48" s="53">
        <v>3</v>
      </c>
      <c r="K48" s="53">
        <v>1</v>
      </c>
      <c r="L48" s="53">
        <v>1</v>
      </c>
      <c r="M48" s="53">
        <v>3</v>
      </c>
      <c r="N48" s="53">
        <v>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4.4" hidden="1" outlineLevel="1">
      <c r="A49" s="14"/>
      <c r="B49" s="52" t="s">
        <v>81</v>
      </c>
      <c r="C49" s="53">
        <v>3</v>
      </c>
      <c r="D49" s="53">
        <v>3</v>
      </c>
      <c r="E49" s="53">
        <v>3</v>
      </c>
      <c r="F49" s="53">
        <v>2</v>
      </c>
      <c r="G49" s="53">
        <v>1</v>
      </c>
      <c r="H49" s="53">
        <v>2</v>
      </c>
      <c r="I49" s="53">
        <v>3</v>
      </c>
      <c r="J49" s="53">
        <v>3</v>
      </c>
      <c r="K49" s="53">
        <v>1</v>
      </c>
      <c r="L49" s="53">
        <v>1</v>
      </c>
      <c r="M49" s="53">
        <v>3</v>
      </c>
      <c r="N49" s="53">
        <v>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4.4" hidden="1" outlineLevel="1">
      <c r="A50" s="14"/>
      <c r="B50" s="52" t="s">
        <v>82</v>
      </c>
      <c r="C50" s="53">
        <v>3</v>
      </c>
      <c r="D50" s="53">
        <v>3</v>
      </c>
      <c r="E50" s="53">
        <v>3</v>
      </c>
      <c r="F50" s="53">
        <v>2</v>
      </c>
      <c r="G50" s="53">
        <v>3</v>
      </c>
      <c r="H50" s="53">
        <v>3</v>
      </c>
      <c r="I50" s="53">
        <v>3</v>
      </c>
      <c r="J50" s="53">
        <v>3</v>
      </c>
      <c r="K50" s="53">
        <v>1</v>
      </c>
      <c r="L50" s="53">
        <v>3</v>
      </c>
      <c r="M50" s="53">
        <v>3</v>
      </c>
      <c r="N50" s="53">
        <v>3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4.4" collapsed="1">
      <c r="A51" s="14">
        <v>7</v>
      </c>
      <c r="B51" s="50" t="s">
        <v>89</v>
      </c>
      <c r="C51" s="51">
        <f>AVERAGE(C52:C56)</f>
        <v>1.8</v>
      </c>
      <c r="D51" s="51">
        <f t="shared" ref="D51:N51" si="10">AVERAGE(D52:D56)</f>
        <v>2.6</v>
      </c>
      <c r="E51" s="51">
        <f>AVERAGE(E52:E56)</f>
        <v>2.2000000000000002</v>
      </c>
      <c r="F51" s="51">
        <f t="shared" ref="F51" si="11">AVERAGE(F52:F56)</f>
        <v>1.4</v>
      </c>
      <c r="G51" s="51">
        <f t="shared" si="10"/>
        <v>2.6</v>
      </c>
      <c r="H51" s="51">
        <f t="shared" si="10"/>
        <v>2.6</v>
      </c>
      <c r="I51" s="51">
        <f t="shared" si="10"/>
        <v>2.6</v>
      </c>
      <c r="J51" s="51">
        <f t="shared" si="10"/>
        <v>3</v>
      </c>
      <c r="K51" s="51">
        <f t="shared" si="10"/>
        <v>0.8</v>
      </c>
      <c r="L51" s="51">
        <f t="shared" si="10"/>
        <v>2.6</v>
      </c>
      <c r="M51" s="51">
        <f t="shared" si="10"/>
        <v>3</v>
      </c>
      <c r="N51" s="51">
        <f t="shared" si="10"/>
        <v>2.6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4.4" hidden="1" outlineLevel="1">
      <c r="A52" s="14"/>
      <c r="B52" s="52" t="s">
        <v>78</v>
      </c>
      <c r="C52" s="53">
        <v>2</v>
      </c>
      <c r="D52" s="53">
        <v>3</v>
      </c>
      <c r="E52" s="53">
        <v>2</v>
      </c>
      <c r="F52" s="53">
        <v>1</v>
      </c>
      <c r="G52" s="53">
        <v>3</v>
      </c>
      <c r="H52" s="53">
        <v>3</v>
      </c>
      <c r="I52" s="53">
        <v>3</v>
      </c>
      <c r="J52" s="53">
        <v>3</v>
      </c>
      <c r="K52" s="53">
        <v>0</v>
      </c>
      <c r="L52" s="53">
        <v>3</v>
      </c>
      <c r="M52" s="53">
        <v>3</v>
      </c>
      <c r="N52" s="53">
        <v>3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4.4" hidden="1" outlineLevel="1">
      <c r="A53" s="14"/>
      <c r="B53" s="52" t="s">
        <v>79</v>
      </c>
      <c r="C53" s="53">
        <v>1</v>
      </c>
      <c r="D53" s="53">
        <v>1</v>
      </c>
      <c r="E53" s="53">
        <v>1</v>
      </c>
      <c r="F53" s="53">
        <v>1</v>
      </c>
      <c r="G53" s="53">
        <v>1</v>
      </c>
      <c r="H53" s="53">
        <v>3</v>
      </c>
      <c r="I53" s="53">
        <v>3</v>
      </c>
      <c r="J53" s="53">
        <v>3</v>
      </c>
      <c r="K53" s="53">
        <v>0</v>
      </c>
      <c r="L53" s="53">
        <v>1</v>
      </c>
      <c r="M53" s="53">
        <v>3</v>
      </c>
      <c r="N53" s="53">
        <v>3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4.4" hidden="1" outlineLevel="1">
      <c r="A54" s="14"/>
      <c r="B54" s="52" t="s">
        <v>80</v>
      </c>
      <c r="C54" s="53">
        <v>2</v>
      </c>
      <c r="D54" s="53">
        <v>3</v>
      </c>
      <c r="E54" s="53">
        <v>2</v>
      </c>
      <c r="F54" s="53">
        <v>1</v>
      </c>
      <c r="G54" s="53">
        <v>3</v>
      </c>
      <c r="H54" s="53">
        <v>3</v>
      </c>
      <c r="I54" s="53">
        <v>3</v>
      </c>
      <c r="J54" s="53">
        <v>3</v>
      </c>
      <c r="K54" s="53">
        <v>0</v>
      </c>
      <c r="L54" s="53">
        <v>3</v>
      </c>
      <c r="M54" s="53">
        <v>3</v>
      </c>
      <c r="N54" s="53">
        <v>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4.4" hidden="1" outlineLevel="1">
      <c r="A55" s="14"/>
      <c r="B55" s="52" t="s">
        <v>81</v>
      </c>
      <c r="C55" s="53">
        <v>2</v>
      </c>
      <c r="D55" s="53">
        <v>3</v>
      </c>
      <c r="E55" s="53">
        <v>3</v>
      </c>
      <c r="F55" s="53">
        <v>2</v>
      </c>
      <c r="G55" s="53">
        <v>3</v>
      </c>
      <c r="H55" s="53">
        <v>2</v>
      </c>
      <c r="I55" s="53">
        <v>2</v>
      </c>
      <c r="J55" s="53">
        <v>3</v>
      </c>
      <c r="K55" s="53">
        <v>2</v>
      </c>
      <c r="L55" s="53">
        <v>3</v>
      </c>
      <c r="M55" s="53">
        <v>3</v>
      </c>
      <c r="N55" s="53">
        <v>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4.4" hidden="1" outlineLevel="1">
      <c r="A56" s="14"/>
      <c r="B56" s="52" t="s">
        <v>82</v>
      </c>
      <c r="C56" s="53">
        <v>2</v>
      </c>
      <c r="D56" s="53">
        <v>3</v>
      </c>
      <c r="E56" s="53">
        <v>3</v>
      </c>
      <c r="F56" s="53">
        <v>2</v>
      </c>
      <c r="G56" s="53">
        <v>3</v>
      </c>
      <c r="H56" s="53">
        <v>2</v>
      </c>
      <c r="I56" s="53">
        <v>2</v>
      </c>
      <c r="J56" s="53">
        <v>3</v>
      </c>
      <c r="K56" s="53">
        <v>2</v>
      </c>
      <c r="L56" s="53">
        <v>3</v>
      </c>
      <c r="M56" s="53">
        <v>3</v>
      </c>
      <c r="N56" s="53">
        <v>3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4.4" collapsed="1">
      <c r="A57" s="14">
        <v>8</v>
      </c>
      <c r="B57" s="50" t="s">
        <v>90</v>
      </c>
      <c r="C57" s="51">
        <f>AVERAGE(C58:C62)</f>
        <v>3</v>
      </c>
      <c r="D57" s="51">
        <f t="shared" ref="D57:N57" si="12">AVERAGE(D58:D62)</f>
        <v>3</v>
      </c>
      <c r="E57" s="51">
        <f>AVERAGE(E58:E62)</f>
        <v>2.2000000000000002</v>
      </c>
      <c r="F57" s="51">
        <f t="shared" ref="F57" si="13">AVERAGE(F58:F62)</f>
        <v>1.6</v>
      </c>
      <c r="G57" s="51">
        <f t="shared" si="12"/>
        <v>1</v>
      </c>
      <c r="H57" s="51">
        <f t="shared" si="12"/>
        <v>3</v>
      </c>
      <c r="I57" s="51">
        <f t="shared" si="12"/>
        <v>3</v>
      </c>
      <c r="J57" s="51">
        <f t="shared" si="12"/>
        <v>3</v>
      </c>
      <c r="K57" s="51">
        <f t="shared" si="12"/>
        <v>0.4</v>
      </c>
      <c r="L57" s="51">
        <f t="shared" si="12"/>
        <v>1.4</v>
      </c>
      <c r="M57" s="51">
        <f t="shared" si="12"/>
        <v>3</v>
      </c>
      <c r="N57" s="51">
        <f t="shared" si="12"/>
        <v>3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4.4" hidden="1" outlineLevel="1">
      <c r="A58" s="14"/>
      <c r="B58" s="52" t="s">
        <v>78</v>
      </c>
      <c r="C58" s="53">
        <v>3</v>
      </c>
      <c r="D58" s="53">
        <v>3</v>
      </c>
      <c r="E58" s="53">
        <v>3</v>
      </c>
      <c r="F58" s="53">
        <v>1</v>
      </c>
      <c r="G58" s="53">
        <v>1</v>
      </c>
      <c r="H58" s="53">
        <v>3</v>
      </c>
      <c r="I58" s="53">
        <v>3</v>
      </c>
      <c r="J58" s="53">
        <v>3</v>
      </c>
      <c r="K58" s="53">
        <v>0</v>
      </c>
      <c r="L58" s="53">
        <v>3</v>
      </c>
      <c r="M58" s="53">
        <v>3</v>
      </c>
      <c r="N58" s="53">
        <v>3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4.4" hidden="1" outlineLevel="1">
      <c r="A59" s="14"/>
      <c r="B59" s="52" t="s">
        <v>79</v>
      </c>
      <c r="C59" s="53">
        <v>3</v>
      </c>
      <c r="D59" s="53">
        <v>3</v>
      </c>
      <c r="E59" s="53">
        <v>2</v>
      </c>
      <c r="F59" s="53">
        <v>1</v>
      </c>
      <c r="G59" s="53">
        <v>1</v>
      </c>
      <c r="H59" s="53">
        <v>3</v>
      </c>
      <c r="I59" s="53">
        <v>3</v>
      </c>
      <c r="J59" s="53">
        <v>3</v>
      </c>
      <c r="K59" s="53">
        <v>0</v>
      </c>
      <c r="L59" s="53">
        <v>1</v>
      </c>
      <c r="M59" s="53">
        <v>3</v>
      </c>
      <c r="N59" s="53">
        <v>3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4.4" hidden="1" outlineLevel="1">
      <c r="A60" s="14"/>
      <c r="B60" s="52" t="s">
        <v>80</v>
      </c>
      <c r="C60" s="53">
        <v>3</v>
      </c>
      <c r="D60" s="53">
        <v>3</v>
      </c>
      <c r="E60" s="53">
        <v>2</v>
      </c>
      <c r="F60" s="53">
        <v>2</v>
      </c>
      <c r="G60" s="53">
        <v>1</v>
      </c>
      <c r="H60" s="53">
        <v>3</v>
      </c>
      <c r="I60" s="53">
        <v>3</v>
      </c>
      <c r="J60" s="53">
        <v>3</v>
      </c>
      <c r="K60" s="53">
        <v>0</v>
      </c>
      <c r="L60" s="53">
        <v>1</v>
      </c>
      <c r="M60" s="53">
        <v>3</v>
      </c>
      <c r="N60" s="53">
        <v>3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4.4" hidden="1" outlineLevel="1">
      <c r="A61" s="14"/>
      <c r="B61" s="52" t="s">
        <v>81</v>
      </c>
      <c r="C61" s="53">
        <v>3</v>
      </c>
      <c r="D61" s="53">
        <v>3</v>
      </c>
      <c r="E61" s="53">
        <v>1</v>
      </c>
      <c r="F61" s="53">
        <v>2</v>
      </c>
      <c r="G61" s="53">
        <v>1</v>
      </c>
      <c r="H61" s="53">
        <v>3</v>
      </c>
      <c r="I61" s="53">
        <v>3</v>
      </c>
      <c r="J61" s="53">
        <v>3</v>
      </c>
      <c r="K61" s="53">
        <v>1</v>
      </c>
      <c r="L61" s="53">
        <v>1</v>
      </c>
      <c r="M61" s="53">
        <v>3</v>
      </c>
      <c r="N61" s="53">
        <v>3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4.4" hidden="1" outlineLevel="1">
      <c r="A62" s="14"/>
      <c r="B62" s="52" t="s">
        <v>82</v>
      </c>
      <c r="C62" s="53">
        <v>3</v>
      </c>
      <c r="D62" s="53">
        <v>3</v>
      </c>
      <c r="E62" s="53">
        <v>3</v>
      </c>
      <c r="F62" s="53">
        <v>2</v>
      </c>
      <c r="G62" s="53">
        <v>1</v>
      </c>
      <c r="H62" s="53">
        <v>3</v>
      </c>
      <c r="I62" s="53">
        <v>3</v>
      </c>
      <c r="J62" s="53">
        <v>3</v>
      </c>
      <c r="K62" s="53">
        <v>1</v>
      </c>
      <c r="L62" s="53">
        <v>1</v>
      </c>
      <c r="M62" s="53">
        <v>3</v>
      </c>
      <c r="N62" s="53">
        <v>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4.4" collapsed="1">
      <c r="A63" s="14">
        <v>9</v>
      </c>
      <c r="B63" s="55" t="s">
        <v>91</v>
      </c>
      <c r="C63" s="56">
        <f>1</f>
        <v>1</v>
      </c>
      <c r="D63" s="56">
        <f>2</f>
        <v>2</v>
      </c>
      <c r="E63" s="56">
        <f>2</f>
        <v>2</v>
      </c>
      <c r="F63" s="56">
        <f>2</f>
        <v>2</v>
      </c>
      <c r="G63" s="56">
        <f>1</f>
        <v>1</v>
      </c>
      <c r="H63" s="56">
        <f>1</f>
        <v>1</v>
      </c>
      <c r="I63" s="56">
        <f>1</f>
        <v>1</v>
      </c>
      <c r="J63" s="56">
        <f>3</f>
        <v>3</v>
      </c>
      <c r="K63" s="56">
        <f>1</f>
        <v>1</v>
      </c>
      <c r="L63" s="56">
        <f>1</f>
        <v>1</v>
      </c>
      <c r="M63" s="56">
        <f>3</f>
        <v>3</v>
      </c>
      <c r="N63" s="56">
        <f>3</f>
        <v>3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4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4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4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4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4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4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4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4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4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4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4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4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4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4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4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4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4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4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4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4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4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4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4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4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4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4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4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4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4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4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4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4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4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4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4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4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4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4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</sheetData>
  <mergeCells count="4">
    <mergeCell ref="B2:N2"/>
    <mergeCell ref="C4:G4"/>
    <mergeCell ref="C5:G5"/>
    <mergeCell ref="C6:G6"/>
  </mergeCells>
  <phoneticPr fontId="8" type="noConversion"/>
  <conditionalFormatting sqref="B16 D16:N16 C17:N17 B18:N31 B32 D32:N32 B33:N63">
    <cfRule type="cellIs" dxfId="293" priority="15" operator="between">
      <formula>1</formula>
      <formula>1.99</formula>
    </cfRule>
  </conditionalFormatting>
  <conditionalFormatting sqref="B16:B17">
    <cfRule type="cellIs" dxfId="292" priority="10" operator="between">
      <formula>3</formula>
      <formula>3</formula>
    </cfRule>
  </conditionalFormatting>
  <conditionalFormatting sqref="B17">
    <cfRule type="cellIs" dxfId="291" priority="11" operator="between">
      <formula>2</formula>
      <formula>2.99</formula>
    </cfRule>
    <cfRule type="cellIs" dxfId="290" priority="12" operator="between">
      <formula>1</formula>
      <formula>1.99</formula>
    </cfRule>
  </conditionalFormatting>
  <conditionalFormatting sqref="C16">
    <cfRule type="cellIs" dxfId="289" priority="7" operator="between">
      <formula>3</formula>
      <formula>3</formula>
    </cfRule>
    <cfRule type="cellIs" dxfId="288" priority="8" operator="between">
      <formula>2</formula>
      <formula>2.99</formula>
    </cfRule>
    <cfRule type="cellIs" dxfId="287" priority="9" operator="between">
      <formula>1</formula>
      <formula>1.99</formula>
    </cfRule>
  </conditionalFormatting>
  <conditionalFormatting sqref="C32">
    <cfRule type="cellIs" dxfId="286" priority="1" operator="between">
      <formula>3</formula>
      <formula>3</formula>
    </cfRule>
    <cfRule type="cellIs" dxfId="285" priority="2" operator="between">
      <formula>2</formula>
      <formula>2.99</formula>
    </cfRule>
    <cfRule type="cellIs" dxfId="284" priority="3" operator="between">
      <formula>1</formula>
      <formula>1.99</formula>
    </cfRule>
  </conditionalFormatting>
  <conditionalFormatting sqref="C13:N13">
    <cfRule type="cellIs" dxfId="283" priority="16" operator="between">
      <formula>3</formula>
      <formula>3</formula>
    </cfRule>
    <cfRule type="cellIs" dxfId="282" priority="17" operator="between">
      <formula>2</formula>
      <formula>2.99</formula>
    </cfRule>
    <cfRule type="cellIs" dxfId="281" priority="18" operator="between">
      <formula>1</formula>
      <formula>1.99</formula>
    </cfRule>
  </conditionalFormatting>
  <conditionalFormatting sqref="D16:N16 C17:N17 B18:N31 B32 D32:N32 B33:N63 B16">
    <cfRule type="cellIs" dxfId="280" priority="14" operator="between">
      <formula>2</formula>
      <formula>2.99</formula>
    </cfRule>
  </conditionalFormatting>
  <conditionalFormatting sqref="D16:N16 C17:N17 B18:N31 B32 D32:N32 B33:N63">
    <cfRule type="cellIs" dxfId="279" priority="13" operator="between">
      <formula>3</formula>
      <formula>3</formula>
    </cfRule>
  </conditionalFormatting>
  <dataValidations count="1">
    <dataValidation type="custom" allowBlank="1" showInputMessage="1" showErrorMessage="1" sqref="E64:E1048576 E1 E3:E6" xr:uid="{90CBE7FC-1CC8-49ED-8399-E2FA67061517}">
      <formula1>"IF3"</formula1>
    </dataValidation>
  </dataValidations>
  <hyperlinks>
    <hyperlink ref="Q2" location="Totals!A1" display="back to &quot;Totals&quot; sheet" xr:uid="{13B7A317-E8DF-4BEF-8A3B-63D3C9C0A35C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0FF5-9451-4E5A-9A52-8016E1F69DF9}">
  <sheetPr codeName="Sheet5">
    <tabColor theme="2"/>
  </sheetPr>
  <dimension ref="A1:AC101"/>
  <sheetViews>
    <sheetView zoomScaleNormal="100" workbookViewId="0">
      <selection activeCell="N4" sqref="N4:N5"/>
    </sheetView>
  </sheetViews>
  <sheetFormatPr defaultRowHeight="15" customHeight="1" outlineLevelRow="1"/>
  <cols>
    <col min="1" max="1" width="4.88671875" customWidth="1"/>
    <col min="2" max="2" width="41.44140625" customWidth="1"/>
    <col min="3" max="15" width="10.88671875" customWidth="1"/>
    <col min="16" max="16" width="5.5546875" customWidth="1"/>
    <col min="17" max="17" width="34" bestFit="1" customWidth="1"/>
  </cols>
  <sheetData>
    <row r="1" spans="1:29" ht="14.4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92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 thickBo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 thickBo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 thickBo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5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 thickBot="1">
      <c r="A9" s="15"/>
      <c r="B9" s="27" t="s">
        <v>59</v>
      </c>
      <c r="C9" s="28"/>
      <c r="D9" s="28"/>
      <c r="E9" s="28"/>
      <c r="F9" s="28" t="s">
        <v>49</v>
      </c>
      <c r="G9" s="28"/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5"/>
      <c r="B10" s="31" t="s">
        <v>60</v>
      </c>
      <c r="C10" s="32"/>
      <c r="D10" s="32"/>
      <c r="E10" s="32"/>
      <c r="F10" s="32">
        <v>45641</v>
      </c>
      <c r="G10" s="32"/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5"/>
      <c r="B11" s="25" t="s">
        <v>61</v>
      </c>
      <c r="C11" s="5"/>
      <c r="D11" s="5"/>
      <c r="E11" s="5"/>
      <c r="F11" s="5">
        <v>45667</v>
      </c>
      <c r="G11" s="5"/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 thickBot="1">
      <c r="A12" s="15"/>
      <c r="B12" s="34" t="s">
        <v>62</v>
      </c>
      <c r="C12" s="35"/>
      <c r="D12" s="35"/>
      <c r="E12" s="35"/>
      <c r="F12" s="35">
        <v>45693</v>
      </c>
      <c r="G12" s="35"/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 thickBot="1">
      <c r="A13" s="15"/>
      <c r="B13" s="29" t="s">
        <v>63</v>
      </c>
      <c r="C13" s="30" cm="1">
        <f t="array" ref="C13">AVERAGE(IF(_xlfn.ISFORMULA(Process01[AA]),Process01[AA]))</f>
        <v>2.3382716049382717</v>
      </c>
      <c r="D13" s="30" cm="1">
        <f t="array" ref="D13">AVERAGE(IF(_xlfn.ISFORMULA(Process01[BB]),Process01[BB]))</f>
        <v>2.3358024691358024</v>
      </c>
      <c r="E13" s="30" cm="1">
        <f t="array" ref="E13">AVERAGE(IF(_xlfn.ISFORMULA(Process01[CC]),Process01[CC]))</f>
        <v>2.4888888888888889</v>
      </c>
      <c r="F13" s="30" cm="1">
        <f t="array" ref="F13">AVERAGE(IF(_xlfn.ISFORMULA(Process01[DD]),Process01[DD]))</f>
        <v>1.8370370370370368</v>
      </c>
      <c r="G13" s="30" cm="1">
        <f t="array" ref="G13">AVERAGE(IF(_xlfn.ISFORMULA(Process01[EE]),Process01[EE]))</f>
        <v>1.3555555555555556</v>
      </c>
      <c r="H13" s="30" cm="1">
        <f t="array" ref="H13">AVERAGE(IF(_xlfn.ISFORMULA(Process01[FF]),Process01[FF]))</f>
        <v>2.138271604938272</v>
      </c>
      <c r="I13" s="30" cm="1">
        <f t="array" ref="I13">AVERAGE(IF(_xlfn.ISFORMULA(Process01[GG]),Process01[GG]))</f>
        <v>2.2962962962962963</v>
      </c>
      <c r="J13" s="30" cm="1">
        <f t="array" ref="J13">AVERAGE(IF(_xlfn.ISFORMULA(Process01[HH]),Process01[HH]))</f>
        <v>3</v>
      </c>
      <c r="K13" s="30" cm="1">
        <f t="array" ref="K13">AVERAGE(IF(_xlfn.ISFORMULA(Process01[II]),Process01[II]))</f>
        <v>0.79259259259259263</v>
      </c>
      <c r="L13" s="30" cm="1">
        <f t="array" ref="L13">AVERAGE(IF(_xlfn.ISFORMULA(Process01[JJ]),Process01[JJ]))</f>
        <v>1.6444444444444446</v>
      </c>
      <c r="M13" s="30" cm="1">
        <f t="array" ref="M13">AVERAGE(IF(_xlfn.ISFORMULA(Process01[KK]),Process01[KK]))</f>
        <v>3</v>
      </c>
      <c r="N13" s="49" cm="1">
        <f t="array" ref="N13">AVERAGE(IF(_xlfn.ISFORMULA(Process01[LL]),Process01[LL]))</f>
        <v>2.4469135802469135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 thickBo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thickBot="1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4.4" customHeight="1">
      <c r="A16" s="14">
        <v>1</v>
      </c>
      <c r="B16" s="57" t="s">
        <v>93</v>
      </c>
      <c r="C16" s="73">
        <f>AVERAGE(C17:C25)</f>
        <v>2.4444444444444446</v>
      </c>
      <c r="D16" s="58">
        <f t="shared" ref="D16:N16" si="0">AVERAGE(D17:D25)</f>
        <v>2.2222222222222223</v>
      </c>
      <c r="E16" s="58">
        <f>AVERAGE(E17:E25)</f>
        <v>3</v>
      </c>
      <c r="F16" s="58">
        <f t="shared" ref="F16" si="1">AVERAGE(F17:F25)</f>
        <v>2.3333333333333335</v>
      </c>
      <c r="G16" s="58">
        <f t="shared" si="0"/>
        <v>1</v>
      </c>
      <c r="H16" s="58">
        <f t="shared" si="0"/>
        <v>2.4444444444444446</v>
      </c>
      <c r="I16" s="58">
        <f t="shared" si="0"/>
        <v>2.6666666666666665</v>
      </c>
      <c r="J16" s="58">
        <f t="shared" si="0"/>
        <v>3</v>
      </c>
      <c r="K16" s="58">
        <f t="shared" si="0"/>
        <v>0.33333333333333331</v>
      </c>
      <c r="L16" s="58">
        <f t="shared" si="0"/>
        <v>1</v>
      </c>
      <c r="M16" s="58">
        <f t="shared" si="0"/>
        <v>3</v>
      </c>
      <c r="N16" s="58">
        <f t="shared" si="0"/>
        <v>1.2222222222222223</v>
      </c>
      <c r="O16" s="46" t="s">
        <v>66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4.4" hidden="1" customHeight="1" outlineLevel="1">
      <c r="A17" s="14"/>
      <c r="B17" s="52" t="s">
        <v>67</v>
      </c>
      <c r="C17" s="53">
        <v>3</v>
      </c>
      <c r="D17" s="53">
        <v>1</v>
      </c>
      <c r="E17" s="53">
        <v>3</v>
      </c>
      <c r="F17" s="53">
        <v>3</v>
      </c>
      <c r="G17" s="53">
        <v>1</v>
      </c>
      <c r="H17" s="53">
        <v>3</v>
      </c>
      <c r="I17" s="53">
        <v>3</v>
      </c>
      <c r="J17" s="53">
        <v>3</v>
      </c>
      <c r="K17" s="53">
        <v>1</v>
      </c>
      <c r="L17" s="53">
        <v>1</v>
      </c>
      <c r="M17" s="53">
        <v>3</v>
      </c>
      <c r="N17" s="53">
        <v>1</v>
      </c>
      <c r="O17" s="45" t="s">
        <v>68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4.4" hidden="1" customHeight="1" outlineLevel="1">
      <c r="A18" s="14"/>
      <c r="B18" s="52" t="s">
        <v>69</v>
      </c>
      <c r="C18" s="53">
        <v>2</v>
      </c>
      <c r="D18" s="53">
        <v>1</v>
      </c>
      <c r="E18" s="53">
        <v>3</v>
      </c>
      <c r="F18" s="53">
        <v>1</v>
      </c>
      <c r="G18" s="53">
        <v>1</v>
      </c>
      <c r="H18" s="53">
        <v>2</v>
      </c>
      <c r="I18" s="53">
        <v>3</v>
      </c>
      <c r="J18" s="53">
        <v>3</v>
      </c>
      <c r="K18" s="53">
        <v>1</v>
      </c>
      <c r="L18" s="53">
        <v>1</v>
      </c>
      <c r="M18" s="53">
        <v>3</v>
      </c>
      <c r="N18" s="53">
        <v>1</v>
      </c>
      <c r="O18" s="45" t="s">
        <v>68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4.4" hidden="1" customHeight="1" outlineLevel="1">
      <c r="A19" s="14"/>
      <c r="B19" s="52" t="s">
        <v>70</v>
      </c>
      <c r="C19" s="53">
        <v>2</v>
      </c>
      <c r="D19" s="53">
        <v>2</v>
      </c>
      <c r="E19" s="53">
        <v>3</v>
      </c>
      <c r="F19" s="53">
        <v>2</v>
      </c>
      <c r="G19" s="53">
        <v>1</v>
      </c>
      <c r="H19" s="53">
        <v>2</v>
      </c>
      <c r="I19" s="53">
        <v>3</v>
      </c>
      <c r="J19" s="53">
        <v>3</v>
      </c>
      <c r="K19" s="53">
        <v>1</v>
      </c>
      <c r="L19" s="53">
        <v>1</v>
      </c>
      <c r="M19" s="53">
        <v>3</v>
      </c>
      <c r="N19" s="53">
        <v>1</v>
      </c>
      <c r="O19" s="45" t="s">
        <v>68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4.4" hidden="1" customHeight="1" outlineLevel="1">
      <c r="A20" s="14"/>
      <c r="B20" s="52" t="s">
        <v>71</v>
      </c>
      <c r="C20" s="53">
        <v>2</v>
      </c>
      <c r="D20" s="53">
        <v>3</v>
      </c>
      <c r="E20" s="53">
        <v>3</v>
      </c>
      <c r="F20" s="53">
        <v>1</v>
      </c>
      <c r="G20" s="53">
        <v>1</v>
      </c>
      <c r="H20" s="53">
        <v>1</v>
      </c>
      <c r="I20" s="53">
        <v>1</v>
      </c>
      <c r="J20" s="53">
        <v>3</v>
      </c>
      <c r="K20" s="53">
        <v>0</v>
      </c>
      <c r="L20" s="53">
        <v>1</v>
      </c>
      <c r="M20" s="53">
        <v>3</v>
      </c>
      <c r="N20" s="53">
        <v>1</v>
      </c>
      <c r="O20" s="45" t="s">
        <v>68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4.4" hidden="1" customHeight="1" outlineLevel="1">
      <c r="A21" s="14"/>
      <c r="B21" s="52" t="s">
        <v>72</v>
      </c>
      <c r="C21" s="53">
        <v>2</v>
      </c>
      <c r="D21" s="53">
        <v>2</v>
      </c>
      <c r="E21" s="53">
        <v>3</v>
      </c>
      <c r="F21" s="53">
        <v>3</v>
      </c>
      <c r="G21" s="53">
        <v>1</v>
      </c>
      <c r="H21" s="53">
        <v>3</v>
      </c>
      <c r="I21" s="53">
        <v>3</v>
      </c>
      <c r="J21" s="53">
        <v>3</v>
      </c>
      <c r="K21" s="53">
        <v>0</v>
      </c>
      <c r="L21" s="53">
        <v>1</v>
      </c>
      <c r="M21" s="53">
        <v>3</v>
      </c>
      <c r="N21" s="53">
        <v>1</v>
      </c>
      <c r="O21" s="45" t="s">
        <v>68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4.4" hidden="1" customHeight="1" outlineLevel="1">
      <c r="A22" s="14"/>
      <c r="B22" s="52" t="s">
        <v>73</v>
      </c>
      <c r="C22" s="53">
        <v>2</v>
      </c>
      <c r="D22" s="53">
        <v>3</v>
      </c>
      <c r="E22" s="53">
        <v>3</v>
      </c>
      <c r="F22" s="53">
        <v>3</v>
      </c>
      <c r="G22" s="53">
        <v>1</v>
      </c>
      <c r="H22" s="53">
        <v>3</v>
      </c>
      <c r="I22" s="53">
        <v>3</v>
      </c>
      <c r="J22" s="53">
        <v>3</v>
      </c>
      <c r="K22" s="53">
        <v>0</v>
      </c>
      <c r="L22" s="53">
        <v>1</v>
      </c>
      <c r="M22" s="53">
        <v>3</v>
      </c>
      <c r="N22" s="53">
        <v>1</v>
      </c>
      <c r="O22" s="45" t="s">
        <v>68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4.4" hidden="1" customHeight="1" outlineLevel="1">
      <c r="A23" s="14"/>
      <c r="B23" s="52" t="s">
        <v>74</v>
      </c>
      <c r="C23" s="53">
        <v>3</v>
      </c>
      <c r="D23" s="53">
        <v>3</v>
      </c>
      <c r="E23" s="53">
        <v>3</v>
      </c>
      <c r="F23" s="53">
        <v>3</v>
      </c>
      <c r="G23" s="53">
        <v>1</v>
      </c>
      <c r="H23" s="53">
        <v>3</v>
      </c>
      <c r="I23" s="53">
        <v>3</v>
      </c>
      <c r="J23" s="53">
        <v>3</v>
      </c>
      <c r="K23" s="53">
        <v>0</v>
      </c>
      <c r="L23" s="53">
        <v>1</v>
      </c>
      <c r="M23" s="53">
        <v>3</v>
      </c>
      <c r="N23" s="53">
        <v>1</v>
      </c>
      <c r="O23" s="45" t="s">
        <v>68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4.4" hidden="1" customHeight="1" outlineLevel="1">
      <c r="A24" s="14"/>
      <c r="B24" s="52" t="s">
        <v>75</v>
      </c>
      <c r="C24" s="53">
        <v>3</v>
      </c>
      <c r="D24" s="53">
        <v>2</v>
      </c>
      <c r="E24" s="53">
        <v>3</v>
      </c>
      <c r="F24" s="53">
        <v>2</v>
      </c>
      <c r="G24" s="53">
        <v>1</v>
      </c>
      <c r="H24" s="53">
        <v>2</v>
      </c>
      <c r="I24" s="53">
        <v>2</v>
      </c>
      <c r="J24" s="53">
        <v>3</v>
      </c>
      <c r="K24" s="53">
        <v>0</v>
      </c>
      <c r="L24" s="53">
        <v>1</v>
      </c>
      <c r="M24" s="53">
        <v>3</v>
      </c>
      <c r="N24" s="53">
        <v>1</v>
      </c>
      <c r="O24" s="45" t="s">
        <v>68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4.4" hidden="1" customHeight="1" outlineLevel="1">
      <c r="A25" s="14"/>
      <c r="B25" s="52" t="s">
        <v>76</v>
      </c>
      <c r="C25" s="53">
        <v>3</v>
      </c>
      <c r="D25" s="53">
        <v>3</v>
      </c>
      <c r="E25" s="53">
        <v>3</v>
      </c>
      <c r="F25" s="53">
        <v>3</v>
      </c>
      <c r="G25" s="53">
        <v>1</v>
      </c>
      <c r="H25" s="53">
        <v>3</v>
      </c>
      <c r="I25" s="53">
        <v>3</v>
      </c>
      <c r="J25" s="53">
        <v>3</v>
      </c>
      <c r="K25" s="53">
        <v>0</v>
      </c>
      <c r="L25" s="53">
        <v>1</v>
      </c>
      <c r="M25" s="53">
        <v>3</v>
      </c>
      <c r="N25" s="53">
        <v>3</v>
      </c>
      <c r="O25" s="45" t="s">
        <v>68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4.4" customHeight="1" collapsed="1">
      <c r="A26" s="14">
        <v>2</v>
      </c>
      <c r="B26" s="50" t="s">
        <v>77</v>
      </c>
      <c r="C26" s="51">
        <f t="shared" ref="C26:N26" si="2">AVERAGE(C27:C31)</f>
        <v>3</v>
      </c>
      <c r="D26" s="51">
        <f t="shared" si="2"/>
        <v>2.4</v>
      </c>
      <c r="E26" s="51">
        <f>AVERAGE(E27:E31)</f>
        <v>3</v>
      </c>
      <c r="F26" s="51">
        <f t="shared" ref="F26" si="3">AVERAGE(F27:F31)</f>
        <v>1.8</v>
      </c>
      <c r="G26" s="51">
        <f t="shared" si="2"/>
        <v>1.4</v>
      </c>
      <c r="H26" s="51">
        <f t="shared" si="2"/>
        <v>2</v>
      </c>
      <c r="I26" s="51">
        <f t="shared" si="2"/>
        <v>2</v>
      </c>
      <c r="J26" s="51">
        <f t="shared" si="2"/>
        <v>3</v>
      </c>
      <c r="K26" s="51">
        <f t="shared" si="2"/>
        <v>1.8</v>
      </c>
      <c r="L26" s="51">
        <f t="shared" si="2"/>
        <v>1.4</v>
      </c>
      <c r="M26" s="51">
        <f t="shared" si="2"/>
        <v>3</v>
      </c>
      <c r="N26" s="51">
        <f t="shared" si="2"/>
        <v>1.8</v>
      </c>
      <c r="O26" s="46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4.4" hidden="1" customHeight="1" outlineLevel="1">
      <c r="A27" s="14"/>
      <c r="B27" s="52" t="s">
        <v>78</v>
      </c>
      <c r="C27" s="53">
        <v>3</v>
      </c>
      <c r="D27" s="53">
        <v>1</v>
      </c>
      <c r="E27" s="53">
        <v>3</v>
      </c>
      <c r="F27" s="53">
        <v>2</v>
      </c>
      <c r="G27" s="53">
        <v>3</v>
      </c>
      <c r="H27" s="53">
        <v>2</v>
      </c>
      <c r="I27" s="53">
        <v>2</v>
      </c>
      <c r="J27" s="53">
        <v>3</v>
      </c>
      <c r="K27" s="53">
        <v>2</v>
      </c>
      <c r="L27" s="53">
        <v>3</v>
      </c>
      <c r="M27" s="53">
        <v>3</v>
      </c>
      <c r="N27" s="53">
        <v>3</v>
      </c>
      <c r="O27" s="45" t="s">
        <v>68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4.4" hidden="1" customHeight="1" outlineLevel="1">
      <c r="A28" s="14"/>
      <c r="B28" s="52" t="s">
        <v>79</v>
      </c>
      <c r="C28" s="53">
        <v>3</v>
      </c>
      <c r="D28" s="53">
        <v>2</v>
      </c>
      <c r="E28" s="53">
        <v>3</v>
      </c>
      <c r="F28" s="53">
        <v>1</v>
      </c>
      <c r="G28" s="53">
        <v>1</v>
      </c>
      <c r="H28" s="53">
        <v>2</v>
      </c>
      <c r="I28" s="53">
        <v>2</v>
      </c>
      <c r="J28" s="53">
        <v>3</v>
      </c>
      <c r="K28" s="53">
        <v>2</v>
      </c>
      <c r="L28" s="53">
        <v>1</v>
      </c>
      <c r="M28" s="53">
        <v>3</v>
      </c>
      <c r="N28" s="53">
        <v>3</v>
      </c>
      <c r="O28" s="45" t="s">
        <v>68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4.4" hidden="1" customHeight="1" outlineLevel="1">
      <c r="A29" s="14"/>
      <c r="B29" s="52" t="s">
        <v>80</v>
      </c>
      <c r="C29" s="53">
        <v>3</v>
      </c>
      <c r="D29" s="53">
        <v>3</v>
      </c>
      <c r="E29" s="53">
        <v>3</v>
      </c>
      <c r="F29" s="53">
        <v>1</v>
      </c>
      <c r="G29" s="53">
        <v>1</v>
      </c>
      <c r="H29" s="53">
        <v>1</v>
      </c>
      <c r="I29" s="53">
        <v>1</v>
      </c>
      <c r="J29" s="53">
        <v>3</v>
      </c>
      <c r="K29" s="53">
        <v>2</v>
      </c>
      <c r="L29" s="53">
        <v>1</v>
      </c>
      <c r="M29" s="53">
        <v>3</v>
      </c>
      <c r="N29" s="53">
        <v>1</v>
      </c>
      <c r="O29" s="45" t="s">
        <v>68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4.4" hidden="1" customHeight="1" outlineLevel="1">
      <c r="A30" s="14"/>
      <c r="B30" s="52" t="s">
        <v>81</v>
      </c>
      <c r="C30" s="53">
        <v>3</v>
      </c>
      <c r="D30" s="53">
        <v>3</v>
      </c>
      <c r="E30" s="53">
        <v>3</v>
      </c>
      <c r="F30" s="53">
        <v>2</v>
      </c>
      <c r="G30" s="53">
        <v>1</v>
      </c>
      <c r="H30" s="53">
        <v>2</v>
      </c>
      <c r="I30" s="53">
        <v>2</v>
      </c>
      <c r="J30" s="53">
        <v>3</v>
      </c>
      <c r="K30" s="53">
        <v>1</v>
      </c>
      <c r="L30" s="53">
        <v>1</v>
      </c>
      <c r="M30" s="53">
        <v>3</v>
      </c>
      <c r="N30" s="53">
        <v>1</v>
      </c>
      <c r="O30" s="45" t="s">
        <v>68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4.4" hidden="1" customHeight="1" outlineLevel="1">
      <c r="A31" s="14"/>
      <c r="B31" s="52" t="s">
        <v>82</v>
      </c>
      <c r="C31" s="53">
        <v>3</v>
      </c>
      <c r="D31" s="53">
        <v>3</v>
      </c>
      <c r="E31" s="53">
        <v>3</v>
      </c>
      <c r="F31" s="53">
        <v>3</v>
      </c>
      <c r="G31" s="53">
        <v>1</v>
      </c>
      <c r="H31" s="53">
        <v>3</v>
      </c>
      <c r="I31" s="53">
        <v>3</v>
      </c>
      <c r="J31" s="53">
        <v>3</v>
      </c>
      <c r="K31" s="53">
        <v>2</v>
      </c>
      <c r="L31" s="53">
        <v>1</v>
      </c>
      <c r="M31" s="53">
        <v>3</v>
      </c>
      <c r="N31" s="53">
        <v>1</v>
      </c>
      <c r="O31" s="45" t="s">
        <v>68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4.4" customHeight="1" collapsed="1">
      <c r="A32" s="14">
        <v>3</v>
      </c>
      <c r="B32" s="50" t="s">
        <v>83</v>
      </c>
      <c r="C32" s="74">
        <f>2</f>
        <v>2</v>
      </c>
      <c r="D32" s="54">
        <f>2</f>
        <v>2</v>
      </c>
      <c r="E32" s="54">
        <f>1</f>
        <v>1</v>
      </c>
      <c r="F32" s="54">
        <f>1</f>
        <v>1</v>
      </c>
      <c r="G32" s="54">
        <f>1</f>
        <v>1</v>
      </c>
      <c r="H32" s="54">
        <f>2</f>
        <v>2</v>
      </c>
      <c r="I32" s="54">
        <f>2</f>
        <v>2</v>
      </c>
      <c r="J32" s="54">
        <f>3</f>
        <v>3</v>
      </c>
      <c r="K32" s="54">
        <f>1</f>
        <v>1</v>
      </c>
      <c r="L32" s="54">
        <f>2</f>
        <v>2</v>
      </c>
      <c r="M32" s="54">
        <f>3</f>
        <v>3</v>
      </c>
      <c r="N32" s="54">
        <f>3</f>
        <v>3</v>
      </c>
      <c r="O32" s="46" t="s">
        <v>84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4" customHeight="1">
      <c r="A33" s="14">
        <v>4</v>
      </c>
      <c r="B33" s="50" t="s">
        <v>85</v>
      </c>
      <c r="C33" s="51">
        <f>AVERAGE(C34:C38)</f>
        <v>3</v>
      </c>
      <c r="D33" s="51">
        <f t="shared" ref="D33:N33" si="4">AVERAGE(D34:D38)</f>
        <v>2</v>
      </c>
      <c r="E33" s="51">
        <f>AVERAGE(E34:E38)</f>
        <v>3</v>
      </c>
      <c r="F33" s="51">
        <f t="shared" ref="F33" si="5">AVERAGE(F34:F38)</f>
        <v>3</v>
      </c>
      <c r="G33" s="51">
        <f t="shared" si="4"/>
        <v>1</v>
      </c>
      <c r="H33" s="51">
        <f t="shared" si="4"/>
        <v>3</v>
      </c>
      <c r="I33" s="51">
        <f t="shared" si="4"/>
        <v>3</v>
      </c>
      <c r="J33" s="51">
        <f t="shared" si="4"/>
        <v>3</v>
      </c>
      <c r="K33" s="51">
        <f>AVERAGE(K34:K38)</f>
        <v>0</v>
      </c>
      <c r="L33" s="51">
        <f t="shared" si="4"/>
        <v>1.8</v>
      </c>
      <c r="M33" s="51">
        <f t="shared" si="4"/>
        <v>3</v>
      </c>
      <c r="N33" s="51">
        <f t="shared" si="4"/>
        <v>3</v>
      </c>
      <c r="O33" s="46" t="s">
        <v>86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4.4" hidden="1" customHeight="1" outlineLevel="1">
      <c r="A34" s="14"/>
      <c r="B34" s="52" t="s">
        <v>78</v>
      </c>
      <c r="C34" s="53">
        <v>3</v>
      </c>
      <c r="D34" s="53">
        <v>2</v>
      </c>
      <c r="E34" s="53">
        <v>3</v>
      </c>
      <c r="F34" s="53">
        <v>3</v>
      </c>
      <c r="G34" s="53">
        <v>1</v>
      </c>
      <c r="H34" s="53">
        <v>3</v>
      </c>
      <c r="I34" s="53">
        <v>3</v>
      </c>
      <c r="J34" s="53">
        <v>3</v>
      </c>
      <c r="K34" s="53">
        <v>0</v>
      </c>
      <c r="L34" s="53">
        <v>3</v>
      </c>
      <c r="M34" s="53">
        <v>3</v>
      </c>
      <c r="N34" s="53">
        <v>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4.4" hidden="1" customHeight="1" outlineLevel="1">
      <c r="A35" s="14"/>
      <c r="B35" s="52" t="s">
        <v>79</v>
      </c>
      <c r="C35" s="53">
        <v>3</v>
      </c>
      <c r="D35" s="53">
        <v>2</v>
      </c>
      <c r="E35" s="53">
        <v>3</v>
      </c>
      <c r="F35" s="53">
        <v>3</v>
      </c>
      <c r="G35" s="53">
        <v>1</v>
      </c>
      <c r="H35" s="53">
        <v>3</v>
      </c>
      <c r="I35" s="53">
        <v>3</v>
      </c>
      <c r="J35" s="53">
        <v>3</v>
      </c>
      <c r="K35" s="53">
        <v>0</v>
      </c>
      <c r="L35" s="53">
        <v>1</v>
      </c>
      <c r="M35" s="53">
        <v>3</v>
      </c>
      <c r="N35" s="53">
        <v>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4.4" hidden="1" customHeight="1" outlineLevel="1">
      <c r="A36" s="14"/>
      <c r="B36" s="52" t="s">
        <v>80</v>
      </c>
      <c r="C36" s="53">
        <v>3</v>
      </c>
      <c r="D36" s="53">
        <v>1</v>
      </c>
      <c r="E36" s="53">
        <v>3</v>
      </c>
      <c r="F36" s="53">
        <v>3</v>
      </c>
      <c r="G36" s="53">
        <v>1</v>
      </c>
      <c r="H36" s="53">
        <v>3</v>
      </c>
      <c r="I36" s="53">
        <v>3</v>
      </c>
      <c r="J36" s="53">
        <v>3</v>
      </c>
      <c r="K36" s="53">
        <v>0</v>
      </c>
      <c r="L36" s="53">
        <v>1</v>
      </c>
      <c r="M36" s="53">
        <v>3</v>
      </c>
      <c r="N36" s="53">
        <v>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4.4" hidden="1" customHeight="1" outlineLevel="1">
      <c r="A37" s="14"/>
      <c r="B37" s="52" t="s">
        <v>81</v>
      </c>
      <c r="C37" s="53">
        <v>3</v>
      </c>
      <c r="D37" s="53">
        <v>2</v>
      </c>
      <c r="E37" s="53">
        <v>3</v>
      </c>
      <c r="F37" s="53">
        <v>3</v>
      </c>
      <c r="G37" s="53">
        <v>1</v>
      </c>
      <c r="H37" s="53">
        <v>3</v>
      </c>
      <c r="I37" s="53">
        <v>3</v>
      </c>
      <c r="J37" s="53">
        <v>3</v>
      </c>
      <c r="K37" s="53">
        <v>0</v>
      </c>
      <c r="L37" s="53">
        <v>1</v>
      </c>
      <c r="M37" s="53">
        <v>3</v>
      </c>
      <c r="N37" s="53">
        <v>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4.4" hidden="1" customHeight="1" outlineLevel="1">
      <c r="A38" s="14"/>
      <c r="B38" s="52" t="s">
        <v>82</v>
      </c>
      <c r="C38" s="53">
        <v>3</v>
      </c>
      <c r="D38" s="53">
        <v>3</v>
      </c>
      <c r="E38" s="53">
        <v>3</v>
      </c>
      <c r="F38" s="53">
        <v>3</v>
      </c>
      <c r="G38" s="53">
        <v>1</v>
      </c>
      <c r="H38" s="53">
        <v>3</v>
      </c>
      <c r="I38" s="53">
        <v>3</v>
      </c>
      <c r="J38" s="53">
        <v>3</v>
      </c>
      <c r="K38" s="53">
        <v>0</v>
      </c>
      <c r="L38" s="53">
        <v>3</v>
      </c>
      <c r="M38" s="53">
        <v>3</v>
      </c>
      <c r="N38" s="53">
        <v>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4.4" customHeight="1" collapsed="1">
      <c r="A39" s="14">
        <v>5</v>
      </c>
      <c r="B39" s="50" t="s">
        <v>87</v>
      </c>
      <c r="C39" s="51">
        <f t="shared" ref="C39:N39" si="6">AVERAGE(C40:C44)</f>
        <v>1.8</v>
      </c>
      <c r="D39" s="51">
        <f t="shared" si="6"/>
        <v>1.8</v>
      </c>
      <c r="E39" s="51">
        <f>AVERAGE(E40:E44)</f>
        <v>3</v>
      </c>
      <c r="F39" s="51">
        <f t="shared" ref="F39" si="7">AVERAGE(F40:F44)</f>
        <v>1.8</v>
      </c>
      <c r="G39" s="51">
        <f t="shared" si="6"/>
        <v>1.4</v>
      </c>
      <c r="H39" s="51">
        <f t="shared" si="6"/>
        <v>1.4</v>
      </c>
      <c r="I39" s="51">
        <f t="shared" si="6"/>
        <v>1.4</v>
      </c>
      <c r="J39" s="51">
        <f t="shared" si="6"/>
        <v>3</v>
      </c>
      <c r="K39" s="51">
        <f t="shared" si="6"/>
        <v>0.4</v>
      </c>
      <c r="L39" s="51">
        <f t="shared" si="6"/>
        <v>1.8</v>
      </c>
      <c r="M39" s="51">
        <f t="shared" si="6"/>
        <v>3</v>
      </c>
      <c r="N39" s="51">
        <f t="shared" si="6"/>
        <v>3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4.4" hidden="1" customHeight="1" outlineLevel="1">
      <c r="A40" s="14"/>
      <c r="B40" s="52" t="s">
        <v>78</v>
      </c>
      <c r="C40" s="53">
        <v>2</v>
      </c>
      <c r="D40" s="53">
        <v>2</v>
      </c>
      <c r="E40" s="53">
        <v>3</v>
      </c>
      <c r="F40" s="53">
        <v>2</v>
      </c>
      <c r="G40" s="53">
        <v>1</v>
      </c>
      <c r="H40" s="53">
        <v>1</v>
      </c>
      <c r="I40" s="53">
        <v>1</v>
      </c>
      <c r="J40" s="53">
        <v>3</v>
      </c>
      <c r="K40" s="53">
        <v>1</v>
      </c>
      <c r="L40" s="53">
        <v>2</v>
      </c>
      <c r="M40" s="53">
        <v>3</v>
      </c>
      <c r="N40" s="53">
        <v>3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4.4" hidden="1" customHeight="1" outlineLevel="1">
      <c r="A41" s="14"/>
      <c r="B41" s="52" t="s">
        <v>79</v>
      </c>
      <c r="C41" s="53">
        <v>2</v>
      </c>
      <c r="D41" s="53">
        <v>2</v>
      </c>
      <c r="E41" s="53">
        <v>3</v>
      </c>
      <c r="F41" s="53">
        <v>2</v>
      </c>
      <c r="G41" s="53">
        <v>1</v>
      </c>
      <c r="H41" s="53">
        <v>1</v>
      </c>
      <c r="I41" s="53">
        <v>1</v>
      </c>
      <c r="J41" s="53">
        <v>3</v>
      </c>
      <c r="K41" s="53">
        <v>1</v>
      </c>
      <c r="L41" s="53">
        <v>2</v>
      </c>
      <c r="M41" s="53">
        <v>3</v>
      </c>
      <c r="N41" s="53">
        <v>3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4.4" hidden="1" customHeight="1" outlineLevel="1">
      <c r="A42" s="14"/>
      <c r="B42" s="52" t="s">
        <v>80</v>
      </c>
      <c r="C42" s="53">
        <v>1</v>
      </c>
      <c r="D42" s="53">
        <v>1</v>
      </c>
      <c r="E42" s="53">
        <v>3</v>
      </c>
      <c r="F42" s="53">
        <v>1</v>
      </c>
      <c r="G42" s="53">
        <v>1</v>
      </c>
      <c r="H42" s="53">
        <v>1</v>
      </c>
      <c r="I42" s="53">
        <v>1</v>
      </c>
      <c r="J42" s="53">
        <v>3</v>
      </c>
      <c r="K42" s="53">
        <v>0</v>
      </c>
      <c r="L42" s="53">
        <v>1</v>
      </c>
      <c r="M42" s="53">
        <v>3</v>
      </c>
      <c r="N42" s="53">
        <v>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4.4" hidden="1" customHeight="1" outlineLevel="1">
      <c r="A43" s="14"/>
      <c r="B43" s="52" t="s">
        <v>81</v>
      </c>
      <c r="C43" s="53">
        <v>1</v>
      </c>
      <c r="D43" s="53">
        <v>1</v>
      </c>
      <c r="E43" s="53">
        <v>3</v>
      </c>
      <c r="F43" s="53">
        <v>1</v>
      </c>
      <c r="G43" s="53">
        <v>1</v>
      </c>
      <c r="H43" s="53">
        <v>1</v>
      </c>
      <c r="I43" s="53">
        <v>1</v>
      </c>
      <c r="J43" s="53">
        <v>3</v>
      </c>
      <c r="K43" s="53">
        <v>0</v>
      </c>
      <c r="L43" s="53">
        <v>1</v>
      </c>
      <c r="M43" s="53">
        <v>3</v>
      </c>
      <c r="N43" s="53">
        <v>3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4.4" hidden="1" customHeight="1" outlineLevel="1">
      <c r="A44" s="14"/>
      <c r="B44" s="52" t="s">
        <v>82</v>
      </c>
      <c r="C44" s="53">
        <v>3</v>
      </c>
      <c r="D44" s="53">
        <v>3</v>
      </c>
      <c r="E44" s="53">
        <v>3</v>
      </c>
      <c r="F44" s="53">
        <v>3</v>
      </c>
      <c r="G44" s="53">
        <v>3</v>
      </c>
      <c r="H44" s="53">
        <v>3</v>
      </c>
      <c r="I44" s="53">
        <v>3</v>
      </c>
      <c r="J44" s="53">
        <v>3</v>
      </c>
      <c r="K44" s="53">
        <v>0</v>
      </c>
      <c r="L44" s="53">
        <v>3</v>
      </c>
      <c r="M44" s="53">
        <v>3</v>
      </c>
      <c r="N44" s="53">
        <v>3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4.4" customHeight="1" collapsed="1">
      <c r="A45" s="14">
        <v>6</v>
      </c>
      <c r="B45" s="50" t="s">
        <v>88</v>
      </c>
      <c r="C45" s="51">
        <f>AVERAGE(C46:C50)</f>
        <v>3</v>
      </c>
      <c r="D45" s="51">
        <f t="shared" ref="D45:N45" si="8">AVERAGE(D46:D50)</f>
        <v>3</v>
      </c>
      <c r="E45" s="51">
        <f>AVERAGE(E46:E50)</f>
        <v>3</v>
      </c>
      <c r="F45" s="51">
        <f t="shared" ref="F45" si="9">AVERAGE(F46:F50)</f>
        <v>1.6</v>
      </c>
      <c r="G45" s="51">
        <f t="shared" si="8"/>
        <v>1.8</v>
      </c>
      <c r="H45" s="51">
        <f t="shared" si="8"/>
        <v>1.8</v>
      </c>
      <c r="I45" s="51">
        <f t="shared" si="8"/>
        <v>3</v>
      </c>
      <c r="J45" s="51">
        <f t="shared" si="8"/>
        <v>3</v>
      </c>
      <c r="K45" s="51">
        <f t="shared" si="8"/>
        <v>1.4</v>
      </c>
      <c r="L45" s="51">
        <f t="shared" si="8"/>
        <v>1.8</v>
      </c>
      <c r="M45" s="51">
        <f t="shared" si="8"/>
        <v>3</v>
      </c>
      <c r="N45" s="51">
        <f t="shared" si="8"/>
        <v>1.4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4.4" hidden="1" customHeight="1" outlineLevel="1">
      <c r="A46" s="14"/>
      <c r="B46" s="52" t="s">
        <v>78</v>
      </c>
      <c r="C46" s="53">
        <v>3</v>
      </c>
      <c r="D46" s="53">
        <v>3</v>
      </c>
      <c r="E46" s="53">
        <v>3</v>
      </c>
      <c r="F46" s="53">
        <v>1</v>
      </c>
      <c r="G46" s="53">
        <v>3</v>
      </c>
      <c r="H46" s="53">
        <v>1</v>
      </c>
      <c r="I46" s="53">
        <v>3</v>
      </c>
      <c r="J46" s="53">
        <v>3</v>
      </c>
      <c r="K46" s="53">
        <v>3</v>
      </c>
      <c r="L46" s="53">
        <v>3</v>
      </c>
      <c r="M46" s="53">
        <v>3</v>
      </c>
      <c r="N46" s="53">
        <v>1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4.4" hidden="1" customHeight="1" outlineLevel="1">
      <c r="A47" s="14"/>
      <c r="B47" s="52" t="s">
        <v>79</v>
      </c>
      <c r="C47" s="53">
        <v>3</v>
      </c>
      <c r="D47" s="53">
        <v>3</v>
      </c>
      <c r="E47" s="53">
        <v>3</v>
      </c>
      <c r="F47" s="53">
        <v>2</v>
      </c>
      <c r="G47" s="53">
        <v>1</v>
      </c>
      <c r="H47" s="53">
        <v>2</v>
      </c>
      <c r="I47" s="53">
        <v>3</v>
      </c>
      <c r="J47" s="53">
        <v>3</v>
      </c>
      <c r="K47" s="53">
        <v>1</v>
      </c>
      <c r="L47" s="53">
        <v>1</v>
      </c>
      <c r="M47" s="53">
        <v>3</v>
      </c>
      <c r="N47" s="53">
        <v>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4.4" hidden="1" customHeight="1" outlineLevel="1">
      <c r="A48" s="14"/>
      <c r="B48" s="52" t="s">
        <v>80</v>
      </c>
      <c r="C48" s="53">
        <v>3</v>
      </c>
      <c r="D48" s="53">
        <v>3</v>
      </c>
      <c r="E48" s="53">
        <v>3</v>
      </c>
      <c r="F48" s="53">
        <v>1</v>
      </c>
      <c r="G48" s="53">
        <v>1</v>
      </c>
      <c r="H48" s="53">
        <v>1</v>
      </c>
      <c r="I48" s="53">
        <v>3</v>
      </c>
      <c r="J48" s="53">
        <v>3</v>
      </c>
      <c r="K48" s="53">
        <v>1</v>
      </c>
      <c r="L48" s="53">
        <v>1</v>
      </c>
      <c r="M48" s="53">
        <v>3</v>
      </c>
      <c r="N48" s="53">
        <v>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4.4" hidden="1" customHeight="1" outlineLevel="1">
      <c r="A49" s="14"/>
      <c r="B49" s="52" t="s">
        <v>81</v>
      </c>
      <c r="C49" s="53">
        <v>3</v>
      </c>
      <c r="D49" s="53">
        <v>3</v>
      </c>
      <c r="E49" s="53">
        <v>3</v>
      </c>
      <c r="F49" s="53">
        <v>2</v>
      </c>
      <c r="G49" s="53">
        <v>1</v>
      </c>
      <c r="H49" s="53">
        <v>2</v>
      </c>
      <c r="I49" s="53">
        <v>3</v>
      </c>
      <c r="J49" s="53">
        <v>3</v>
      </c>
      <c r="K49" s="53">
        <v>1</v>
      </c>
      <c r="L49" s="53">
        <v>1</v>
      </c>
      <c r="M49" s="53">
        <v>3</v>
      </c>
      <c r="N49" s="53">
        <v>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4.4" hidden="1" customHeight="1" outlineLevel="1">
      <c r="A50" s="14"/>
      <c r="B50" s="52" t="s">
        <v>82</v>
      </c>
      <c r="C50" s="53">
        <v>3</v>
      </c>
      <c r="D50" s="53">
        <v>3</v>
      </c>
      <c r="E50" s="53">
        <v>3</v>
      </c>
      <c r="F50" s="53">
        <v>2</v>
      </c>
      <c r="G50" s="53">
        <v>3</v>
      </c>
      <c r="H50" s="53">
        <v>3</v>
      </c>
      <c r="I50" s="53">
        <v>3</v>
      </c>
      <c r="J50" s="53">
        <v>3</v>
      </c>
      <c r="K50" s="53">
        <v>1</v>
      </c>
      <c r="L50" s="53">
        <v>3</v>
      </c>
      <c r="M50" s="53">
        <v>3</v>
      </c>
      <c r="N50" s="53">
        <v>3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4.4" customHeight="1" collapsed="1">
      <c r="A51" s="14">
        <v>7</v>
      </c>
      <c r="B51" s="50" t="s">
        <v>89</v>
      </c>
      <c r="C51" s="51">
        <f>AVERAGE(C52:C56)</f>
        <v>1.8</v>
      </c>
      <c r="D51" s="51">
        <f t="shared" ref="D51:N51" si="10">AVERAGE(D52:D56)</f>
        <v>2.6</v>
      </c>
      <c r="E51" s="51">
        <f>AVERAGE(E52:E56)</f>
        <v>2.2000000000000002</v>
      </c>
      <c r="F51" s="51">
        <f t="shared" ref="F51" si="11">AVERAGE(F52:F56)</f>
        <v>1.4</v>
      </c>
      <c r="G51" s="51">
        <f t="shared" si="10"/>
        <v>2.6</v>
      </c>
      <c r="H51" s="51">
        <f t="shared" si="10"/>
        <v>2.6</v>
      </c>
      <c r="I51" s="51">
        <f t="shared" si="10"/>
        <v>2.6</v>
      </c>
      <c r="J51" s="51">
        <f t="shared" si="10"/>
        <v>3</v>
      </c>
      <c r="K51" s="51">
        <f t="shared" si="10"/>
        <v>0.8</v>
      </c>
      <c r="L51" s="51">
        <f t="shared" si="10"/>
        <v>2.6</v>
      </c>
      <c r="M51" s="51">
        <f t="shared" si="10"/>
        <v>3</v>
      </c>
      <c r="N51" s="51">
        <f t="shared" si="10"/>
        <v>2.6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4.4" hidden="1" customHeight="1" outlineLevel="1">
      <c r="A52" s="14"/>
      <c r="B52" s="52" t="s">
        <v>78</v>
      </c>
      <c r="C52" s="53">
        <v>2</v>
      </c>
      <c r="D52" s="53">
        <v>3</v>
      </c>
      <c r="E52" s="53">
        <v>2</v>
      </c>
      <c r="F52" s="53">
        <v>1</v>
      </c>
      <c r="G52" s="53">
        <v>3</v>
      </c>
      <c r="H52" s="53">
        <v>3</v>
      </c>
      <c r="I52" s="53">
        <v>3</v>
      </c>
      <c r="J52" s="53">
        <v>3</v>
      </c>
      <c r="K52" s="53">
        <v>0</v>
      </c>
      <c r="L52" s="53">
        <v>3</v>
      </c>
      <c r="M52" s="53">
        <v>3</v>
      </c>
      <c r="N52" s="53">
        <v>3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4.4" hidden="1" customHeight="1" outlineLevel="1">
      <c r="A53" s="14"/>
      <c r="B53" s="52" t="s">
        <v>79</v>
      </c>
      <c r="C53" s="53">
        <v>1</v>
      </c>
      <c r="D53" s="53">
        <v>1</v>
      </c>
      <c r="E53" s="53">
        <v>1</v>
      </c>
      <c r="F53" s="53">
        <v>1</v>
      </c>
      <c r="G53" s="53">
        <v>1</v>
      </c>
      <c r="H53" s="53">
        <v>3</v>
      </c>
      <c r="I53" s="53">
        <v>3</v>
      </c>
      <c r="J53" s="53">
        <v>3</v>
      </c>
      <c r="K53" s="53">
        <v>0</v>
      </c>
      <c r="L53" s="53">
        <v>1</v>
      </c>
      <c r="M53" s="53">
        <v>3</v>
      </c>
      <c r="N53" s="53">
        <v>3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4.4" hidden="1" customHeight="1" outlineLevel="1">
      <c r="A54" s="14"/>
      <c r="B54" s="52" t="s">
        <v>80</v>
      </c>
      <c r="C54" s="53">
        <v>2</v>
      </c>
      <c r="D54" s="53">
        <v>3</v>
      </c>
      <c r="E54" s="53">
        <v>2</v>
      </c>
      <c r="F54" s="53">
        <v>1</v>
      </c>
      <c r="G54" s="53">
        <v>3</v>
      </c>
      <c r="H54" s="53">
        <v>3</v>
      </c>
      <c r="I54" s="53">
        <v>3</v>
      </c>
      <c r="J54" s="53">
        <v>3</v>
      </c>
      <c r="K54" s="53">
        <v>0</v>
      </c>
      <c r="L54" s="53">
        <v>3</v>
      </c>
      <c r="M54" s="53">
        <v>3</v>
      </c>
      <c r="N54" s="53">
        <v>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4.4" hidden="1" customHeight="1" outlineLevel="1">
      <c r="A55" s="14"/>
      <c r="B55" s="52" t="s">
        <v>81</v>
      </c>
      <c r="C55" s="53">
        <v>2</v>
      </c>
      <c r="D55" s="53">
        <v>3</v>
      </c>
      <c r="E55" s="53">
        <v>3</v>
      </c>
      <c r="F55" s="53">
        <v>2</v>
      </c>
      <c r="G55" s="53">
        <v>3</v>
      </c>
      <c r="H55" s="53">
        <v>2</v>
      </c>
      <c r="I55" s="53">
        <v>2</v>
      </c>
      <c r="J55" s="53">
        <v>3</v>
      </c>
      <c r="K55" s="53">
        <v>2</v>
      </c>
      <c r="L55" s="53">
        <v>3</v>
      </c>
      <c r="M55" s="53">
        <v>3</v>
      </c>
      <c r="N55" s="53">
        <v>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4.4" hidden="1" customHeight="1" outlineLevel="1">
      <c r="A56" s="14"/>
      <c r="B56" s="52" t="s">
        <v>82</v>
      </c>
      <c r="C56" s="53">
        <v>2</v>
      </c>
      <c r="D56" s="53">
        <v>3</v>
      </c>
      <c r="E56" s="53">
        <v>3</v>
      </c>
      <c r="F56" s="53">
        <v>2</v>
      </c>
      <c r="G56" s="53">
        <v>3</v>
      </c>
      <c r="H56" s="53">
        <v>2</v>
      </c>
      <c r="I56" s="53">
        <v>2</v>
      </c>
      <c r="J56" s="53">
        <v>3</v>
      </c>
      <c r="K56" s="53">
        <v>2</v>
      </c>
      <c r="L56" s="53">
        <v>3</v>
      </c>
      <c r="M56" s="53">
        <v>3</v>
      </c>
      <c r="N56" s="53">
        <v>3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4.4" customHeight="1" collapsed="1">
      <c r="A57" s="14">
        <v>8</v>
      </c>
      <c r="B57" s="50" t="s">
        <v>90</v>
      </c>
      <c r="C57" s="51">
        <f>AVERAGE(C58:C62)</f>
        <v>3</v>
      </c>
      <c r="D57" s="51">
        <f t="shared" ref="D57:N57" si="12">AVERAGE(D58:D62)</f>
        <v>3</v>
      </c>
      <c r="E57" s="51">
        <f>AVERAGE(E58:E62)</f>
        <v>2.2000000000000002</v>
      </c>
      <c r="F57" s="51">
        <f t="shared" ref="F57" si="13">AVERAGE(F58:F62)</f>
        <v>1.6</v>
      </c>
      <c r="G57" s="51">
        <f t="shared" si="12"/>
        <v>1</v>
      </c>
      <c r="H57" s="51">
        <f t="shared" si="12"/>
        <v>3</v>
      </c>
      <c r="I57" s="51">
        <f t="shared" si="12"/>
        <v>3</v>
      </c>
      <c r="J57" s="51">
        <f t="shared" si="12"/>
        <v>3</v>
      </c>
      <c r="K57" s="51">
        <f t="shared" si="12"/>
        <v>0.4</v>
      </c>
      <c r="L57" s="51">
        <f t="shared" si="12"/>
        <v>1.4</v>
      </c>
      <c r="M57" s="51">
        <f t="shared" si="12"/>
        <v>3</v>
      </c>
      <c r="N57" s="51">
        <f t="shared" si="12"/>
        <v>3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4.4" hidden="1" customHeight="1" outlineLevel="1">
      <c r="A58" s="14"/>
      <c r="B58" s="52" t="s">
        <v>78</v>
      </c>
      <c r="C58" s="53">
        <v>3</v>
      </c>
      <c r="D58" s="53">
        <v>3</v>
      </c>
      <c r="E58" s="53">
        <v>3</v>
      </c>
      <c r="F58" s="53">
        <v>1</v>
      </c>
      <c r="G58" s="53">
        <v>1</v>
      </c>
      <c r="H58" s="53">
        <v>3</v>
      </c>
      <c r="I58" s="53">
        <v>3</v>
      </c>
      <c r="J58" s="53">
        <v>3</v>
      </c>
      <c r="K58" s="53">
        <v>0</v>
      </c>
      <c r="L58" s="53">
        <v>3</v>
      </c>
      <c r="M58" s="53">
        <v>3</v>
      </c>
      <c r="N58" s="53">
        <v>3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4.4" hidden="1" customHeight="1" outlineLevel="1">
      <c r="A59" s="14"/>
      <c r="B59" s="52" t="s">
        <v>79</v>
      </c>
      <c r="C59" s="53">
        <v>3</v>
      </c>
      <c r="D59" s="53">
        <v>3</v>
      </c>
      <c r="E59" s="53">
        <v>2</v>
      </c>
      <c r="F59" s="53">
        <v>1</v>
      </c>
      <c r="G59" s="53">
        <v>1</v>
      </c>
      <c r="H59" s="53">
        <v>3</v>
      </c>
      <c r="I59" s="53">
        <v>3</v>
      </c>
      <c r="J59" s="53">
        <v>3</v>
      </c>
      <c r="K59" s="53">
        <v>0</v>
      </c>
      <c r="L59" s="53">
        <v>1</v>
      </c>
      <c r="M59" s="53">
        <v>3</v>
      </c>
      <c r="N59" s="53">
        <v>3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4.4" hidden="1" customHeight="1" outlineLevel="1">
      <c r="A60" s="14"/>
      <c r="B60" s="52" t="s">
        <v>80</v>
      </c>
      <c r="C60" s="53">
        <v>3</v>
      </c>
      <c r="D60" s="53">
        <v>3</v>
      </c>
      <c r="E60" s="53">
        <v>2</v>
      </c>
      <c r="F60" s="53">
        <v>2</v>
      </c>
      <c r="G60" s="53">
        <v>1</v>
      </c>
      <c r="H60" s="53">
        <v>3</v>
      </c>
      <c r="I60" s="53">
        <v>3</v>
      </c>
      <c r="J60" s="53">
        <v>3</v>
      </c>
      <c r="K60" s="53">
        <v>0</v>
      </c>
      <c r="L60" s="53">
        <v>1</v>
      </c>
      <c r="M60" s="53">
        <v>3</v>
      </c>
      <c r="N60" s="53">
        <v>3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4.4" hidden="1" customHeight="1" outlineLevel="1">
      <c r="A61" s="14"/>
      <c r="B61" s="52" t="s">
        <v>81</v>
      </c>
      <c r="C61" s="53">
        <v>3</v>
      </c>
      <c r="D61" s="53">
        <v>3</v>
      </c>
      <c r="E61" s="53">
        <v>1</v>
      </c>
      <c r="F61" s="53">
        <v>2</v>
      </c>
      <c r="G61" s="53">
        <v>1</v>
      </c>
      <c r="H61" s="53">
        <v>3</v>
      </c>
      <c r="I61" s="53">
        <v>3</v>
      </c>
      <c r="J61" s="53">
        <v>3</v>
      </c>
      <c r="K61" s="53">
        <v>1</v>
      </c>
      <c r="L61" s="53">
        <v>1</v>
      </c>
      <c r="M61" s="53">
        <v>3</v>
      </c>
      <c r="N61" s="53">
        <v>3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4.4" hidden="1" customHeight="1" outlineLevel="1">
      <c r="A62" s="14"/>
      <c r="B62" s="52" t="s">
        <v>82</v>
      </c>
      <c r="C62" s="53">
        <v>3</v>
      </c>
      <c r="D62" s="53">
        <v>3</v>
      </c>
      <c r="E62" s="53">
        <v>3</v>
      </c>
      <c r="F62" s="53">
        <v>2</v>
      </c>
      <c r="G62" s="53">
        <v>1</v>
      </c>
      <c r="H62" s="53">
        <v>3</v>
      </c>
      <c r="I62" s="53">
        <v>3</v>
      </c>
      <c r="J62" s="53">
        <v>3</v>
      </c>
      <c r="K62" s="53">
        <v>1</v>
      </c>
      <c r="L62" s="53">
        <v>1</v>
      </c>
      <c r="M62" s="53">
        <v>3</v>
      </c>
      <c r="N62" s="53">
        <v>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4.4" customHeight="1" collapsed="1">
      <c r="A63" s="14">
        <v>9</v>
      </c>
      <c r="B63" s="55" t="s">
        <v>94</v>
      </c>
      <c r="C63" s="56">
        <f>1</f>
        <v>1</v>
      </c>
      <c r="D63" s="56">
        <f>2</f>
        <v>2</v>
      </c>
      <c r="E63" s="56">
        <f>2</f>
        <v>2</v>
      </c>
      <c r="F63" s="56">
        <f>2</f>
        <v>2</v>
      </c>
      <c r="G63" s="56">
        <f>1</f>
        <v>1</v>
      </c>
      <c r="H63" s="56">
        <f>1</f>
        <v>1</v>
      </c>
      <c r="I63" s="56">
        <f>1</f>
        <v>1</v>
      </c>
      <c r="J63" s="56">
        <f>3</f>
        <v>3</v>
      </c>
      <c r="K63" s="56">
        <f>1</f>
        <v>1</v>
      </c>
      <c r="L63" s="56">
        <f>1</f>
        <v>1</v>
      </c>
      <c r="M63" s="56">
        <f>3</f>
        <v>3</v>
      </c>
      <c r="N63" s="56">
        <f>3</f>
        <v>3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4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4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4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4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4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4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4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4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4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4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4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4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4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4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4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4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4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4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4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4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4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4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4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4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4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4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4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4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4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4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4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4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4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4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4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4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4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4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</sheetData>
  <mergeCells count="4">
    <mergeCell ref="B2:N2"/>
    <mergeCell ref="C4:G4"/>
    <mergeCell ref="C5:G5"/>
    <mergeCell ref="C6:G6"/>
  </mergeCells>
  <phoneticPr fontId="8" type="noConversion"/>
  <conditionalFormatting sqref="B16 D16:N16 B17:N31 B32 D32:N32 B33:N63">
    <cfRule type="cellIs" dxfId="278" priority="9" operator="between">
      <formula>3</formula>
      <formula>3</formula>
    </cfRule>
    <cfRule type="cellIs" dxfId="277" priority="10" operator="between">
      <formula>2</formula>
      <formula>2.99</formula>
    </cfRule>
    <cfRule type="cellIs" dxfId="276" priority="11" operator="between">
      <formula>1</formula>
      <formula>1.99</formula>
    </cfRule>
  </conditionalFormatting>
  <conditionalFormatting sqref="C16">
    <cfRule type="cellIs" dxfId="275" priority="4" operator="between">
      <formula>3</formula>
      <formula>3</formula>
    </cfRule>
    <cfRule type="cellIs" dxfId="274" priority="5" operator="between">
      <formula>2</formula>
      <formula>2.99</formula>
    </cfRule>
    <cfRule type="cellIs" dxfId="273" priority="6" operator="between">
      <formula>1</formula>
      <formula>1.99</formula>
    </cfRule>
  </conditionalFormatting>
  <conditionalFormatting sqref="C32">
    <cfRule type="cellIs" dxfId="272" priority="1" operator="between">
      <formula>3</formula>
      <formula>3</formula>
    </cfRule>
    <cfRule type="cellIs" dxfId="271" priority="2" operator="between">
      <formula>2</formula>
      <formula>2.99</formula>
    </cfRule>
    <cfRule type="cellIs" dxfId="270" priority="3" operator="between">
      <formula>1</formula>
      <formula>1.99</formula>
    </cfRule>
  </conditionalFormatting>
  <conditionalFormatting sqref="C13:N13">
    <cfRule type="cellIs" dxfId="269" priority="14" operator="between">
      <formula>3</formula>
      <formula>3</formula>
    </cfRule>
    <cfRule type="cellIs" dxfId="268" priority="15" operator="between">
      <formula>2</formula>
      <formula>2.99</formula>
    </cfRule>
    <cfRule type="cellIs" dxfId="267" priority="16" operator="between">
      <formula>1</formula>
      <formula>1.99</formula>
    </cfRule>
  </conditionalFormatting>
  <dataValidations disablePrompts="1" count="1">
    <dataValidation type="custom" allowBlank="1" showInputMessage="1" showErrorMessage="1" sqref="E64:E1048576 E1 E3:E6" xr:uid="{043E0A80-DC13-421F-881E-B9E30C4F8EC3}">
      <formula1>"IF3"</formula1>
    </dataValidation>
  </dataValidations>
  <hyperlinks>
    <hyperlink ref="Q2" location="Totals!A1" display="back to &quot;Totals&quot; sheet" xr:uid="{2A2FB12E-DB51-462C-9B48-0A07EF683E52}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3C47-8F80-44B9-B558-FC70826C5082}">
  <sheetPr codeName="Sheet12"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95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 thickBo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 thickBo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 thickBo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 thickBo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 thickBo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 thickBot="1">
      <c r="A13" s="14"/>
      <c r="B13" s="29" t="s">
        <v>63</v>
      </c>
      <c r="C13" s="30" cm="1">
        <f t="array" ref="C13">AVERAGE(IF(_xlfn.ISFORMULA(Process02[AA]),Process02[AA]))</f>
        <v>2.7827160493827159</v>
      </c>
      <c r="D13" s="30" cm="1">
        <f t="array" ref="D13">AVERAGE(IF(_xlfn.ISFORMULA(Process02[BB]),Process02[BB]))</f>
        <v>2.5802469135802468</v>
      </c>
      <c r="E13" s="30" cm="1">
        <f t="array" ref="E13">AVERAGE(IF(_xlfn.ISFORMULA(Process02[CC]),Process02[CC]))</f>
        <v>3</v>
      </c>
      <c r="F13" s="30" cm="1">
        <f t="array" ref="F13">AVERAGE(IF(_xlfn.ISFORMULA(Process02[DD]),Process02[DD]))</f>
        <v>3</v>
      </c>
      <c r="G13" s="30" cm="1">
        <f t="array" ref="G13">AVERAGE(IF(_xlfn.ISFORMULA(Process02[EE]),Process02[EE]))</f>
        <v>1.3555555555555556</v>
      </c>
      <c r="H13" s="30" cm="1">
        <f t="array" ref="H13">AVERAGE(IF(_xlfn.ISFORMULA(Process02[FF]),Process02[FF]))</f>
        <v>2.3851851851851853</v>
      </c>
      <c r="I13" s="30" cm="1">
        <f t="array" ref="I13">AVERAGE(IF(_xlfn.ISFORMULA(Process02[GG]),Process02[GG]))</f>
        <v>3</v>
      </c>
      <c r="J13" s="30" cm="1">
        <f t="array" ref="J13">AVERAGE(IF(_xlfn.ISFORMULA(Process02[HH]),Process02[HH]))</f>
        <v>2.7851851851851852</v>
      </c>
      <c r="K13" s="30" cm="1">
        <f t="array" ref="K13">AVERAGE(IF(_xlfn.ISFORMULA(Process02[II]),Process02[II]))</f>
        <v>0.84444444444444455</v>
      </c>
      <c r="L13" s="30" cm="1">
        <f t="array" ref="L13">AVERAGE(IF(_xlfn.ISFORMULA(Process02[JJ]),Process02[JJ]))</f>
        <v>1.7777777777777777</v>
      </c>
      <c r="M13" s="30" cm="1">
        <f t="array" ref="M13">AVERAGE(IF(_xlfn.ISFORMULA(Process02[KK]),Process02[KK]))</f>
        <v>3</v>
      </c>
      <c r="N13" s="30" cm="1">
        <f t="array" ref="N13">AVERAGE(IF(_xlfn.ISFORMULA(Process02[LL]),Process02[LL]))</f>
        <v>2.2691358024691359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 thickBo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" thickBot="1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73">
        <f>AVERAGE(C17:C25)</f>
        <v>2.4444444444444446</v>
      </c>
      <c r="D16" s="58">
        <f t="shared" ref="D16:N16" si="0">AVERAGE(D17:D25)</f>
        <v>2.2222222222222223</v>
      </c>
      <c r="E16" s="58">
        <f>AVERAGE(E17:E25)</f>
        <v>3</v>
      </c>
      <c r="F16" s="58">
        <f t="shared" si="0"/>
        <v>3</v>
      </c>
      <c r="G16" s="58">
        <f t="shared" si="0"/>
        <v>1</v>
      </c>
      <c r="H16" s="58">
        <f t="shared" si="0"/>
        <v>2.6666666666666665</v>
      </c>
      <c r="I16" s="58">
        <f>AVERAGE(I17:I25)</f>
        <v>3</v>
      </c>
      <c r="J16" s="58">
        <f t="shared" si="0"/>
        <v>2.6666666666666665</v>
      </c>
      <c r="K16" s="58">
        <f t="shared" si="0"/>
        <v>0</v>
      </c>
      <c r="L16" s="58">
        <f t="shared" si="0"/>
        <v>1</v>
      </c>
      <c r="M16" s="58">
        <f t="shared" si="0"/>
        <v>3</v>
      </c>
      <c r="N16" s="58">
        <f t="shared" si="0"/>
        <v>1.2222222222222223</v>
      </c>
      <c r="O16" s="46" t="s">
        <v>66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outlineLevel="1">
      <c r="A17" s="14"/>
      <c r="B17" s="52" t="s">
        <v>67</v>
      </c>
      <c r="C17" s="53">
        <v>3</v>
      </c>
      <c r="D17" s="53">
        <v>1</v>
      </c>
      <c r="E17" s="53">
        <v>3</v>
      </c>
      <c r="F17" s="53">
        <v>3</v>
      </c>
      <c r="G17" s="53">
        <v>1</v>
      </c>
      <c r="H17" s="53">
        <v>3</v>
      </c>
      <c r="I17" s="53">
        <v>3</v>
      </c>
      <c r="J17" s="53">
        <v>3</v>
      </c>
      <c r="K17" s="53">
        <v>0</v>
      </c>
      <c r="L17" s="53">
        <v>1</v>
      </c>
      <c r="M17" s="53">
        <v>3</v>
      </c>
      <c r="N17" s="53">
        <v>1</v>
      </c>
      <c r="O17" s="45" t="s">
        <v>68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outlineLevel="1">
      <c r="A18" s="14"/>
      <c r="B18" s="60" t="s">
        <v>69</v>
      </c>
      <c r="C18" s="53">
        <v>2</v>
      </c>
      <c r="D18" s="53">
        <v>1</v>
      </c>
      <c r="E18" s="53">
        <v>3</v>
      </c>
      <c r="F18" s="53">
        <v>3</v>
      </c>
      <c r="G18" s="53">
        <v>1</v>
      </c>
      <c r="H18" s="53">
        <v>3</v>
      </c>
      <c r="I18" s="53">
        <v>3</v>
      </c>
      <c r="J18" s="53">
        <v>3</v>
      </c>
      <c r="K18" s="53">
        <v>0</v>
      </c>
      <c r="L18" s="53">
        <v>1</v>
      </c>
      <c r="M18" s="53">
        <v>3</v>
      </c>
      <c r="N18" s="53">
        <v>1</v>
      </c>
      <c r="O18" s="45" t="s">
        <v>68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outlineLevel="1">
      <c r="A19" s="14"/>
      <c r="B19" s="60" t="s">
        <v>70</v>
      </c>
      <c r="C19" s="53">
        <v>2</v>
      </c>
      <c r="D19" s="53">
        <v>2</v>
      </c>
      <c r="E19" s="53">
        <v>3</v>
      </c>
      <c r="F19" s="53">
        <v>3</v>
      </c>
      <c r="G19" s="53">
        <v>1</v>
      </c>
      <c r="H19" s="53">
        <v>3</v>
      </c>
      <c r="I19" s="53">
        <v>3</v>
      </c>
      <c r="J19" s="53">
        <v>3</v>
      </c>
      <c r="K19" s="53">
        <v>0</v>
      </c>
      <c r="L19" s="53">
        <v>1</v>
      </c>
      <c r="M19" s="53">
        <v>3</v>
      </c>
      <c r="N19" s="53">
        <v>1</v>
      </c>
      <c r="O19" s="45" t="s">
        <v>68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outlineLevel="1">
      <c r="A20" s="14"/>
      <c r="B20" s="60" t="s">
        <v>71</v>
      </c>
      <c r="C20" s="53">
        <v>2</v>
      </c>
      <c r="D20" s="53">
        <v>3</v>
      </c>
      <c r="E20" s="53">
        <v>3</v>
      </c>
      <c r="F20" s="53">
        <v>3</v>
      </c>
      <c r="G20" s="53">
        <v>1</v>
      </c>
      <c r="H20" s="53">
        <v>1</v>
      </c>
      <c r="I20" s="53">
        <v>3</v>
      </c>
      <c r="J20" s="53">
        <v>1</v>
      </c>
      <c r="K20" s="53">
        <v>0</v>
      </c>
      <c r="L20" s="53">
        <v>1</v>
      </c>
      <c r="M20" s="53">
        <v>3</v>
      </c>
      <c r="N20" s="53">
        <v>1</v>
      </c>
      <c r="O20" s="45" t="s">
        <v>68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outlineLevel="1">
      <c r="A21" s="14"/>
      <c r="B21" s="60" t="s">
        <v>72</v>
      </c>
      <c r="C21" s="53">
        <v>2</v>
      </c>
      <c r="D21" s="53">
        <v>2</v>
      </c>
      <c r="E21" s="53">
        <v>3</v>
      </c>
      <c r="F21" s="53">
        <v>3</v>
      </c>
      <c r="G21" s="53">
        <v>1</v>
      </c>
      <c r="H21" s="53">
        <v>3</v>
      </c>
      <c r="I21" s="53">
        <v>3</v>
      </c>
      <c r="J21" s="53">
        <v>3</v>
      </c>
      <c r="K21" s="53">
        <v>0</v>
      </c>
      <c r="L21" s="53">
        <v>1</v>
      </c>
      <c r="M21" s="53">
        <v>3</v>
      </c>
      <c r="N21" s="53">
        <v>1</v>
      </c>
      <c r="O21" s="45" t="s">
        <v>68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outlineLevel="1">
      <c r="A22" s="14"/>
      <c r="B22" s="60" t="s">
        <v>73</v>
      </c>
      <c r="C22" s="53">
        <v>2</v>
      </c>
      <c r="D22" s="53">
        <v>3</v>
      </c>
      <c r="E22" s="53">
        <v>3</v>
      </c>
      <c r="F22" s="53">
        <v>3</v>
      </c>
      <c r="G22" s="53">
        <v>1</v>
      </c>
      <c r="H22" s="53">
        <v>3</v>
      </c>
      <c r="I22" s="53">
        <v>3</v>
      </c>
      <c r="J22" s="53">
        <v>3</v>
      </c>
      <c r="K22" s="53">
        <v>0</v>
      </c>
      <c r="L22" s="53">
        <v>1</v>
      </c>
      <c r="M22" s="53">
        <v>3</v>
      </c>
      <c r="N22" s="53">
        <v>1</v>
      </c>
      <c r="O22" s="45" t="s">
        <v>68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outlineLevel="1">
      <c r="A23" s="14"/>
      <c r="B23" s="60" t="s">
        <v>74</v>
      </c>
      <c r="C23" s="53">
        <v>3</v>
      </c>
      <c r="D23" s="53">
        <v>3</v>
      </c>
      <c r="E23" s="53">
        <v>3</v>
      </c>
      <c r="F23" s="53">
        <v>3</v>
      </c>
      <c r="G23" s="53">
        <v>1</v>
      </c>
      <c r="H23" s="53">
        <v>3</v>
      </c>
      <c r="I23" s="53">
        <v>3</v>
      </c>
      <c r="J23" s="53">
        <v>3</v>
      </c>
      <c r="K23" s="53">
        <v>0</v>
      </c>
      <c r="L23" s="53">
        <v>1</v>
      </c>
      <c r="M23" s="53">
        <v>3</v>
      </c>
      <c r="N23" s="53">
        <v>1</v>
      </c>
      <c r="O23" s="45" t="s">
        <v>68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outlineLevel="1">
      <c r="A24" s="14"/>
      <c r="B24" s="60" t="s">
        <v>75</v>
      </c>
      <c r="C24" s="53">
        <v>3</v>
      </c>
      <c r="D24" s="53">
        <v>2</v>
      </c>
      <c r="E24" s="53">
        <v>3</v>
      </c>
      <c r="F24" s="53">
        <v>3</v>
      </c>
      <c r="G24" s="53">
        <v>1</v>
      </c>
      <c r="H24" s="53">
        <v>2</v>
      </c>
      <c r="I24" s="53">
        <v>3</v>
      </c>
      <c r="J24" s="53">
        <v>2</v>
      </c>
      <c r="K24" s="53">
        <v>0</v>
      </c>
      <c r="L24" s="53">
        <v>1</v>
      </c>
      <c r="M24" s="53">
        <v>3</v>
      </c>
      <c r="N24" s="53">
        <v>1</v>
      </c>
      <c r="O24" s="45" t="s">
        <v>68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outlineLevel="1">
      <c r="A25" s="14"/>
      <c r="B25" s="60" t="s">
        <v>76</v>
      </c>
      <c r="C25" s="53">
        <v>3</v>
      </c>
      <c r="D25" s="53">
        <v>3</v>
      </c>
      <c r="E25" s="53">
        <v>3</v>
      </c>
      <c r="F25" s="53">
        <v>3</v>
      </c>
      <c r="G25" s="53">
        <v>1</v>
      </c>
      <c r="H25" s="53">
        <v>3</v>
      </c>
      <c r="I25" s="53">
        <v>3</v>
      </c>
      <c r="J25" s="53">
        <v>3</v>
      </c>
      <c r="K25" s="53">
        <v>0</v>
      </c>
      <c r="L25" s="53">
        <v>1</v>
      </c>
      <c r="M25" s="53">
        <v>3</v>
      </c>
      <c r="N25" s="53">
        <v>3</v>
      </c>
      <c r="O25" s="45" t="s">
        <v>68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>
      <c r="A26" s="14">
        <v>2</v>
      </c>
      <c r="B26" s="59" t="s">
        <v>77</v>
      </c>
      <c r="C26" s="51">
        <f>AVERAGE(C27:C31)</f>
        <v>3</v>
      </c>
      <c r="D26" s="51">
        <f t="shared" ref="D26:N26" si="1">AVERAGE(D27:D31)</f>
        <v>2.4</v>
      </c>
      <c r="E26" s="51">
        <f>AVERAGE(E27:E31)</f>
        <v>3</v>
      </c>
      <c r="F26" s="51">
        <f t="shared" si="1"/>
        <v>3</v>
      </c>
      <c r="G26" s="51">
        <f t="shared" si="1"/>
        <v>1.4</v>
      </c>
      <c r="H26" s="51">
        <f t="shared" si="1"/>
        <v>2</v>
      </c>
      <c r="I26" s="51">
        <f>AVERAGE(I27:I31)</f>
        <v>3</v>
      </c>
      <c r="J26" s="51">
        <f t="shared" si="1"/>
        <v>3</v>
      </c>
      <c r="K26" s="51">
        <f t="shared" si="1"/>
        <v>0.6</v>
      </c>
      <c r="L26" s="51">
        <f t="shared" si="1"/>
        <v>1.4</v>
      </c>
      <c r="M26" s="51">
        <f t="shared" si="1"/>
        <v>3</v>
      </c>
      <c r="N26" s="51">
        <f t="shared" si="1"/>
        <v>1.8</v>
      </c>
      <c r="O26" s="46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3</v>
      </c>
      <c r="D27" s="53">
        <v>1</v>
      </c>
      <c r="E27" s="53">
        <v>3</v>
      </c>
      <c r="F27" s="53">
        <v>3</v>
      </c>
      <c r="G27" s="53">
        <v>3</v>
      </c>
      <c r="H27" s="53">
        <v>2</v>
      </c>
      <c r="I27" s="53">
        <v>3</v>
      </c>
      <c r="J27" s="53">
        <v>3</v>
      </c>
      <c r="K27" s="53">
        <v>0</v>
      </c>
      <c r="L27" s="53">
        <v>3</v>
      </c>
      <c r="M27" s="53">
        <v>3</v>
      </c>
      <c r="N27" s="53">
        <v>3</v>
      </c>
      <c r="O27" s="45" t="s">
        <v>68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3</v>
      </c>
      <c r="D28" s="53">
        <v>2</v>
      </c>
      <c r="E28" s="53">
        <v>3</v>
      </c>
      <c r="F28" s="53">
        <v>3</v>
      </c>
      <c r="G28" s="53">
        <v>1</v>
      </c>
      <c r="H28" s="53">
        <v>2</v>
      </c>
      <c r="I28" s="53">
        <v>3</v>
      </c>
      <c r="J28" s="53">
        <v>3</v>
      </c>
      <c r="K28" s="53">
        <v>0</v>
      </c>
      <c r="L28" s="53">
        <v>1</v>
      </c>
      <c r="M28" s="53">
        <v>3</v>
      </c>
      <c r="N28" s="53">
        <v>3</v>
      </c>
      <c r="O28" s="45" t="s">
        <v>68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3</v>
      </c>
      <c r="D29" s="53">
        <v>3</v>
      </c>
      <c r="E29" s="53">
        <v>3</v>
      </c>
      <c r="F29" s="53">
        <v>3</v>
      </c>
      <c r="G29" s="53">
        <v>1</v>
      </c>
      <c r="H29" s="53">
        <v>1</v>
      </c>
      <c r="I29" s="53">
        <v>3</v>
      </c>
      <c r="J29" s="53">
        <v>3</v>
      </c>
      <c r="K29" s="53">
        <v>0</v>
      </c>
      <c r="L29" s="53">
        <v>1</v>
      </c>
      <c r="M29" s="53">
        <v>3</v>
      </c>
      <c r="N29" s="53">
        <v>1</v>
      </c>
      <c r="O29" s="45" t="s">
        <v>68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3</v>
      </c>
      <c r="D30" s="53">
        <v>3</v>
      </c>
      <c r="E30" s="53">
        <v>3</v>
      </c>
      <c r="F30" s="53">
        <v>3</v>
      </c>
      <c r="G30" s="53">
        <v>1</v>
      </c>
      <c r="H30" s="53">
        <v>2</v>
      </c>
      <c r="I30" s="53">
        <v>3</v>
      </c>
      <c r="J30" s="53">
        <v>3</v>
      </c>
      <c r="K30" s="53">
        <v>1</v>
      </c>
      <c r="L30" s="53">
        <v>1</v>
      </c>
      <c r="M30" s="53">
        <v>3</v>
      </c>
      <c r="N30" s="53">
        <v>1</v>
      </c>
      <c r="O30" s="45" t="s">
        <v>68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3</v>
      </c>
      <c r="D31" s="53">
        <v>3</v>
      </c>
      <c r="E31" s="53">
        <v>3</v>
      </c>
      <c r="F31" s="53">
        <v>3</v>
      </c>
      <c r="G31" s="53">
        <v>1</v>
      </c>
      <c r="H31" s="53">
        <v>3</v>
      </c>
      <c r="I31" s="53">
        <v>3</v>
      </c>
      <c r="J31" s="53">
        <v>3</v>
      </c>
      <c r="K31" s="53">
        <v>2</v>
      </c>
      <c r="L31" s="53">
        <v>1</v>
      </c>
      <c r="M31" s="53">
        <v>3</v>
      </c>
      <c r="N31" s="53">
        <v>1</v>
      </c>
      <c r="O31" s="45" t="s">
        <v>68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74">
        <f>2</f>
        <v>2</v>
      </c>
      <c r="D32" s="54">
        <f>2</f>
        <v>2</v>
      </c>
      <c r="E32" s="54">
        <f>3</f>
        <v>3</v>
      </c>
      <c r="F32" s="54">
        <f>3</f>
        <v>3</v>
      </c>
      <c r="G32" s="54">
        <f>1</f>
        <v>1</v>
      </c>
      <c r="H32" s="54">
        <f>2</f>
        <v>2</v>
      </c>
      <c r="I32" s="54">
        <f>3</f>
        <v>3</v>
      </c>
      <c r="J32" s="54">
        <f>3</f>
        <v>3</v>
      </c>
      <c r="K32" s="54">
        <f>1</f>
        <v>1</v>
      </c>
      <c r="L32" s="54">
        <f>2</f>
        <v>2</v>
      </c>
      <c r="M32" s="54">
        <f>3</f>
        <v>3</v>
      </c>
      <c r="N32" s="54">
        <f>3</f>
        <v>3</v>
      </c>
      <c r="O32" s="46" t="s">
        <v>84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>AVERAGE(C34:C38)</f>
        <v>3</v>
      </c>
      <c r="D33" s="51">
        <f t="shared" ref="D33:N33" si="2">AVERAGE(D34:D38)</f>
        <v>2</v>
      </c>
      <c r="E33" s="51">
        <f>AVERAGE(E34:E38)</f>
        <v>3</v>
      </c>
      <c r="F33" s="51">
        <f t="shared" si="2"/>
        <v>3</v>
      </c>
      <c r="G33" s="51">
        <f t="shared" si="2"/>
        <v>1</v>
      </c>
      <c r="H33" s="51">
        <f t="shared" si="2"/>
        <v>3</v>
      </c>
      <c r="I33" s="51">
        <f>AVERAGE(I34:I38)</f>
        <v>3</v>
      </c>
      <c r="J33" s="51">
        <f t="shared" si="2"/>
        <v>3</v>
      </c>
      <c r="K33" s="51">
        <f>AVERAGE(K34:K38)</f>
        <v>0</v>
      </c>
      <c r="L33" s="51">
        <f t="shared" si="2"/>
        <v>1.8</v>
      </c>
      <c r="M33" s="51">
        <f t="shared" si="2"/>
        <v>3</v>
      </c>
      <c r="N33" s="51">
        <f t="shared" si="2"/>
        <v>3</v>
      </c>
      <c r="O33" s="46" t="s">
        <v>86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3</v>
      </c>
      <c r="D34" s="53">
        <v>2</v>
      </c>
      <c r="E34" s="53">
        <v>3</v>
      </c>
      <c r="F34" s="53">
        <v>3</v>
      </c>
      <c r="G34" s="53">
        <v>1</v>
      </c>
      <c r="H34" s="53">
        <v>3</v>
      </c>
      <c r="I34" s="53">
        <v>3</v>
      </c>
      <c r="J34" s="53">
        <v>3</v>
      </c>
      <c r="K34" s="53">
        <v>0</v>
      </c>
      <c r="L34" s="53">
        <v>3</v>
      </c>
      <c r="M34" s="53">
        <v>3</v>
      </c>
      <c r="N34" s="53">
        <v>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3</v>
      </c>
      <c r="D35" s="53">
        <v>2</v>
      </c>
      <c r="E35" s="53">
        <v>3</v>
      </c>
      <c r="F35" s="53">
        <v>3</v>
      </c>
      <c r="G35" s="53">
        <v>1</v>
      </c>
      <c r="H35" s="53">
        <v>3</v>
      </c>
      <c r="I35" s="53">
        <v>3</v>
      </c>
      <c r="J35" s="53">
        <v>3</v>
      </c>
      <c r="K35" s="53">
        <v>0</v>
      </c>
      <c r="L35" s="53">
        <v>1</v>
      </c>
      <c r="M35" s="53">
        <v>3</v>
      </c>
      <c r="N35" s="53">
        <v>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3</v>
      </c>
      <c r="D36" s="53">
        <v>1</v>
      </c>
      <c r="E36" s="53">
        <v>3</v>
      </c>
      <c r="F36" s="53">
        <v>3</v>
      </c>
      <c r="G36" s="53">
        <v>1</v>
      </c>
      <c r="H36" s="53">
        <v>3</v>
      </c>
      <c r="I36" s="53">
        <v>3</v>
      </c>
      <c r="J36" s="53">
        <v>3</v>
      </c>
      <c r="K36" s="53">
        <v>0</v>
      </c>
      <c r="L36" s="53">
        <v>1</v>
      </c>
      <c r="M36" s="53">
        <v>3</v>
      </c>
      <c r="N36" s="53">
        <v>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3</v>
      </c>
      <c r="D37" s="53">
        <v>2</v>
      </c>
      <c r="E37" s="53">
        <v>3</v>
      </c>
      <c r="F37" s="53">
        <v>3</v>
      </c>
      <c r="G37" s="53">
        <v>1</v>
      </c>
      <c r="H37" s="53">
        <v>3</v>
      </c>
      <c r="I37" s="53">
        <v>3</v>
      </c>
      <c r="J37" s="53">
        <v>3</v>
      </c>
      <c r="K37" s="53">
        <v>0</v>
      </c>
      <c r="L37" s="53">
        <v>1</v>
      </c>
      <c r="M37" s="53">
        <v>3</v>
      </c>
      <c r="N37" s="53">
        <v>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3</v>
      </c>
      <c r="D38" s="53">
        <v>3</v>
      </c>
      <c r="E38" s="53">
        <v>3</v>
      </c>
      <c r="F38" s="53">
        <v>3</v>
      </c>
      <c r="G38" s="53">
        <v>1</v>
      </c>
      <c r="H38" s="53">
        <v>3</v>
      </c>
      <c r="I38" s="53">
        <v>3</v>
      </c>
      <c r="J38" s="53">
        <v>3</v>
      </c>
      <c r="K38" s="53">
        <v>0</v>
      </c>
      <c r="L38" s="53">
        <v>3</v>
      </c>
      <c r="M38" s="53">
        <v>3</v>
      </c>
      <c r="N38" s="53">
        <v>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>AVERAGE(C40:C44)</f>
        <v>3</v>
      </c>
      <c r="D39" s="51">
        <f t="shared" ref="D39:N39" si="3">AVERAGE(D40:D44)</f>
        <v>3</v>
      </c>
      <c r="E39" s="51">
        <f>AVERAGE(E40:E44)</f>
        <v>3</v>
      </c>
      <c r="F39" s="51">
        <f t="shared" si="3"/>
        <v>3</v>
      </c>
      <c r="G39" s="51">
        <f t="shared" si="3"/>
        <v>1.4</v>
      </c>
      <c r="H39" s="51">
        <f t="shared" si="3"/>
        <v>1.4</v>
      </c>
      <c r="I39" s="51">
        <f>AVERAGE(I40:I44)</f>
        <v>3</v>
      </c>
      <c r="J39" s="51">
        <f t="shared" si="3"/>
        <v>1.4</v>
      </c>
      <c r="K39" s="51">
        <f t="shared" si="3"/>
        <v>0.4</v>
      </c>
      <c r="L39" s="51">
        <f t="shared" si="3"/>
        <v>3</v>
      </c>
      <c r="M39" s="51">
        <f t="shared" si="3"/>
        <v>3</v>
      </c>
      <c r="N39" s="51">
        <f t="shared" si="3"/>
        <v>1.4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3</v>
      </c>
      <c r="D40" s="53">
        <v>3</v>
      </c>
      <c r="E40" s="53">
        <v>3</v>
      </c>
      <c r="F40" s="53">
        <v>3</v>
      </c>
      <c r="G40" s="53">
        <v>1</v>
      </c>
      <c r="H40" s="53">
        <v>1</v>
      </c>
      <c r="I40" s="53">
        <v>3</v>
      </c>
      <c r="J40" s="53">
        <v>1</v>
      </c>
      <c r="K40" s="53">
        <v>1</v>
      </c>
      <c r="L40" s="53">
        <v>3</v>
      </c>
      <c r="M40" s="53">
        <v>3</v>
      </c>
      <c r="N40" s="53">
        <v>1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3</v>
      </c>
      <c r="D41" s="53">
        <v>3</v>
      </c>
      <c r="E41" s="53">
        <v>3</v>
      </c>
      <c r="F41" s="53">
        <v>3</v>
      </c>
      <c r="G41" s="53">
        <v>1</v>
      </c>
      <c r="H41" s="53">
        <v>1</v>
      </c>
      <c r="I41" s="53">
        <v>3</v>
      </c>
      <c r="J41" s="53">
        <v>1</v>
      </c>
      <c r="K41" s="53">
        <v>1</v>
      </c>
      <c r="L41" s="53">
        <v>3</v>
      </c>
      <c r="M41" s="53">
        <v>3</v>
      </c>
      <c r="N41" s="53">
        <v>1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3</v>
      </c>
      <c r="D42" s="53">
        <v>3</v>
      </c>
      <c r="E42" s="53">
        <v>3</v>
      </c>
      <c r="F42" s="53">
        <v>3</v>
      </c>
      <c r="G42" s="53">
        <v>1</v>
      </c>
      <c r="H42" s="53">
        <v>1</v>
      </c>
      <c r="I42" s="53">
        <v>3</v>
      </c>
      <c r="J42" s="53">
        <v>1</v>
      </c>
      <c r="K42" s="53">
        <v>0</v>
      </c>
      <c r="L42" s="53">
        <v>3</v>
      </c>
      <c r="M42" s="53">
        <v>3</v>
      </c>
      <c r="N42" s="53">
        <v>1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3</v>
      </c>
      <c r="D43" s="53">
        <v>3</v>
      </c>
      <c r="E43" s="53">
        <v>3</v>
      </c>
      <c r="F43" s="53">
        <v>3</v>
      </c>
      <c r="G43" s="53">
        <v>1</v>
      </c>
      <c r="H43" s="53">
        <v>1</v>
      </c>
      <c r="I43" s="53">
        <v>3</v>
      </c>
      <c r="J43" s="53">
        <v>1</v>
      </c>
      <c r="K43" s="53">
        <v>0</v>
      </c>
      <c r="L43" s="53">
        <v>3</v>
      </c>
      <c r="M43" s="53">
        <v>3</v>
      </c>
      <c r="N43" s="53">
        <v>1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3</v>
      </c>
      <c r="D44" s="53">
        <v>3</v>
      </c>
      <c r="E44" s="53">
        <v>3</v>
      </c>
      <c r="F44" s="53">
        <v>3</v>
      </c>
      <c r="G44" s="53">
        <v>3</v>
      </c>
      <c r="H44" s="53">
        <v>3</v>
      </c>
      <c r="I44" s="53">
        <v>3</v>
      </c>
      <c r="J44" s="53">
        <v>3</v>
      </c>
      <c r="K44" s="53">
        <v>0</v>
      </c>
      <c r="L44" s="53">
        <v>3</v>
      </c>
      <c r="M44" s="53">
        <v>3</v>
      </c>
      <c r="N44" s="53">
        <v>3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3</v>
      </c>
      <c r="D45" s="51">
        <f t="shared" ref="D45:N45" si="4">AVERAGE(D46:D50)</f>
        <v>3</v>
      </c>
      <c r="E45" s="51">
        <f>AVERAGE(E46:E50)</f>
        <v>3</v>
      </c>
      <c r="F45" s="51">
        <f t="shared" si="4"/>
        <v>3</v>
      </c>
      <c r="G45" s="51">
        <f t="shared" si="4"/>
        <v>1.8</v>
      </c>
      <c r="H45" s="51">
        <f t="shared" si="4"/>
        <v>1.8</v>
      </c>
      <c r="I45" s="51">
        <f>AVERAGE(I46:I50)</f>
        <v>3</v>
      </c>
      <c r="J45" s="51">
        <f t="shared" si="4"/>
        <v>3</v>
      </c>
      <c r="K45" s="51">
        <f t="shared" si="4"/>
        <v>1.4</v>
      </c>
      <c r="L45" s="51">
        <f t="shared" si="4"/>
        <v>1.8</v>
      </c>
      <c r="M45" s="51">
        <f t="shared" si="4"/>
        <v>3</v>
      </c>
      <c r="N45" s="51">
        <f t="shared" si="4"/>
        <v>1.4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3</v>
      </c>
      <c r="D46" s="53">
        <v>3</v>
      </c>
      <c r="E46" s="53">
        <v>3</v>
      </c>
      <c r="F46" s="53">
        <v>3</v>
      </c>
      <c r="G46" s="53">
        <v>3</v>
      </c>
      <c r="H46" s="53">
        <v>1</v>
      </c>
      <c r="I46" s="53">
        <v>3</v>
      </c>
      <c r="J46" s="53">
        <v>3</v>
      </c>
      <c r="K46" s="53">
        <v>3</v>
      </c>
      <c r="L46" s="53">
        <v>3</v>
      </c>
      <c r="M46" s="53">
        <v>3</v>
      </c>
      <c r="N46" s="53">
        <v>1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3</v>
      </c>
      <c r="D47" s="53">
        <v>3</v>
      </c>
      <c r="E47" s="53">
        <v>3</v>
      </c>
      <c r="F47" s="53">
        <v>3</v>
      </c>
      <c r="G47" s="53">
        <v>1</v>
      </c>
      <c r="H47" s="53">
        <v>2</v>
      </c>
      <c r="I47" s="53">
        <v>3</v>
      </c>
      <c r="J47" s="53">
        <v>3</v>
      </c>
      <c r="K47" s="53">
        <v>1</v>
      </c>
      <c r="L47" s="53">
        <v>1</v>
      </c>
      <c r="M47" s="53">
        <v>3</v>
      </c>
      <c r="N47" s="53">
        <v>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3</v>
      </c>
      <c r="D48" s="53">
        <v>3</v>
      </c>
      <c r="E48" s="53">
        <v>3</v>
      </c>
      <c r="F48" s="53">
        <v>3</v>
      </c>
      <c r="G48" s="53">
        <v>1</v>
      </c>
      <c r="H48" s="53">
        <v>1</v>
      </c>
      <c r="I48" s="53">
        <v>3</v>
      </c>
      <c r="J48" s="53">
        <v>3</v>
      </c>
      <c r="K48" s="53">
        <v>1</v>
      </c>
      <c r="L48" s="53">
        <v>1</v>
      </c>
      <c r="M48" s="53">
        <v>3</v>
      </c>
      <c r="N48" s="53">
        <v>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3</v>
      </c>
      <c r="D49" s="53">
        <v>3</v>
      </c>
      <c r="E49" s="53">
        <v>3</v>
      </c>
      <c r="F49" s="53">
        <v>3</v>
      </c>
      <c r="G49" s="53">
        <v>1</v>
      </c>
      <c r="H49" s="53">
        <v>2</v>
      </c>
      <c r="I49" s="53">
        <v>3</v>
      </c>
      <c r="J49" s="53">
        <v>3</v>
      </c>
      <c r="K49" s="53">
        <v>1</v>
      </c>
      <c r="L49" s="53">
        <v>1</v>
      </c>
      <c r="M49" s="53">
        <v>3</v>
      </c>
      <c r="N49" s="53">
        <v>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3</v>
      </c>
      <c r="D50" s="53">
        <v>3</v>
      </c>
      <c r="E50" s="53">
        <v>3</v>
      </c>
      <c r="F50" s="53">
        <v>3</v>
      </c>
      <c r="G50" s="53">
        <v>3</v>
      </c>
      <c r="H50" s="53">
        <v>3</v>
      </c>
      <c r="I50" s="53">
        <v>3</v>
      </c>
      <c r="J50" s="53">
        <v>3</v>
      </c>
      <c r="K50" s="53">
        <v>1</v>
      </c>
      <c r="L50" s="53">
        <v>3</v>
      </c>
      <c r="M50" s="53">
        <v>3</v>
      </c>
      <c r="N50" s="53">
        <v>3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2.6</v>
      </c>
      <c r="D51" s="51">
        <f t="shared" ref="D51:N51" si="5">AVERAGE(D52:D56)</f>
        <v>2.6</v>
      </c>
      <c r="E51" s="51">
        <f>AVERAGE(E52:E56)</f>
        <v>3</v>
      </c>
      <c r="F51" s="51">
        <f t="shared" si="5"/>
        <v>3</v>
      </c>
      <c r="G51" s="51">
        <f t="shared" si="5"/>
        <v>2.6</v>
      </c>
      <c r="H51" s="51">
        <f t="shared" si="5"/>
        <v>2.6</v>
      </c>
      <c r="I51" s="51">
        <f>AVERAGE(I52:I56)</f>
        <v>3</v>
      </c>
      <c r="J51" s="51">
        <f t="shared" si="5"/>
        <v>3</v>
      </c>
      <c r="K51" s="51">
        <f t="shared" si="5"/>
        <v>0.8</v>
      </c>
      <c r="L51" s="51">
        <f t="shared" si="5"/>
        <v>2.6</v>
      </c>
      <c r="M51" s="51">
        <f t="shared" si="5"/>
        <v>3</v>
      </c>
      <c r="N51" s="51">
        <f t="shared" si="5"/>
        <v>2.6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3</v>
      </c>
      <c r="D52" s="53">
        <v>3</v>
      </c>
      <c r="E52" s="53">
        <v>3</v>
      </c>
      <c r="F52" s="53">
        <v>3</v>
      </c>
      <c r="G52" s="53">
        <v>3</v>
      </c>
      <c r="H52" s="53">
        <v>3</v>
      </c>
      <c r="I52" s="53">
        <v>3</v>
      </c>
      <c r="J52" s="53">
        <v>3</v>
      </c>
      <c r="K52" s="53">
        <v>0</v>
      </c>
      <c r="L52" s="53">
        <v>3</v>
      </c>
      <c r="M52" s="53">
        <v>3</v>
      </c>
      <c r="N52" s="53">
        <v>3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3</v>
      </c>
      <c r="D53" s="53">
        <v>1</v>
      </c>
      <c r="E53" s="53">
        <v>3</v>
      </c>
      <c r="F53" s="53">
        <v>3</v>
      </c>
      <c r="G53" s="53">
        <v>1</v>
      </c>
      <c r="H53" s="53">
        <v>3</v>
      </c>
      <c r="I53" s="53">
        <v>3</v>
      </c>
      <c r="J53" s="53">
        <v>3</v>
      </c>
      <c r="K53" s="53">
        <v>0</v>
      </c>
      <c r="L53" s="53">
        <v>1</v>
      </c>
      <c r="M53" s="53">
        <v>3</v>
      </c>
      <c r="N53" s="53">
        <v>3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3</v>
      </c>
      <c r="D54" s="53">
        <v>3</v>
      </c>
      <c r="E54" s="53">
        <v>3</v>
      </c>
      <c r="F54" s="53">
        <v>3</v>
      </c>
      <c r="G54" s="53">
        <v>3</v>
      </c>
      <c r="H54" s="53">
        <v>3</v>
      </c>
      <c r="I54" s="53">
        <v>3</v>
      </c>
      <c r="J54" s="53">
        <v>3</v>
      </c>
      <c r="K54" s="53">
        <v>0</v>
      </c>
      <c r="L54" s="53">
        <v>3</v>
      </c>
      <c r="M54" s="53">
        <v>3</v>
      </c>
      <c r="N54" s="53">
        <v>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2</v>
      </c>
      <c r="D55" s="53">
        <v>3</v>
      </c>
      <c r="E55" s="53">
        <v>3</v>
      </c>
      <c r="F55" s="53">
        <v>3</v>
      </c>
      <c r="G55" s="53">
        <v>3</v>
      </c>
      <c r="H55" s="53">
        <v>2</v>
      </c>
      <c r="I55" s="53">
        <v>3</v>
      </c>
      <c r="J55" s="53">
        <v>3</v>
      </c>
      <c r="K55" s="53">
        <v>2</v>
      </c>
      <c r="L55" s="53">
        <v>3</v>
      </c>
      <c r="M55" s="53">
        <v>3</v>
      </c>
      <c r="N55" s="53">
        <v>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2</v>
      </c>
      <c r="D56" s="53">
        <v>3</v>
      </c>
      <c r="E56" s="53">
        <v>3</v>
      </c>
      <c r="F56" s="53">
        <v>3</v>
      </c>
      <c r="G56" s="53">
        <v>3</v>
      </c>
      <c r="H56" s="53">
        <v>2</v>
      </c>
      <c r="I56" s="53">
        <v>3</v>
      </c>
      <c r="J56" s="53">
        <v>3</v>
      </c>
      <c r="K56" s="53">
        <v>2</v>
      </c>
      <c r="L56" s="53">
        <v>3</v>
      </c>
      <c r="M56" s="53">
        <v>3</v>
      </c>
      <c r="N56" s="53">
        <v>3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3</v>
      </c>
      <c r="D57" s="51">
        <f t="shared" ref="D57:N57" si="6">AVERAGE(D58:D62)</f>
        <v>3</v>
      </c>
      <c r="E57" s="51">
        <f>AVERAGE(E58:E62)</f>
        <v>3</v>
      </c>
      <c r="F57" s="51">
        <f t="shared" si="6"/>
        <v>3</v>
      </c>
      <c r="G57" s="51">
        <f t="shared" si="6"/>
        <v>1</v>
      </c>
      <c r="H57" s="51">
        <f t="shared" si="6"/>
        <v>3</v>
      </c>
      <c r="I57" s="51">
        <f>AVERAGE(I58:I62)</f>
        <v>3</v>
      </c>
      <c r="J57" s="51">
        <f t="shared" si="6"/>
        <v>3</v>
      </c>
      <c r="K57" s="51">
        <f t="shared" si="6"/>
        <v>0.4</v>
      </c>
      <c r="L57" s="51">
        <f t="shared" si="6"/>
        <v>1.4</v>
      </c>
      <c r="M57" s="51">
        <f t="shared" si="6"/>
        <v>3</v>
      </c>
      <c r="N57" s="51">
        <f t="shared" si="6"/>
        <v>3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3</v>
      </c>
      <c r="D58" s="53">
        <v>3</v>
      </c>
      <c r="E58" s="53">
        <v>3</v>
      </c>
      <c r="F58" s="53">
        <v>3</v>
      </c>
      <c r="G58" s="53">
        <v>1</v>
      </c>
      <c r="H58" s="53">
        <v>3</v>
      </c>
      <c r="I58" s="53">
        <v>3</v>
      </c>
      <c r="J58" s="53">
        <v>3</v>
      </c>
      <c r="K58" s="53">
        <v>0</v>
      </c>
      <c r="L58" s="53">
        <v>3</v>
      </c>
      <c r="M58" s="53">
        <v>3</v>
      </c>
      <c r="N58" s="53">
        <v>3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3</v>
      </c>
      <c r="D59" s="53">
        <v>3</v>
      </c>
      <c r="E59" s="53">
        <v>3</v>
      </c>
      <c r="F59" s="53">
        <v>3</v>
      </c>
      <c r="G59" s="53">
        <v>1</v>
      </c>
      <c r="H59" s="53">
        <v>3</v>
      </c>
      <c r="I59" s="53">
        <v>3</v>
      </c>
      <c r="J59" s="53">
        <v>3</v>
      </c>
      <c r="K59" s="53">
        <v>0</v>
      </c>
      <c r="L59" s="53">
        <v>1</v>
      </c>
      <c r="M59" s="53">
        <v>3</v>
      </c>
      <c r="N59" s="53">
        <v>3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3</v>
      </c>
      <c r="D60" s="53">
        <v>3</v>
      </c>
      <c r="E60" s="53">
        <v>3</v>
      </c>
      <c r="F60" s="53">
        <v>3</v>
      </c>
      <c r="G60" s="53">
        <v>1</v>
      </c>
      <c r="H60" s="53">
        <v>3</v>
      </c>
      <c r="I60" s="53">
        <v>3</v>
      </c>
      <c r="J60" s="53">
        <v>3</v>
      </c>
      <c r="K60" s="53">
        <v>0</v>
      </c>
      <c r="L60" s="53">
        <v>1</v>
      </c>
      <c r="M60" s="53">
        <v>3</v>
      </c>
      <c r="N60" s="53">
        <v>3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3</v>
      </c>
      <c r="D61" s="53">
        <v>3</v>
      </c>
      <c r="E61" s="53">
        <v>3</v>
      </c>
      <c r="F61" s="53">
        <v>3</v>
      </c>
      <c r="G61" s="53">
        <v>1</v>
      </c>
      <c r="H61" s="53">
        <v>3</v>
      </c>
      <c r="I61" s="53">
        <v>3</v>
      </c>
      <c r="J61" s="53">
        <v>3</v>
      </c>
      <c r="K61" s="53">
        <v>1</v>
      </c>
      <c r="L61" s="53">
        <v>1</v>
      </c>
      <c r="M61" s="53">
        <v>3</v>
      </c>
      <c r="N61" s="53">
        <v>3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3</v>
      </c>
      <c r="D62" s="53">
        <v>3</v>
      </c>
      <c r="E62" s="53">
        <v>3</v>
      </c>
      <c r="F62" s="53">
        <v>3</v>
      </c>
      <c r="G62" s="53">
        <v>1</v>
      </c>
      <c r="H62" s="53">
        <v>3</v>
      </c>
      <c r="I62" s="53">
        <v>3</v>
      </c>
      <c r="J62" s="53">
        <v>3</v>
      </c>
      <c r="K62" s="53">
        <v>1</v>
      </c>
      <c r="L62" s="53">
        <v>1</v>
      </c>
      <c r="M62" s="53">
        <v>3</v>
      </c>
      <c r="N62" s="53">
        <v>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3</f>
        <v>3</v>
      </c>
      <c r="D63" s="54">
        <f>3</f>
        <v>3</v>
      </c>
      <c r="E63" s="54">
        <f>3</f>
        <v>3</v>
      </c>
      <c r="F63" s="54">
        <f>3</f>
        <v>3</v>
      </c>
      <c r="G63" s="54">
        <f>1</f>
        <v>1</v>
      </c>
      <c r="H63" s="54">
        <f>3</f>
        <v>3</v>
      </c>
      <c r="I63" s="54">
        <f>3</f>
        <v>3</v>
      </c>
      <c r="J63" s="54">
        <f>3</f>
        <v>3</v>
      </c>
      <c r="K63" s="54">
        <f>3</f>
        <v>3</v>
      </c>
      <c r="L63" s="54">
        <f>1</f>
        <v>1</v>
      </c>
      <c r="M63" s="54">
        <f>3</f>
        <v>3</v>
      </c>
      <c r="N63" s="54">
        <f>3</f>
        <v>3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66" priority="10" operator="between">
      <formula>3</formula>
      <formula>3</formula>
    </cfRule>
    <cfRule type="cellIs" dxfId="265" priority="11" operator="between">
      <formula>2</formula>
      <formula>2.99</formula>
    </cfRule>
    <cfRule type="cellIs" dxfId="264" priority="12" operator="between">
      <formula>1</formula>
      <formula>1.99</formula>
    </cfRule>
  </conditionalFormatting>
  <conditionalFormatting sqref="C16">
    <cfRule type="cellIs" dxfId="263" priority="4" operator="between">
      <formula>3</formula>
      <formula>3</formula>
    </cfRule>
    <cfRule type="cellIs" dxfId="262" priority="5" operator="between">
      <formula>2</formula>
      <formula>2.99</formula>
    </cfRule>
    <cfRule type="cellIs" dxfId="261" priority="6" operator="between">
      <formula>1</formula>
      <formula>1.99</formula>
    </cfRule>
  </conditionalFormatting>
  <conditionalFormatting sqref="C32">
    <cfRule type="cellIs" dxfId="260" priority="1" operator="between">
      <formula>3</formula>
      <formula>3</formula>
    </cfRule>
    <cfRule type="cellIs" dxfId="259" priority="2" operator="between">
      <formula>2</formula>
      <formula>2.99</formula>
    </cfRule>
    <cfRule type="cellIs" dxfId="258" priority="3" operator="between">
      <formula>1</formula>
      <formula>1.99</formula>
    </cfRule>
  </conditionalFormatting>
  <conditionalFormatting sqref="C13:N13">
    <cfRule type="cellIs" dxfId="257" priority="13" operator="between">
      <formula>3</formula>
      <formula>3</formula>
    </cfRule>
    <cfRule type="cellIs" dxfId="256" priority="14" operator="between">
      <formula>2</formula>
      <formula>2.99</formula>
    </cfRule>
    <cfRule type="cellIs" dxfId="255" priority="15" operator="between">
      <formula>1</formula>
      <formula>1.99</formula>
    </cfRule>
  </conditionalFormatting>
  <conditionalFormatting sqref="D16:N16 C17:N31 D32:N32 C33:N63">
    <cfRule type="cellIs" dxfId="254" priority="18" operator="between">
      <formula>3</formula>
      <formula>3</formula>
    </cfRule>
    <cfRule type="cellIs" dxfId="253" priority="19" operator="between">
      <formula>2</formula>
      <formula>2.99</formula>
    </cfRule>
    <cfRule type="cellIs" dxfId="252" priority="20" operator="between">
      <formula>1</formula>
      <formula>1.99</formula>
    </cfRule>
  </conditionalFormatting>
  <dataValidations disablePrompts="1" count="1">
    <dataValidation type="custom" allowBlank="1" showInputMessage="1" showErrorMessage="1" sqref="E65:E1048576 E1 E14 E3:E7" xr:uid="{BDBA68F7-C475-4F20-B30A-C56D8FE966CA}">
      <formula1>"IF3"</formula1>
    </dataValidation>
  </dataValidations>
  <hyperlinks>
    <hyperlink ref="Q2" location="Totals!A1" display="back to &quot;Totals&quot; sheet" xr:uid="{ABDC0B6D-C672-4F1A-83F2-F8F8E35A61AB}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E84F-1BF5-48DC-8EC8-26977FC7E525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 thickBo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 thickBo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 thickBo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 thickBo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 thickBo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 thickBot="1">
      <c r="A13" s="14"/>
      <c r="B13" s="29" t="s">
        <v>63</v>
      </c>
      <c r="C13" s="30" cm="1">
        <f t="array" ref="C13">AVERAGE(IF(_xlfn.ISFORMULA(Process03[AA]),Process03[AA]))</f>
        <v>0</v>
      </c>
      <c r="D13" s="30" cm="1">
        <f t="array" ref="D13">AVERAGE(IF(_xlfn.ISFORMULA(Process03[BB]),Process03[BB]))</f>
        <v>0</v>
      </c>
      <c r="E13" s="30" cm="1">
        <f t="array" ref="E13">AVERAGE(IF(_xlfn.ISFORMULA(Process03[CC]),Process03[CC]))</f>
        <v>0</v>
      </c>
      <c r="F13" s="30" cm="1">
        <f t="array" ref="F13">AVERAGE(IF(_xlfn.ISFORMULA(Process03[DD]),Process03[DD]))</f>
        <v>0</v>
      </c>
      <c r="G13" s="30" cm="1">
        <f t="array" ref="G13">AVERAGE(IF(_xlfn.ISFORMULA(Process03[EE]),Process03[EE]))</f>
        <v>0</v>
      </c>
      <c r="H13" s="30" cm="1">
        <f t="array" ref="H13">AVERAGE(IF(_xlfn.ISFORMULA(Process03[FF]),Process03[FF]))</f>
        <v>0</v>
      </c>
      <c r="I13" s="30" cm="1">
        <f t="array" ref="I13">AVERAGE(IF(_xlfn.ISFORMULA(Process03[GG]),Process03[GG]))</f>
        <v>0</v>
      </c>
      <c r="J13" s="30" cm="1">
        <f t="array" ref="J13">AVERAGE(IF(_xlfn.ISFORMULA(Process03[HH]),Process03[HH]))</f>
        <v>0</v>
      </c>
      <c r="K13" s="30" cm="1">
        <f t="array" ref="K13">AVERAGE(IF(_xlfn.ISFORMULA(Process03[II]),Process03[II]))</f>
        <v>0</v>
      </c>
      <c r="L13" s="30" cm="1">
        <f t="array" ref="L13">AVERAGE(IF(_xlfn.ISFORMULA(Process03[JJ]),Process03[JJ]))</f>
        <v>0</v>
      </c>
      <c r="M13" s="30" cm="1">
        <f t="array" ref="M13">AVERAGE(IF(_xlfn.ISFORMULA(Process03[KK]),Process03[KK]))</f>
        <v>0</v>
      </c>
      <c r="N13" s="30" cm="1">
        <f t="array" ref="N13">AVERAGE(IF(_xlfn.ISFORMULA(Process03[LL]),Process03[LL]))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 thickBo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" thickBot="1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>AVERAGE(C27:C31)</f>
        <v>0</v>
      </c>
      <c r="D26" s="51">
        <f t="shared" ref="D26:N26" si="1">AVERAGE(D27:D31)</f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>AVERAGE(C34:C38)</f>
        <v>0</v>
      </c>
      <c r="D33" s="51">
        <f t="shared" ref="D33:N33" si="2">AVERAGE(D34:D38)</f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>AVERAGE(C40:C44)</f>
        <v>0</v>
      </c>
      <c r="D39" s="51">
        <f t="shared" ref="D39:N39" si="3">AVERAGE(D40:D44)</f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51" priority="1" operator="between">
      <formula>3</formula>
      <formula>3</formula>
    </cfRule>
    <cfRule type="cellIs" dxfId="250" priority="2" operator="between">
      <formula>2</formula>
      <formula>2.99</formula>
    </cfRule>
    <cfRule type="cellIs" dxfId="249" priority="3" operator="between">
      <formula>1</formula>
      <formula>1.99</formula>
    </cfRule>
  </conditionalFormatting>
  <conditionalFormatting sqref="C13:N13">
    <cfRule type="cellIs" dxfId="248" priority="4" operator="between">
      <formula>3</formula>
      <formula>3</formula>
    </cfRule>
    <cfRule type="cellIs" dxfId="247" priority="5" operator="between">
      <formula>2</formula>
      <formula>2.99</formula>
    </cfRule>
    <cfRule type="cellIs" dxfId="246" priority="6" operator="between">
      <formula>1</formula>
      <formula>1.99</formula>
    </cfRule>
  </conditionalFormatting>
  <conditionalFormatting sqref="C16:N63">
    <cfRule type="cellIs" dxfId="245" priority="7" operator="between">
      <formula>3</formula>
      <formula>3</formula>
    </cfRule>
    <cfRule type="cellIs" dxfId="244" priority="8" operator="between">
      <formula>2</formula>
      <formula>2.99</formula>
    </cfRule>
    <cfRule type="cellIs" dxfId="243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359D9750-FC6D-4309-BBB5-B9E7E0C84469}">
      <formula1>"IF3"</formula1>
    </dataValidation>
  </dataValidations>
  <hyperlinks>
    <hyperlink ref="Q2" location="Totals!A1" display="back to &quot;Totals&quot; sheet" xr:uid="{47FB7FC5-7B11-49FE-A76C-159B8799FC37}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6C8-F313-4BBB-9FE8-86431760C24C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AVERAGE(IF(_xlfn.ISFORMULA(Process04[AA]),Process04[AA]))</f>
        <v>0</v>
      </c>
      <c r="D13" s="30" cm="1">
        <f t="array" ref="D13">AVERAGE(IF(_xlfn.ISFORMULA(Process04[BB]),Process04[BB]))</f>
        <v>0</v>
      </c>
      <c r="E13" s="30" cm="1">
        <f t="array" ref="E13">AVERAGE(IF(_xlfn.ISFORMULA(Process04[CC]),Process04[CC]))</f>
        <v>0</v>
      </c>
      <c r="F13" s="30" cm="1">
        <f t="array" ref="F13">AVERAGE(IF(_xlfn.ISFORMULA(Process04[DD]),Process04[DD]))</f>
        <v>0</v>
      </c>
      <c r="G13" s="30" cm="1">
        <f t="array" ref="G13">AVERAGE(IF(_xlfn.ISFORMULA(Process04[EE]),Process04[EE]))</f>
        <v>0</v>
      </c>
      <c r="H13" s="30" cm="1">
        <f t="array" ref="H13">AVERAGE(IF(_xlfn.ISFORMULA(Process04[FF]),Process04[FF]))</f>
        <v>0</v>
      </c>
      <c r="I13" s="30" cm="1">
        <f t="array" ref="I13">AVERAGE(IF(_xlfn.ISFORMULA(Process04[GG]),Process04[GG]))</f>
        <v>0</v>
      </c>
      <c r="J13" s="30" cm="1">
        <f t="array" ref="J13">AVERAGE(IF(_xlfn.ISFORMULA(Process04[HH]),Process04[HH]))</f>
        <v>0</v>
      </c>
      <c r="K13" s="30" cm="1">
        <f t="array" ref="K13">AVERAGE(IF(_xlfn.ISFORMULA(Process04[II]),Process04[II]))</f>
        <v>0</v>
      </c>
      <c r="L13" s="30" cm="1">
        <f t="array" ref="L13">AVERAGE(IF(_xlfn.ISFORMULA(Process04[JJ]),Process04[JJ]))</f>
        <v>0</v>
      </c>
      <c r="M13" s="30" cm="1">
        <f t="array" ref="M13">AVERAGE(IF(_xlfn.ISFORMULA(Process04[KK]),Process04[KK]))</f>
        <v>0</v>
      </c>
      <c r="N13" s="30" cm="1">
        <f t="array" ref="N13">AVERAGE(IF(_xlfn.ISFORMULA(Process04[LL]),Process04[LL]))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42" priority="1" operator="between">
      <formula>3</formula>
      <formula>3</formula>
    </cfRule>
    <cfRule type="cellIs" dxfId="241" priority="2" operator="between">
      <formula>2</formula>
      <formula>2.99</formula>
    </cfRule>
    <cfRule type="cellIs" dxfId="240" priority="3" operator="between">
      <formula>1</formula>
      <formula>1.99</formula>
    </cfRule>
  </conditionalFormatting>
  <conditionalFormatting sqref="C13:N13">
    <cfRule type="cellIs" dxfId="239" priority="4" operator="between">
      <formula>3</formula>
      <formula>3</formula>
    </cfRule>
    <cfRule type="cellIs" dxfId="238" priority="5" operator="between">
      <formula>2</formula>
      <formula>2.99</formula>
    </cfRule>
    <cfRule type="cellIs" dxfId="237" priority="6" operator="between">
      <formula>1</formula>
      <formula>1.99</formula>
    </cfRule>
  </conditionalFormatting>
  <conditionalFormatting sqref="C16:N63">
    <cfRule type="cellIs" dxfId="236" priority="7" operator="between">
      <formula>3</formula>
      <formula>3</formula>
    </cfRule>
    <cfRule type="cellIs" dxfId="235" priority="8" operator="between">
      <formula>2</formula>
      <formula>2.99</formula>
    </cfRule>
    <cfRule type="cellIs" dxfId="234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21F5B006-3AF3-43E2-BADA-229F8F0397E2}">
      <formula1>"IF3"</formula1>
    </dataValidation>
  </dataValidations>
  <hyperlinks>
    <hyperlink ref="Q2" location="Totals!A1" display="back to &quot;Totals&quot; sheet" xr:uid="{E776A040-7620-4C5E-A57C-27C733217BDC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C23F-B40E-427D-9FCD-0219BDE0F6AE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98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AVERAGE(IF(_xlfn.ISFORMULA(Process05[AA]),Process05[AA]))</f>
        <v>0</v>
      </c>
      <c r="D13" s="30" cm="1">
        <f t="array" ref="D13">AVERAGE(IF(_xlfn.ISFORMULA(Process05[BB]),Process05[BB]))</f>
        <v>0</v>
      </c>
      <c r="E13" s="30" cm="1">
        <f t="array" ref="E13">AVERAGE(IF(_xlfn.ISFORMULA(Process05[CC]),Process05[CC]))</f>
        <v>0</v>
      </c>
      <c r="F13" s="30" cm="1">
        <f t="array" ref="F13">AVERAGE(IF(_xlfn.ISFORMULA(Process05[DD]),Process05[DD]))</f>
        <v>0</v>
      </c>
      <c r="G13" s="30" cm="1">
        <f t="array" ref="G13">AVERAGE(IF(_xlfn.ISFORMULA(Process05[EE]),Process05[EE]))</f>
        <v>0</v>
      </c>
      <c r="H13" s="30" cm="1">
        <f t="array" ref="H13">AVERAGE(IF(_xlfn.ISFORMULA(Process05[FF]),Process05[FF]))</f>
        <v>0</v>
      </c>
      <c r="I13" s="30" cm="1">
        <f t="array" ref="I13">AVERAGE(IF(_xlfn.ISFORMULA(Process05[GG]),Process05[GG]))</f>
        <v>0</v>
      </c>
      <c r="J13" s="30" cm="1">
        <f t="array" ref="J13">AVERAGE(IF(_xlfn.ISFORMULA(Process05[HH]),Process05[HH]))</f>
        <v>0</v>
      </c>
      <c r="K13" s="30" cm="1">
        <f t="array" ref="K13">AVERAGE(IF(_xlfn.ISFORMULA(Process05[II]),Process05[II]))</f>
        <v>0</v>
      </c>
      <c r="L13" s="30" cm="1">
        <f t="array" ref="L13">AVERAGE(IF(_xlfn.ISFORMULA(Process05[JJ]),Process05[JJ]))</f>
        <v>0</v>
      </c>
      <c r="M13" s="30" cm="1">
        <f t="array" ref="M13">AVERAGE(IF(_xlfn.ISFORMULA(Process05[KK]),Process05[KK]))</f>
        <v>0</v>
      </c>
      <c r="N13" s="30" cm="1">
        <f t="array" ref="N13">AVERAGE(IF(_xlfn.ISFORMULA(Process05[LL]),Process05[LL]))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33" priority="1" operator="between">
      <formula>3</formula>
      <formula>3</formula>
    </cfRule>
    <cfRule type="cellIs" dxfId="232" priority="2" operator="between">
      <formula>2</formula>
      <formula>2.99</formula>
    </cfRule>
    <cfRule type="cellIs" dxfId="231" priority="3" operator="between">
      <formula>1</formula>
      <formula>1.99</formula>
    </cfRule>
  </conditionalFormatting>
  <conditionalFormatting sqref="C13:N13">
    <cfRule type="cellIs" dxfId="230" priority="4" operator="between">
      <formula>3</formula>
      <formula>3</formula>
    </cfRule>
    <cfRule type="cellIs" dxfId="229" priority="5" operator="between">
      <formula>2</formula>
      <formula>2.99</formula>
    </cfRule>
    <cfRule type="cellIs" dxfId="228" priority="6" operator="between">
      <formula>1</formula>
      <formula>1.99</formula>
    </cfRule>
  </conditionalFormatting>
  <conditionalFormatting sqref="C16:N63">
    <cfRule type="cellIs" dxfId="227" priority="7" operator="between">
      <formula>3</formula>
      <formula>3</formula>
    </cfRule>
    <cfRule type="cellIs" dxfId="226" priority="8" operator="between">
      <formula>2</formula>
      <formula>2.99</formula>
    </cfRule>
    <cfRule type="cellIs" dxfId="225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42549BFE-FD49-48A0-B605-A52EECFD6131}">
      <formula1>"IF3"</formula1>
    </dataValidation>
  </dataValidations>
  <hyperlinks>
    <hyperlink ref="Q2" location="Totals!A1" display="back to &quot;Totals&quot; sheet" xr:uid="{250EA4A8-3B39-4A86-BB49-AC0B1971896C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83FF-E1C6-4FC4-A9FB-73C6D51AD86D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99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AVERAGE(IF(_xlfn.ISFORMULA(Process06[AA]),Process06[AA]))</f>
        <v>0</v>
      </c>
      <c r="D13" s="30" cm="1">
        <f t="array" ref="D13">AVERAGE(IF(_xlfn.ISFORMULA(Process06[BB]),Process06[BB]))</f>
        <v>0</v>
      </c>
      <c r="E13" s="30" cm="1">
        <f t="array" ref="E13">AVERAGE(IF(_xlfn.ISFORMULA(Process06[CC]),Process06[CC]))</f>
        <v>0</v>
      </c>
      <c r="F13" s="30" cm="1">
        <f t="array" ref="F13">AVERAGE(IF(_xlfn.ISFORMULA(Process06[DD]),Process06[DD]))</f>
        <v>0</v>
      </c>
      <c r="G13" s="30" cm="1">
        <f t="array" ref="G13">AVERAGE(IF(_xlfn.ISFORMULA(Process06[EE]),Process06[EE]))</f>
        <v>0</v>
      </c>
      <c r="H13" s="30" cm="1">
        <f t="array" ref="H13">AVERAGE(IF(_xlfn.ISFORMULA(Process06[FF]),Process06[FF]))</f>
        <v>0</v>
      </c>
      <c r="I13" s="30" cm="1">
        <f t="array" ref="I13">AVERAGE(IF(_xlfn.ISFORMULA(Process06[GG]),Process06[GG]))</f>
        <v>0</v>
      </c>
      <c r="J13" s="30" cm="1">
        <f t="array" ref="J13">AVERAGE(IF(_xlfn.ISFORMULA(Process06[HH]),Process06[HH]))</f>
        <v>0</v>
      </c>
      <c r="K13" s="30" cm="1">
        <f t="array" ref="K13">AVERAGE(IF(_xlfn.ISFORMULA(Process06[II]),Process06[II]))</f>
        <v>0</v>
      </c>
      <c r="L13" s="30" cm="1">
        <f t="array" ref="L13">AVERAGE(IF(_xlfn.ISFORMULA(Process06[JJ]),Process06[JJ]))</f>
        <v>0</v>
      </c>
      <c r="M13" s="30" cm="1">
        <f t="array" ref="M13">AVERAGE(IF(_xlfn.ISFORMULA(Process06[KK]),Process06[KK]))</f>
        <v>0</v>
      </c>
      <c r="N13" s="30" cm="1">
        <f t="array" ref="N13">AVERAGE(IF(_xlfn.ISFORMULA(Process06[LL]),Process06[LL]))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24" priority="1" operator="between">
      <formula>3</formula>
      <formula>3</formula>
    </cfRule>
    <cfRule type="cellIs" dxfId="223" priority="2" operator="between">
      <formula>2</formula>
      <formula>2.99</formula>
    </cfRule>
    <cfRule type="cellIs" dxfId="222" priority="3" operator="between">
      <formula>1</formula>
      <formula>1.99</formula>
    </cfRule>
  </conditionalFormatting>
  <conditionalFormatting sqref="C13:N13">
    <cfRule type="cellIs" dxfId="221" priority="4" operator="between">
      <formula>3</formula>
      <formula>3</formula>
    </cfRule>
    <cfRule type="cellIs" dxfId="220" priority="5" operator="between">
      <formula>2</formula>
      <formula>2.99</formula>
    </cfRule>
    <cfRule type="cellIs" dxfId="219" priority="6" operator="between">
      <formula>1</formula>
      <formula>1.99</formula>
    </cfRule>
  </conditionalFormatting>
  <conditionalFormatting sqref="C16:N63">
    <cfRule type="cellIs" dxfId="218" priority="7" operator="between">
      <formula>3</formula>
      <formula>3</formula>
    </cfRule>
    <cfRule type="cellIs" dxfId="217" priority="8" operator="between">
      <formula>2</formula>
      <formula>2.99</formula>
    </cfRule>
    <cfRule type="cellIs" dxfId="216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16BC49EC-5C39-48EA-8C72-8252A28788B7}">
      <formula1>"IF3"</formula1>
    </dataValidation>
  </dataValidations>
  <hyperlinks>
    <hyperlink ref="Q2" location="Totals!A1" display="back to &quot;Totals&quot; sheet" xr:uid="{ECBC71FA-6B79-4BB1-9B2D-BE57E1EB5EF4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247E-C256-4273-A910-361DF34B521A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AVERAGE(IF(_xlfn.ISFORMULA(Process07[AA]),Process07[AA]))</f>
        <v>0</v>
      </c>
      <c r="D13" s="30" cm="1">
        <f t="array" ref="D13">AVERAGE(IF(_xlfn.ISFORMULA(Process07[BB]),Process07[BB]))</f>
        <v>0</v>
      </c>
      <c r="E13" s="30" cm="1">
        <f t="array" ref="E13">AVERAGE(IF(_xlfn.ISFORMULA(Process07[CC]),Process07[CC]))</f>
        <v>0</v>
      </c>
      <c r="F13" s="30" cm="1">
        <f t="array" ref="F13">AVERAGE(IF(_xlfn.ISFORMULA(Process07[DD]),Process07[DD]))</f>
        <v>0</v>
      </c>
      <c r="G13" s="30" cm="1">
        <f t="array" ref="G13">AVERAGE(IF(_xlfn.ISFORMULA(Process07[EE]),Process07[EE]))</f>
        <v>0</v>
      </c>
      <c r="H13" s="30" cm="1">
        <f t="array" ref="H13">AVERAGE(IF(_xlfn.ISFORMULA(Process07[FF]),Process07[FF]))</f>
        <v>0</v>
      </c>
      <c r="I13" s="30" cm="1">
        <f t="array" ref="I13">AVERAGE(IF(_xlfn.ISFORMULA(Process07[GG]),Process07[GG]))</f>
        <v>0</v>
      </c>
      <c r="J13" s="30" cm="1">
        <f t="array" ref="J13">AVERAGE(IF(_xlfn.ISFORMULA(Process07[HH]),Process07[HH]))</f>
        <v>0</v>
      </c>
      <c r="K13" s="30" cm="1">
        <f t="array" ref="K13">AVERAGE(IF(_xlfn.ISFORMULA(Process07[II]),Process07[II]))</f>
        <v>0</v>
      </c>
      <c r="L13" s="30" cm="1">
        <f t="array" ref="L13">AVERAGE(IF(_xlfn.ISFORMULA(Process07[JJ]),Process07[JJ]))</f>
        <v>0</v>
      </c>
      <c r="M13" s="30" cm="1">
        <f t="array" ref="M13">AVERAGE(IF(_xlfn.ISFORMULA(Process07[KK]),Process07[KK]))</f>
        <v>0</v>
      </c>
      <c r="N13" s="30" cm="1">
        <f t="array" ref="N13">AVERAGE(IF(_xlfn.ISFORMULA(Process07[LL]),Process07[LL]))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15" priority="1" operator="between">
      <formula>3</formula>
      <formula>3</formula>
    </cfRule>
    <cfRule type="cellIs" dxfId="214" priority="2" operator="between">
      <formula>2</formula>
      <formula>2.99</formula>
    </cfRule>
    <cfRule type="cellIs" dxfId="213" priority="3" operator="between">
      <formula>1</formula>
      <formula>1.99</formula>
    </cfRule>
  </conditionalFormatting>
  <conditionalFormatting sqref="C13:N13">
    <cfRule type="cellIs" dxfId="212" priority="4" operator="between">
      <formula>3</formula>
      <formula>3</formula>
    </cfRule>
    <cfRule type="cellIs" dxfId="211" priority="5" operator="between">
      <formula>2</formula>
      <formula>2.99</formula>
    </cfRule>
    <cfRule type="cellIs" dxfId="210" priority="6" operator="between">
      <formula>1</formula>
      <formula>1.99</formula>
    </cfRule>
  </conditionalFormatting>
  <conditionalFormatting sqref="C16:N63">
    <cfRule type="cellIs" dxfId="209" priority="7" operator="between">
      <formula>3</formula>
      <formula>3</formula>
    </cfRule>
    <cfRule type="cellIs" dxfId="208" priority="8" operator="between">
      <formula>2</formula>
      <formula>2.99</formula>
    </cfRule>
    <cfRule type="cellIs" dxfId="207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F93F4E06-1141-48AC-8950-C74ECA41D51E}">
      <formula1>"IF3"</formula1>
    </dataValidation>
  </dataValidations>
  <hyperlinks>
    <hyperlink ref="Q2" location="Totals!A1" display="back to &quot;Totals&quot; sheet" xr:uid="{2C225BFC-99D5-4E4C-9361-208284B71616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2868-5383-423D-9740-47083F4DCEB9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AVERAGE(IF(_xlfn.ISFORMULA(Process08[AA]),Process08[AA]))</f>
        <v>0</v>
      </c>
      <c r="D13" s="30" cm="1">
        <f t="array" ref="D13">AVERAGE(IF(_xlfn.ISFORMULA(Process08[BB]),Process08[BB]))</f>
        <v>0</v>
      </c>
      <c r="E13" s="30" cm="1">
        <f t="array" ref="E13">AVERAGE(IF(_xlfn.ISFORMULA(Process08[CC]),Process08[CC]))</f>
        <v>0</v>
      </c>
      <c r="F13" s="30" cm="1">
        <f t="array" ref="F13">AVERAGE(IF(_xlfn.ISFORMULA(Process08[DD]),Process08[DD]))</f>
        <v>0</v>
      </c>
      <c r="G13" s="30" cm="1">
        <f t="array" ref="G13">AVERAGE(IF(_xlfn.ISFORMULA(Process08[EE]),Process08[EE]))</f>
        <v>0</v>
      </c>
      <c r="H13" s="30" cm="1">
        <f t="array" ref="H13">AVERAGE(IF(_xlfn.ISFORMULA(Process08[FF]),Process08[FF]))</f>
        <v>0</v>
      </c>
      <c r="I13" s="30" cm="1">
        <f t="array" ref="I13">AVERAGE(IF(_xlfn.ISFORMULA(Process08[GG]),Process08[GG]))</f>
        <v>0</v>
      </c>
      <c r="J13" s="30" cm="1">
        <f t="array" ref="J13">AVERAGE(IF(_xlfn.ISFORMULA(Process08[HH]),Process08[HH]))</f>
        <v>0</v>
      </c>
      <c r="K13" s="30" cm="1">
        <f t="array" ref="K13">AVERAGE(IF(_xlfn.ISFORMULA(Process08[II]),Process08[II]))</f>
        <v>0</v>
      </c>
      <c r="L13" s="30" cm="1">
        <f t="array" ref="L13">AVERAGE(IF(_xlfn.ISFORMULA(Process08[JJ]),Process08[JJ]))</f>
        <v>0</v>
      </c>
      <c r="M13" s="30" cm="1">
        <f t="array" ref="M13">AVERAGE(IF(_xlfn.ISFORMULA(Process08[KK]),Process08[KK]))</f>
        <v>0</v>
      </c>
      <c r="N13" s="30" cm="1">
        <f t="array" ref="N13">AVERAGE(IF(_xlfn.ISFORMULA(Process08[LL]),Process08[LL]))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06" priority="1" operator="between">
      <formula>3</formula>
      <formula>3</formula>
    </cfRule>
    <cfRule type="cellIs" dxfId="205" priority="2" operator="between">
      <formula>2</formula>
      <formula>2.99</formula>
    </cfRule>
    <cfRule type="cellIs" dxfId="204" priority="3" operator="between">
      <formula>1</formula>
      <formula>1.99</formula>
    </cfRule>
  </conditionalFormatting>
  <conditionalFormatting sqref="C13:N13">
    <cfRule type="cellIs" dxfId="203" priority="4" operator="between">
      <formula>3</formula>
      <formula>3</formula>
    </cfRule>
    <cfRule type="cellIs" dxfId="202" priority="5" operator="between">
      <formula>2</formula>
      <formula>2.99</formula>
    </cfRule>
    <cfRule type="cellIs" dxfId="201" priority="6" operator="between">
      <formula>1</formula>
      <formula>1.99</formula>
    </cfRule>
  </conditionalFormatting>
  <conditionalFormatting sqref="C16:N63">
    <cfRule type="cellIs" dxfId="200" priority="7" operator="between">
      <formula>3</formula>
      <formula>3</formula>
    </cfRule>
    <cfRule type="cellIs" dxfId="199" priority="8" operator="between">
      <formula>2</formula>
      <formula>2.99</formula>
    </cfRule>
    <cfRule type="cellIs" dxfId="198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1210585E-864D-49D5-84D8-7263E4FE911B}">
      <formula1>"IF3"</formula1>
    </dataValidation>
  </dataValidations>
  <hyperlinks>
    <hyperlink ref="Q2" location="Totals!A1" display="back to &quot;Totals&quot; sheet" xr:uid="{EE0EBBF2-888B-47B1-B5B6-D77130D0007F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CCCA-FDFA-4FDD-88C2-0E06E7D0ECD8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102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AVERAGE(IF(_xlfn.ISFORMULA(Process09[AA]),Process09[AA]))</f>
        <v>0</v>
      </c>
      <c r="D13" s="30" cm="1">
        <f t="array" ref="D13">AVERAGE(IF(_xlfn.ISFORMULA(Process09[BB]),Process09[BB]))</f>
        <v>0</v>
      </c>
      <c r="E13" s="30" cm="1">
        <f t="array" ref="E13">AVERAGE(IF(_xlfn.ISFORMULA(Process09[CC]),Process09[CC]))</f>
        <v>0</v>
      </c>
      <c r="F13" s="30" cm="1">
        <f t="array" ref="F13">AVERAGE(IF(_xlfn.ISFORMULA(Process09[DD]),Process09[DD]))</f>
        <v>0</v>
      </c>
      <c r="G13" s="30" cm="1">
        <f t="array" ref="G13">AVERAGE(IF(_xlfn.ISFORMULA(Process09[EE]),Process09[EE]))</f>
        <v>0</v>
      </c>
      <c r="H13" s="30" cm="1">
        <f t="array" ref="H13">AVERAGE(IF(_xlfn.ISFORMULA(Process09[FF]),Process09[FF]))</f>
        <v>0</v>
      </c>
      <c r="I13" s="30" cm="1">
        <f t="array" ref="I13">AVERAGE(IF(_xlfn.ISFORMULA(Process09[GG]),Process09[GG]))</f>
        <v>0</v>
      </c>
      <c r="J13" s="30" cm="1">
        <f t="array" ref="J13">AVERAGE(IF(_xlfn.ISFORMULA(Process09[HH]),Process09[HH]))</f>
        <v>0</v>
      </c>
      <c r="K13" s="30" cm="1">
        <f t="array" ref="K13">AVERAGE(IF(_xlfn.ISFORMULA(Process09[II]),Process09[II]))</f>
        <v>0</v>
      </c>
      <c r="L13" s="30" cm="1">
        <f t="array" ref="L13">AVERAGE(IF(_xlfn.ISFORMULA(Process09[JJ]),Process09[JJ]))</f>
        <v>0</v>
      </c>
      <c r="M13" s="30" cm="1">
        <f t="array" ref="M13">AVERAGE(IF(_xlfn.ISFORMULA(Process09[KK]),Process09[KK]))</f>
        <v>0</v>
      </c>
      <c r="N13" s="30" cm="1">
        <f t="array" ref="N13">AVERAGE(IF(_xlfn.ISFORMULA(Process09[LL]),Process09[LL]))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97" priority="1" operator="between">
      <formula>3</formula>
      <formula>3</formula>
    </cfRule>
    <cfRule type="cellIs" dxfId="196" priority="2" operator="between">
      <formula>2</formula>
      <formula>2.99</formula>
    </cfRule>
    <cfRule type="cellIs" dxfId="195" priority="3" operator="between">
      <formula>1</formula>
      <formula>1.99</formula>
    </cfRule>
  </conditionalFormatting>
  <conditionalFormatting sqref="C13:N13">
    <cfRule type="cellIs" dxfId="194" priority="4" operator="between">
      <formula>3</formula>
      <formula>3</formula>
    </cfRule>
    <cfRule type="cellIs" dxfId="193" priority="5" operator="between">
      <formula>2</formula>
      <formula>2.99</formula>
    </cfRule>
    <cfRule type="cellIs" dxfId="192" priority="6" operator="between">
      <formula>1</formula>
      <formula>1.99</formula>
    </cfRule>
  </conditionalFormatting>
  <conditionalFormatting sqref="C16:N63">
    <cfRule type="cellIs" dxfId="191" priority="7" operator="between">
      <formula>3</formula>
      <formula>3</formula>
    </cfRule>
    <cfRule type="cellIs" dxfId="190" priority="8" operator="between">
      <formula>2</formula>
      <formula>2.99</formula>
    </cfRule>
    <cfRule type="cellIs" dxfId="189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54A5B2AF-A1F5-42E4-8CEC-33AEA445A10B}">
      <formula1>"IF3"</formula1>
    </dataValidation>
  </dataValidations>
  <hyperlinks>
    <hyperlink ref="Q2" location="Totals!A1" display="back to &quot;Totals&quot; sheet" xr:uid="{0EB40198-5888-4FAB-8CDF-E3187BD79795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A414-CFEC-44B0-8740-D0FEBCA358F8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AVERAGE(IF(_xlfn.ISFORMULA(Process10[AA]),Process10[AA]))</f>
        <v>0</v>
      </c>
      <c r="D13" s="30" cm="1">
        <f t="array" ref="D13">AVERAGE(IF(_xlfn.ISFORMULA(Process10[BB]),Process10[BB]))</f>
        <v>0</v>
      </c>
      <c r="E13" s="30" cm="1">
        <f t="array" ref="E13">AVERAGE(IF(_xlfn.ISFORMULA(Process10[CC]),Process10[CC]))</f>
        <v>0</v>
      </c>
      <c r="F13" s="30" cm="1">
        <f t="array" ref="F13">AVERAGE(IF(_xlfn.ISFORMULA(Process10[DD]),Process10[DD]))</f>
        <v>0</v>
      </c>
      <c r="G13" s="30" cm="1">
        <f t="array" ref="G13">AVERAGE(IF(_xlfn.ISFORMULA(Process10[EE]),Process10[EE]))</f>
        <v>0</v>
      </c>
      <c r="H13" s="30" cm="1">
        <f t="array" ref="H13">AVERAGE(IF(_xlfn.ISFORMULA(Process10[FF]),Process10[FF]))</f>
        <v>0</v>
      </c>
      <c r="I13" s="30" cm="1">
        <f t="array" ref="I13">AVERAGE(IF(_xlfn.ISFORMULA(Process10[GG]),Process10[GG]))</f>
        <v>0</v>
      </c>
      <c r="J13" s="30" cm="1">
        <f t="array" ref="J13">AVERAGE(IF(_xlfn.ISFORMULA(Process10[HH]),Process10[HH]))</f>
        <v>0</v>
      </c>
      <c r="K13" s="30" cm="1">
        <f t="array" ref="K13">AVERAGE(IF(_xlfn.ISFORMULA(Process10[II]),Process10[II]))</f>
        <v>0</v>
      </c>
      <c r="L13" s="30" cm="1">
        <f t="array" ref="L13">AVERAGE(IF(_xlfn.ISFORMULA(Process10[JJ]),Process10[JJ]))</f>
        <v>0</v>
      </c>
      <c r="M13" s="30" cm="1">
        <f t="array" ref="M13">AVERAGE(IF(_xlfn.ISFORMULA(Process10[KK]),Process10[KK]))</f>
        <v>0</v>
      </c>
      <c r="N13" s="30" cm="1">
        <f t="array" ref="N13">AVERAGE(IF(_xlfn.ISFORMULA(Process10[LL]),Process10[LL]))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88" priority="1" operator="between">
      <formula>3</formula>
      <formula>3</formula>
    </cfRule>
    <cfRule type="cellIs" dxfId="187" priority="2" operator="between">
      <formula>2</formula>
      <formula>2.99</formula>
    </cfRule>
    <cfRule type="cellIs" dxfId="186" priority="3" operator="between">
      <formula>1</formula>
      <formula>1.99</formula>
    </cfRule>
  </conditionalFormatting>
  <conditionalFormatting sqref="C13:N13">
    <cfRule type="cellIs" dxfId="185" priority="4" operator="between">
      <formula>3</formula>
      <formula>3</formula>
    </cfRule>
    <cfRule type="cellIs" dxfId="184" priority="5" operator="between">
      <formula>2</formula>
      <formula>2.99</formula>
    </cfRule>
    <cfRule type="cellIs" dxfId="183" priority="6" operator="between">
      <formula>1</formula>
      <formula>1.99</formula>
    </cfRule>
  </conditionalFormatting>
  <conditionalFormatting sqref="C16:N63">
    <cfRule type="cellIs" dxfId="182" priority="7" operator="between">
      <formula>3</formula>
      <formula>3</formula>
    </cfRule>
    <cfRule type="cellIs" dxfId="181" priority="8" operator="between">
      <formula>2</formula>
      <formula>2.99</formula>
    </cfRule>
    <cfRule type="cellIs" dxfId="180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86A8629A-FC63-4CE0-AFF0-8504278B59D0}">
      <formula1>"IF3"</formula1>
    </dataValidation>
  </dataValidations>
  <hyperlinks>
    <hyperlink ref="Q2" location="Totals!A1" display="back to &quot;Totals&quot; sheet" xr:uid="{A7E5AC48-57B0-4A9D-85C2-9E30796CB403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4CF8-F76D-4E70-AC9B-4D177B4FB5D2}">
  <sheetPr>
    <tabColor theme="2"/>
  </sheetPr>
  <dimension ref="A1:AC102"/>
  <sheetViews>
    <sheetView zoomScaleNormal="100" workbookViewId="0">
      <selection activeCell="Q10" sqref="Q10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104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AVERAGE(IF(_xlfn.ISFORMULA(Process11[AA]),Process11[AA]))</f>
        <v>0</v>
      </c>
      <c r="D13" s="30" cm="1">
        <f t="array" ref="D13">AVERAGE(IF(_xlfn.ISFORMULA(Process11[BB]),Process11[BB]))</f>
        <v>0</v>
      </c>
      <c r="E13" s="30" cm="1">
        <f t="array" ref="E13">AVERAGE(IF(_xlfn.ISFORMULA(Process11[CC]),Process11[CC]))</f>
        <v>0</v>
      </c>
      <c r="F13" s="30" cm="1">
        <f t="array" ref="F13">AVERAGE(IF(_xlfn.ISFORMULA(Process11[DD]),Process11[DD]))</f>
        <v>0</v>
      </c>
      <c r="G13" s="30" cm="1">
        <f t="array" ref="G13">AVERAGE(IF(_xlfn.ISFORMULA(Process11[EE]),Process11[EE]))</f>
        <v>0</v>
      </c>
      <c r="H13" s="30" cm="1">
        <f t="array" ref="H13">AVERAGE(IF(_xlfn.ISFORMULA(Process11[FF]),Process11[FF]))</f>
        <v>0</v>
      </c>
      <c r="I13" s="30" cm="1">
        <f t="array" ref="I13">AVERAGE(IF(_xlfn.ISFORMULA(Process11[GG]),Process11[GG]))</f>
        <v>0</v>
      </c>
      <c r="J13" s="30" cm="1">
        <f t="array" ref="J13">AVERAGE(IF(_xlfn.ISFORMULA(Process11[HH]),Process11[HH]))</f>
        <v>0</v>
      </c>
      <c r="K13" s="30" cm="1">
        <f t="array" ref="K13">AVERAGE(IF(_xlfn.ISFORMULA(Process11[II]),Process11[II]))</f>
        <v>0</v>
      </c>
      <c r="L13" s="30" cm="1">
        <f t="array" ref="L13">AVERAGE(IF(_xlfn.ISFORMULA(Process11[JJ]),Process11[JJ]))</f>
        <v>0</v>
      </c>
      <c r="M13" s="30" cm="1">
        <f t="array" ref="M13">AVERAGE(IF(_xlfn.ISFORMULA(Process11[KK]),Process11[KK]))</f>
        <v>0</v>
      </c>
      <c r="N13" s="30" cm="1">
        <f t="array" ref="N13">AVERAGE(IF(_xlfn.ISFORMULA(Process11[LL]),Process11[LL]))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79" priority="1" operator="between">
      <formula>3</formula>
      <formula>3</formula>
    </cfRule>
    <cfRule type="cellIs" dxfId="178" priority="2" operator="between">
      <formula>2</formula>
      <formula>2.99</formula>
    </cfRule>
    <cfRule type="cellIs" dxfId="177" priority="3" operator="between">
      <formula>1</formula>
      <formula>1.99</formula>
    </cfRule>
  </conditionalFormatting>
  <conditionalFormatting sqref="C13:N13">
    <cfRule type="cellIs" dxfId="176" priority="4" operator="between">
      <formula>3</formula>
      <formula>3</formula>
    </cfRule>
    <cfRule type="cellIs" dxfId="175" priority="5" operator="between">
      <formula>2</formula>
      <formula>2.99</formula>
    </cfRule>
    <cfRule type="cellIs" dxfId="174" priority="6" operator="between">
      <formula>1</formula>
      <formula>1.99</formula>
    </cfRule>
  </conditionalFormatting>
  <conditionalFormatting sqref="C16:N63">
    <cfRule type="cellIs" dxfId="173" priority="7" operator="between">
      <formula>3</formula>
      <formula>3</formula>
    </cfRule>
    <cfRule type="cellIs" dxfId="172" priority="8" operator="between">
      <formula>2</formula>
      <formula>2.99</formula>
    </cfRule>
    <cfRule type="cellIs" dxfId="171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9368E197-2C3B-42A9-9D63-6054881361A8}">
      <formula1>"IF3"</formula1>
    </dataValidation>
  </dataValidations>
  <hyperlinks>
    <hyperlink ref="Q2" location="Totals!A1" display="back to &quot;Totals&quot; sheet" xr:uid="{B70570BF-7542-4CAC-BDB4-9A8A39EC524F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3947-A16A-44EE-AD8B-A17789231F22}">
  <sheetPr>
    <tabColor theme="2"/>
  </sheetPr>
  <dimension ref="A1:AC102"/>
  <sheetViews>
    <sheetView zoomScaleNormal="100" workbookViewId="0">
      <selection activeCell="N4" sqref="N4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105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AVERAGE(IF(_xlfn.ISFORMULA(Process12[AA]),Process12[AA]))</f>
        <v>0</v>
      </c>
      <c r="D13" s="30" cm="1">
        <f t="array" ref="D13">AVERAGE(IF(_xlfn.ISFORMULA(Process12[BB]),Process12[BB]))</f>
        <v>0</v>
      </c>
      <c r="E13" s="30" cm="1">
        <f t="array" ref="E13">AVERAGE(IF(_xlfn.ISFORMULA(Process12[CC]),Process12[CC]))</f>
        <v>0</v>
      </c>
      <c r="F13" s="30" cm="1">
        <f t="array" ref="F13">AVERAGE(IF(_xlfn.ISFORMULA(Process12[DD]),Process12[DD]))</f>
        <v>0</v>
      </c>
      <c r="G13" s="30" cm="1">
        <f t="array" ref="G13">AVERAGE(IF(_xlfn.ISFORMULA(Process12[EE]),Process12[EE]))</f>
        <v>0</v>
      </c>
      <c r="H13" s="30" cm="1">
        <f t="array" ref="H13">AVERAGE(IF(_xlfn.ISFORMULA(Process12[FF]),Process12[FF]))</f>
        <v>0</v>
      </c>
      <c r="I13" s="30" cm="1">
        <f t="array" ref="I13">AVERAGE(IF(_xlfn.ISFORMULA(Process12[GG]),Process12[GG]))</f>
        <v>0</v>
      </c>
      <c r="J13" s="30" cm="1">
        <f t="array" ref="J13">AVERAGE(IF(_xlfn.ISFORMULA(Process12[HH]),Process12[HH]))</f>
        <v>0</v>
      </c>
      <c r="K13" s="30" cm="1">
        <f t="array" ref="K13">AVERAGE(IF(_xlfn.ISFORMULA(Process12[II]),Process12[II]))</f>
        <v>0</v>
      </c>
      <c r="L13" s="30" cm="1">
        <f t="array" ref="L13">AVERAGE(IF(_xlfn.ISFORMULA(Process12[JJ]),Process12[JJ]))</f>
        <v>0</v>
      </c>
      <c r="M13" s="30" cm="1">
        <f t="array" ref="M13">AVERAGE(IF(_xlfn.ISFORMULA(Process12[KK]),Process12[KK]))</f>
        <v>0</v>
      </c>
      <c r="N13" s="30" cm="1">
        <f t="array" ref="N13">AVERAGE(IF(_xlfn.ISFORMULA(Process12[LL]),Process12[LL]))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70" priority="1" operator="between">
      <formula>3</formula>
      <formula>3</formula>
    </cfRule>
    <cfRule type="cellIs" dxfId="169" priority="2" operator="between">
      <formula>2</formula>
      <formula>2.99</formula>
    </cfRule>
    <cfRule type="cellIs" dxfId="168" priority="3" operator="between">
      <formula>1</formula>
      <formula>1.99</formula>
    </cfRule>
  </conditionalFormatting>
  <conditionalFormatting sqref="C13:N13">
    <cfRule type="cellIs" dxfId="167" priority="4" operator="between">
      <formula>3</formula>
      <formula>3</formula>
    </cfRule>
    <cfRule type="cellIs" dxfId="166" priority="5" operator="between">
      <formula>2</formula>
      <formula>2.99</formula>
    </cfRule>
    <cfRule type="cellIs" dxfId="165" priority="6" operator="between">
      <formula>1</formula>
      <formula>1.99</formula>
    </cfRule>
  </conditionalFormatting>
  <conditionalFormatting sqref="C16:N63">
    <cfRule type="cellIs" dxfId="164" priority="7" operator="between">
      <formula>3</formula>
      <formula>3</formula>
    </cfRule>
    <cfRule type="cellIs" dxfId="163" priority="8" operator="between">
      <formula>2</formula>
      <formula>2.99</formula>
    </cfRule>
    <cfRule type="cellIs" dxfId="162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2FE41D77-9311-4961-9949-547EC9466847}">
      <formula1>"IF3"</formula1>
    </dataValidation>
  </dataValidations>
  <hyperlinks>
    <hyperlink ref="Q2" location="Totals!A1" display="back to &quot;Totals&quot; sheet" xr:uid="{C8E74490-0C15-469E-82FB-9C99ACE76C00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387E-31D9-47A9-B6CE-D9006CFD9B37}">
  <sheetPr>
    <tabColor theme="2"/>
  </sheetPr>
  <dimension ref="A1:AC102"/>
  <sheetViews>
    <sheetView zoomScaleNormal="100" workbookViewId="0">
      <selection activeCell="N4" sqref="N4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AVERAGE(IF(_xlfn.ISFORMULA(Process13[AA]),Process13[AA]))</f>
        <v>0</v>
      </c>
      <c r="D13" s="30" cm="1">
        <f t="array" ref="D13">AVERAGE(IF(_xlfn.ISFORMULA(Process13[BB]),Process13[BB]))</f>
        <v>0</v>
      </c>
      <c r="E13" s="30" cm="1">
        <f t="array" ref="E13">AVERAGE(IF(_xlfn.ISFORMULA(Process13[CC]),Process13[CC]))</f>
        <v>0</v>
      </c>
      <c r="F13" s="30" cm="1">
        <f t="array" ref="F13">AVERAGE(IF(_xlfn.ISFORMULA(Process13[DD]),Process13[DD]))</f>
        <v>0</v>
      </c>
      <c r="G13" s="30" cm="1">
        <f t="array" ref="G13">AVERAGE(IF(_xlfn.ISFORMULA(Process13[EE]),Process13[EE]))</f>
        <v>0</v>
      </c>
      <c r="H13" s="30" cm="1">
        <f t="array" ref="H13">AVERAGE(IF(_xlfn.ISFORMULA(Process13[FF]),Process13[FF]))</f>
        <v>0</v>
      </c>
      <c r="I13" s="30" cm="1">
        <f t="array" ref="I13">AVERAGE(IF(_xlfn.ISFORMULA(Process13[GG]),Process13[GG]))</f>
        <v>0</v>
      </c>
      <c r="J13" s="30" cm="1">
        <f t="array" ref="J13">AVERAGE(IF(_xlfn.ISFORMULA(Process13[HH]),Process13[HH]))</f>
        <v>0</v>
      </c>
      <c r="K13" s="30" cm="1">
        <f t="array" ref="K13">AVERAGE(IF(_xlfn.ISFORMULA(Process13[II]),Process13[II]))</f>
        <v>0</v>
      </c>
      <c r="L13" s="30" cm="1">
        <f t="array" ref="L13">AVERAGE(IF(_xlfn.ISFORMULA(Process13[JJ]),Process13[JJ]))</f>
        <v>0</v>
      </c>
      <c r="M13" s="30" cm="1">
        <f t="array" ref="M13">AVERAGE(IF(_xlfn.ISFORMULA(Process13[KK]),Process13[KK]))</f>
        <v>0</v>
      </c>
      <c r="N13" s="30" cm="1">
        <f t="array" ref="N13">AVERAGE(IF(_xlfn.ISFORMULA(Process13[LL]),Process13[LL]))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61" priority="1" operator="between">
      <formula>3</formula>
      <formula>3</formula>
    </cfRule>
    <cfRule type="cellIs" dxfId="160" priority="2" operator="between">
      <formula>2</formula>
      <formula>2.99</formula>
    </cfRule>
    <cfRule type="cellIs" dxfId="159" priority="3" operator="between">
      <formula>1</formula>
      <formula>1.99</formula>
    </cfRule>
  </conditionalFormatting>
  <conditionalFormatting sqref="C13:N13">
    <cfRule type="cellIs" dxfId="158" priority="4" operator="between">
      <formula>3</formula>
      <formula>3</formula>
    </cfRule>
    <cfRule type="cellIs" dxfId="157" priority="5" operator="between">
      <formula>2</formula>
      <formula>2.99</formula>
    </cfRule>
    <cfRule type="cellIs" dxfId="156" priority="6" operator="between">
      <formula>1</formula>
      <formula>1.99</formula>
    </cfRule>
  </conditionalFormatting>
  <conditionalFormatting sqref="C16:N63">
    <cfRule type="cellIs" dxfId="155" priority="7" operator="between">
      <formula>3</formula>
      <formula>3</formula>
    </cfRule>
    <cfRule type="cellIs" dxfId="154" priority="8" operator="between">
      <formula>2</formula>
      <formula>2.99</formula>
    </cfRule>
    <cfRule type="cellIs" dxfId="153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88153499-695A-4CCA-B7D8-82869FBD02A2}">
      <formula1>"IF3"</formula1>
    </dataValidation>
  </dataValidations>
  <hyperlinks>
    <hyperlink ref="Q2" location="Totals!A1" display="back to &quot;Totals&quot; sheet" xr:uid="{F7CD4B25-1530-46A5-BF7C-5F2C78BD18F4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EE7-FA23-4200-92DF-59289F1EEC3D}">
  <sheetPr>
    <tabColor theme="2"/>
  </sheetPr>
  <dimension ref="A1:AC102"/>
  <sheetViews>
    <sheetView zoomScaleNormal="100" workbookViewId="0">
      <selection activeCell="Q7" sqref="Q7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21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AVERAGE(IF(_xlfn.ISFORMULA(Process14[AA]),Process14[AA]))</f>
        <v>0</v>
      </c>
      <c r="D13" s="30" cm="1">
        <f t="array" ref="D13">AVERAGE(IF(_xlfn.ISFORMULA(Process14[BB]),Process14[BB]))</f>
        <v>0</v>
      </c>
      <c r="E13" s="30" cm="1">
        <f t="array" ref="E13">AVERAGE(IF(_xlfn.ISFORMULA(Process14[CC]),Process14[CC]))</f>
        <v>0</v>
      </c>
      <c r="F13" s="30" cm="1">
        <f t="array" ref="F13">AVERAGE(IF(_xlfn.ISFORMULA(Process14[DD]),Process14[DD]))</f>
        <v>0</v>
      </c>
      <c r="G13" s="30" cm="1">
        <f t="array" ref="G13">AVERAGE(IF(_xlfn.ISFORMULA(Process14[EE]),Process14[EE]))</f>
        <v>0</v>
      </c>
      <c r="H13" s="30" cm="1">
        <f t="array" ref="H13">AVERAGE(IF(_xlfn.ISFORMULA(Process14[FF]),Process14[FF]))</f>
        <v>0</v>
      </c>
      <c r="I13" s="30" cm="1">
        <f t="array" ref="I13">AVERAGE(IF(_xlfn.ISFORMULA(Process14[GG]),Process14[GG]))</f>
        <v>0</v>
      </c>
      <c r="J13" s="30" cm="1">
        <f t="array" ref="J13">AVERAGE(IF(_xlfn.ISFORMULA(Process14[HH]),Process14[HH]))</f>
        <v>0</v>
      </c>
      <c r="K13" s="30" cm="1">
        <f t="array" ref="K13">AVERAGE(IF(_xlfn.ISFORMULA(Process14[II]),Process14[II]))</f>
        <v>0</v>
      </c>
      <c r="L13" s="30" cm="1">
        <f t="array" ref="L13">AVERAGE(IF(_xlfn.ISFORMULA(Process14[JJ]),Process14[JJ]))</f>
        <v>0</v>
      </c>
      <c r="M13" s="30" cm="1">
        <f t="array" ref="M13">AVERAGE(IF(_xlfn.ISFORMULA(Process14[KK]),Process14[KK]))</f>
        <v>0</v>
      </c>
      <c r="N13" s="30" cm="1">
        <f t="array" ref="N13">AVERAGE(IF(_xlfn.ISFORMULA(Process14[LL]),Process14[LL]))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52" priority="1" operator="between">
      <formula>3</formula>
      <formula>3</formula>
    </cfRule>
    <cfRule type="cellIs" dxfId="151" priority="2" operator="between">
      <formula>2</formula>
      <formula>2.99</formula>
    </cfRule>
    <cfRule type="cellIs" dxfId="150" priority="3" operator="between">
      <formula>1</formula>
      <formula>1.99</formula>
    </cfRule>
  </conditionalFormatting>
  <conditionalFormatting sqref="C13:N13">
    <cfRule type="cellIs" dxfId="149" priority="4" operator="between">
      <formula>3</formula>
      <formula>3</formula>
    </cfRule>
    <cfRule type="cellIs" dxfId="148" priority="5" operator="between">
      <formula>2</formula>
      <formula>2.99</formula>
    </cfRule>
    <cfRule type="cellIs" dxfId="147" priority="6" operator="between">
      <formula>1</formula>
      <formula>1.99</formula>
    </cfRule>
  </conditionalFormatting>
  <conditionalFormatting sqref="C16:N63">
    <cfRule type="cellIs" dxfId="146" priority="7" operator="between">
      <formula>3</formula>
      <formula>3</formula>
    </cfRule>
    <cfRule type="cellIs" dxfId="145" priority="8" operator="between">
      <formula>2</formula>
      <formula>2.99</formula>
    </cfRule>
    <cfRule type="cellIs" dxfId="144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AE1EC494-E0D9-4155-8290-42E8574D6407}">
      <formula1>"IF3"</formula1>
    </dataValidation>
  </dataValidations>
  <hyperlinks>
    <hyperlink ref="Q2" location="Totals!A1" display="back to &quot;Totals&quot; sheet" xr:uid="{430F6D66-F6F5-4738-9EE1-29EF601B1AEE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3C8-DE0E-4278-A911-CD94250DACE7}">
  <sheetPr>
    <tabColor theme="2"/>
  </sheetPr>
  <dimension ref="A1:AC102"/>
  <sheetViews>
    <sheetView zoomScaleNormal="100" workbookViewId="0">
      <selection activeCell="Q9" sqref="Q9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108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4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AVERAGE(IF(_xlfn.ISFORMULA(Process15[AA]),Process15[AA]))</f>
        <v>0</v>
      </c>
      <c r="D13" s="30" cm="1">
        <f t="array" ref="D13">AVERAGE(IF(_xlfn.ISFORMULA(Process15[BB]),Process15[BB]))</f>
        <v>0</v>
      </c>
      <c r="E13" s="30" cm="1">
        <f t="array" ref="E13">AVERAGE(IF(_xlfn.ISFORMULA(Process15[CC]),Process15[CC]))</f>
        <v>0</v>
      </c>
      <c r="F13" s="30" cm="1">
        <f t="array" ref="F13">AVERAGE(IF(_xlfn.ISFORMULA(Process15[DD]),Process15[DD]))</f>
        <v>0</v>
      </c>
      <c r="G13" s="30" cm="1">
        <f t="array" ref="G13">AVERAGE(IF(_xlfn.ISFORMULA(Process15[EE]),Process15[EE]))</f>
        <v>0</v>
      </c>
      <c r="H13" s="30" cm="1">
        <f t="array" ref="H13">AVERAGE(IF(_xlfn.ISFORMULA(Process15[FF]),Process15[FF]))</f>
        <v>0</v>
      </c>
      <c r="I13" s="30" cm="1">
        <f t="array" ref="I13">AVERAGE(IF(_xlfn.ISFORMULA(Process15[GG]),Process15[GG]))</f>
        <v>0</v>
      </c>
      <c r="J13" s="30" cm="1">
        <f t="array" ref="J13">AVERAGE(IF(_xlfn.ISFORMULA(Process15[HH]),Process15[HH]))</f>
        <v>0</v>
      </c>
      <c r="K13" s="30" cm="1">
        <f t="array" ref="K13">AVERAGE(IF(_xlfn.ISFORMULA(Process15[II]),Process15[II]))</f>
        <v>0</v>
      </c>
      <c r="L13" s="30" cm="1">
        <f t="array" ref="L13">AVERAGE(IF(_xlfn.ISFORMULA(Process15[JJ]),Process15[JJ]))</f>
        <v>0</v>
      </c>
      <c r="M13" s="30" cm="1">
        <f t="array" ref="M13">AVERAGE(IF(_xlfn.ISFORMULA(Process15[KK]),Process15[KK]))</f>
        <v>0</v>
      </c>
      <c r="N13" s="30" cm="1">
        <f t="array" ref="N13">AVERAGE(IF(_xlfn.ISFORMULA(Process15[LL]),Process15[LL]))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43" priority="1" operator="between">
      <formula>3</formula>
      <formula>3</formula>
    </cfRule>
    <cfRule type="cellIs" dxfId="142" priority="2" operator="between">
      <formula>2</formula>
      <formula>2.99</formula>
    </cfRule>
    <cfRule type="cellIs" dxfId="141" priority="3" operator="between">
      <formula>1</formula>
      <formula>1.99</formula>
    </cfRule>
  </conditionalFormatting>
  <conditionalFormatting sqref="C13:N13">
    <cfRule type="cellIs" dxfId="140" priority="4" operator="between">
      <formula>3</formula>
      <formula>3</formula>
    </cfRule>
    <cfRule type="cellIs" dxfId="139" priority="5" operator="between">
      <formula>2</formula>
      <formula>2.99</formula>
    </cfRule>
    <cfRule type="cellIs" dxfId="138" priority="6" operator="between">
      <formula>1</formula>
      <formula>1.99</formula>
    </cfRule>
  </conditionalFormatting>
  <conditionalFormatting sqref="C16:N63">
    <cfRule type="cellIs" dxfId="137" priority="7" operator="between">
      <formula>3</formula>
      <formula>3</formula>
    </cfRule>
    <cfRule type="cellIs" dxfId="136" priority="8" operator="between">
      <formula>2</formula>
      <formula>2.99</formula>
    </cfRule>
    <cfRule type="cellIs" dxfId="135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F8EF803C-A8A5-48D2-8772-6C2C130F768A}">
      <formula1>"IF3"</formula1>
    </dataValidation>
  </dataValidations>
  <hyperlinks>
    <hyperlink ref="Q2" location="Totals!A1" display="back to &quot;Totals&quot; sheet" xr:uid="{BE6ED556-E01B-4979-BEFF-BD1DCFAC88DA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5C59-E0C4-40B0-AC08-FFE02ED491F6}">
  <sheetPr>
    <tabColor theme="2"/>
  </sheetPr>
  <dimension ref="A1:AC102"/>
  <sheetViews>
    <sheetView zoomScaleNormal="100" workbookViewId="0">
      <selection activeCell="Q9" sqref="Q9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109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AVERAGE(IF(_xlfn.ISFORMULA(Process16[AA]),Process16[AA]))</f>
        <v>0</v>
      </c>
      <c r="D13" s="30" cm="1">
        <f t="array" ref="D13">AVERAGE(IF(_xlfn.ISFORMULA(Process16[BB]),Process16[BB]))</f>
        <v>0</v>
      </c>
      <c r="E13" s="30" cm="1">
        <f t="array" ref="E13">AVERAGE(IF(_xlfn.ISFORMULA(Process16[CC]),Process16[CC]))</f>
        <v>0</v>
      </c>
      <c r="F13" s="30" cm="1">
        <f t="array" ref="F13">AVERAGE(IF(_xlfn.ISFORMULA(Process16[DD]),Process16[DD]))</f>
        <v>0</v>
      </c>
      <c r="G13" s="30" cm="1">
        <f t="array" ref="G13">AVERAGE(IF(_xlfn.ISFORMULA(Process16[EE]),Process16[EE]))</f>
        <v>0</v>
      </c>
      <c r="H13" s="30" cm="1">
        <f t="array" ref="H13">AVERAGE(IF(_xlfn.ISFORMULA(Process16[FF]),Process16[FF]))</f>
        <v>0</v>
      </c>
      <c r="I13" s="30" cm="1">
        <f t="array" ref="I13">AVERAGE(IF(_xlfn.ISFORMULA(Process16[GG]),Process16[GG]))</f>
        <v>0</v>
      </c>
      <c r="J13" s="30" cm="1">
        <f t="array" ref="J13">AVERAGE(IF(_xlfn.ISFORMULA(Process16[HH]),Process16[HH]))</f>
        <v>0</v>
      </c>
      <c r="K13" s="30" cm="1">
        <f t="array" ref="K13">AVERAGE(IF(_xlfn.ISFORMULA(Process16[II]),Process16[II]))</f>
        <v>0</v>
      </c>
      <c r="L13" s="30" cm="1">
        <f t="array" ref="L13">AVERAGE(IF(_xlfn.ISFORMULA(Process16[JJ]),Process16[JJ]))</f>
        <v>0</v>
      </c>
      <c r="M13" s="30" cm="1">
        <f t="array" ref="M13">AVERAGE(IF(_xlfn.ISFORMULA(Process16[KK]),Process16[KK]))</f>
        <v>0</v>
      </c>
      <c r="N13" s="30" cm="1">
        <f t="array" ref="N13">AVERAGE(IF(_xlfn.ISFORMULA(Process16[LL]),Process16[LL]))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34" priority="1" operator="between">
      <formula>3</formula>
      <formula>3</formula>
    </cfRule>
    <cfRule type="cellIs" dxfId="133" priority="2" operator="between">
      <formula>2</formula>
      <formula>2.99</formula>
    </cfRule>
    <cfRule type="cellIs" dxfId="132" priority="3" operator="between">
      <formula>1</formula>
      <formula>1.99</formula>
    </cfRule>
  </conditionalFormatting>
  <conditionalFormatting sqref="C13:N13">
    <cfRule type="cellIs" dxfId="131" priority="4" operator="between">
      <formula>3</formula>
      <formula>3</formula>
    </cfRule>
    <cfRule type="cellIs" dxfId="130" priority="5" operator="between">
      <formula>2</formula>
      <formula>2.99</formula>
    </cfRule>
    <cfRule type="cellIs" dxfId="129" priority="6" operator="between">
      <formula>1</formula>
      <formula>1.99</formula>
    </cfRule>
  </conditionalFormatting>
  <conditionalFormatting sqref="C16:N63">
    <cfRule type="cellIs" dxfId="128" priority="7" operator="between">
      <formula>3</formula>
      <formula>3</formula>
    </cfRule>
    <cfRule type="cellIs" dxfId="127" priority="8" operator="between">
      <formula>2</formula>
      <formula>2.99</formula>
    </cfRule>
    <cfRule type="cellIs" dxfId="126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02D71102-8F59-4FA5-9171-37132CBDCEBC}">
      <formula1>"IF3"</formula1>
    </dataValidation>
  </dataValidations>
  <hyperlinks>
    <hyperlink ref="Q2" location="Totals!A1" display="back to &quot;Totals&quot; sheet" xr:uid="{984AF8B0-582E-41AB-94CD-BD0716C5C5BA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D75B-D797-4D50-98F4-0DD0A3EFD9D7}">
  <sheetPr>
    <tabColor theme="2"/>
  </sheetPr>
  <dimension ref="A1:AC102"/>
  <sheetViews>
    <sheetView zoomScaleNormal="100" workbookViewId="0">
      <selection activeCell="P15" sqref="P14:P1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AVERAGE(IF(_xlfn.ISFORMULA(Process17[AA]),Process17[AA]))</f>
        <v>0</v>
      </c>
      <c r="D13" s="30" cm="1">
        <f t="array" ref="D13">AVERAGE(IF(_xlfn.ISFORMULA(Process17[BB]),Process17[BB]))</f>
        <v>0</v>
      </c>
      <c r="E13" s="30" cm="1">
        <f t="array" ref="E13">AVERAGE(IF(_xlfn.ISFORMULA(Process17[CC]),Process17[CC]))</f>
        <v>0</v>
      </c>
      <c r="F13" s="30" cm="1">
        <f t="array" ref="F13">AVERAGE(IF(_xlfn.ISFORMULA(Process17[DD]),Process17[DD]))</f>
        <v>0</v>
      </c>
      <c r="G13" s="30" cm="1">
        <f t="array" ref="G13">AVERAGE(IF(_xlfn.ISFORMULA(Process17[EE]),Process17[EE]))</f>
        <v>0</v>
      </c>
      <c r="H13" s="30" cm="1">
        <f t="array" ref="H13">AVERAGE(IF(_xlfn.ISFORMULA(Process17[FF]),Process17[FF]))</f>
        <v>0</v>
      </c>
      <c r="I13" s="30" cm="1">
        <f t="array" ref="I13">AVERAGE(IF(_xlfn.ISFORMULA(Process17[GG]),Process17[GG]))</f>
        <v>0</v>
      </c>
      <c r="J13" s="30" cm="1">
        <f t="array" ref="J13">AVERAGE(IF(_xlfn.ISFORMULA(Process17[HH]),Process17[HH]))</f>
        <v>0</v>
      </c>
      <c r="K13" s="30" cm="1">
        <f t="array" ref="K13">AVERAGE(IF(_xlfn.ISFORMULA(Process17[II]),Process17[II]))</f>
        <v>0</v>
      </c>
      <c r="L13" s="30" cm="1">
        <f t="array" ref="L13">AVERAGE(IF(_xlfn.ISFORMULA(Process17[JJ]),Process17[JJ]))</f>
        <v>0</v>
      </c>
      <c r="M13" s="30" cm="1">
        <f t="array" ref="M13">AVERAGE(IF(_xlfn.ISFORMULA(Process17[KK]),Process17[KK]))</f>
        <v>0</v>
      </c>
      <c r="N13" s="30" cm="1">
        <f t="array" ref="N13">AVERAGE(IF(_xlfn.ISFORMULA(Process17[LL]),Process17[LL]))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25" priority="1" operator="between">
      <formula>3</formula>
      <formula>3</formula>
    </cfRule>
    <cfRule type="cellIs" dxfId="124" priority="2" operator="between">
      <formula>2</formula>
      <formula>2.99</formula>
    </cfRule>
    <cfRule type="cellIs" dxfId="123" priority="3" operator="between">
      <formula>1</formula>
      <formula>1.99</formula>
    </cfRule>
  </conditionalFormatting>
  <conditionalFormatting sqref="C13:N13">
    <cfRule type="cellIs" dxfId="122" priority="4" operator="between">
      <formula>3</formula>
      <formula>3</formula>
    </cfRule>
    <cfRule type="cellIs" dxfId="121" priority="5" operator="between">
      <formula>2</formula>
      <formula>2.99</formula>
    </cfRule>
    <cfRule type="cellIs" dxfId="120" priority="6" operator="between">
      <formula>1</formula>
      <formula>1.99</formula>
    </cfRule>
  </conditionalFormatting>
  <conditionalFormatting sqref="C16:N63">
    <cfRule type="cellIs" dxfId="119" priority="7" operator="between">
      <formula>3</formula>
      <formula>3</formula>
    </cfRule>
    <cfRule type="cellIs" dxfId="118" priority="8" operator="between">
      <formula>2</formula>
      <formula>2.99</formula>
    </cfRule>
    <cfRule type="cellIs" dxfId="117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5721A886-BCED-4AB9-8C76-6989C4DCA6D6}">
      <formula1>"IF3"</formula1>
    </dataValidation>
  </dataValidations>
  <hyperlinks>
    <hyperlink ref="Q2" location="Totals!A1" display="back to &quot;Totals&quot; sheet" xr:uid="{8C53FAD8-6636-4A6F-BAB5-A136127819E1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EB0F-C845-4B7A-9903-6623816E1FA5}">
  <sheetPr>
    <tabColor theme="2"/>
  </sheetPr>
  <dimension ref="A1:AC102"/>
  <sheetViews>
    <sheetView zoomScaleNormal="100" workbookViewId="0">
      <selection activeCell="Q14" sqref="Q14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AVERAGE(IF(_xlfn.ISFORMULA(Process18[AA]),Process18[AA]))</f>
        <v>0</v>
      </c>
      <c r="D13" s="30" cm="1">
        <f t="array" ref="D13">AVERAGE(IF(_xlfn.ISFORMULA(Process18[BB]),Process18[BB]))</f>
        <v>0</v>
      </c>
      <c r="E13" s="30" cm="1">
        <f t="array" ref="E13">AVERAGE(IF(_xlfn.ISFORMULA(Process18[CC]),Process18[CC]))</f>
        <v>0</v>
      </c>
      <c r="F13" s="30" cm="1">
        <f t="array" ref="F13">AVERAGE(IF(_xlfn.ISFORMULA(Process18[DD]),Process18[DD]))</f>
        <v>0</v>
      </c>
      <c r="G13" s="30" cm="1">
        <f t="array" ref="G13">AVERAGE(IF(_xlfn.ISFORMULA(Process18[EE]),Process18[EE]))</f>
        <v>0</v>
      </c>
      <c r="H13" s="30" cm="1">
        <f t="array" ref="H13">AVERAGE(IF(_xlfn.ISFORMULA(Process18[FF]),Process18[FF]))</f>
        <v>0</v>
      </c>
      <c r="I13" s="30" cm="1">
        <f t="array" ref="I13">AVERAGE(IF(_xlfn.ISFORMULA(Process18[GG]),Process18[GG]))</f>
        <v>0</v>
      </c>
      <c r="J13" s="30" cm="1">
        <f t="array" ref="J13">AVERAGE(IF(_xlfn.ISFORMULA(Process18[HH]),Process18[HH]))</f>
        <v>0</v>
      </c>
      <c r="K13" s="30" cm="1">
        <f t="array" ref="K13">AVERAGE(IF(_xlfn.ISFORMULA(Process18[II]),Process18[II]))</f>
        <v>0</v>
      </c>
      <c r="L13" s="30" cm="1">
        <f t="array" ref="L13">AVERAGE(IF(_xlfn.ISFORMULA(Process18[JJ]),Process18[JJ]))</f>
        <v>0</v>
      </c>
      <c r="M13" s="30" cm="1">
        <f t="array" ref="M13">AVERAGE(IF(_xlfn.ISFORMULA(Process18[KK]),Process18[KK]))</f>
        <v>0</v>
      </c>
      <c r="N13" s="30" cm="1">
        <f t="array" ref="N13">AVERAGE(IF(_xlfn.ISFORMULA(Process18[LL]),Process18[LL]))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16" priority="1" operator="between">
      <formula>3</formula>
      <formula>3</formula>
    </cfRule>
    <cfRule type="cellIs" dxfId="115" priority="2" operator="between">
      <formula>2</formula>
      <formula>2.99</formula>
    </cfRule>
    <cfRule type="cellIs" dxfId="114" priority="3" operator="between">
      <formula>1</formula>
      <formula>1.99</formula>
    </cfRule>
  </conditionalFormatting>
  <conditionalFormatting sqref="C13:N13">
    <cfRule type="cellIs" dxfId="113" priority="4" operator="between">
      <formula>3</formula>
      <formula>3</formula>
    </cfRule>
    <cfRule type="cellIs" dxfId="112" priority="5" operator="between">
      <formula>2</formula>
      <formula>2.99</formula>
    </cfRule>
    <cfRule type="cellIs" dxfId="111" priority="6" operator="between">
      <formula>1</formula>
      <formula>1.99</formula>
    </cfRule>
  </conditionalFormatting>
  <conditionalFormatting sqref="C16:N63">
    <cfRule type="cellIs" dxfId="110" priority="7" operator="between">
      <formula>3</formula>
      <formula>3</formula>
    </cfRule>
    <cfRule type="cellIs" dxfId="109" priority="8" operator="between">
      <formula>2</formula>
      <formula>2.99</formula>
    </cfRule>
    <cfRule type="cellIs" dxfId="108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BF2DB1B3-0E2D-4DED-9CEA-208F3A0B40FC}">
      <formula1>"IF3"</formula1>
    </dataValidation>
  </dataValidations>
  <hyperlinks>
    <hyperlink ref="Q2" location="Totals!A1" display="back to &quot;Totals&quot; sheet" xr:uid="{19F9CFDD-0C99-4B90-BBDD-624108110F80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A26F-2F90-409D-A13F-C50E6FE5369A}">
  <sheetPr>
    <tabColor theme="2"/>
  </sheetPr>
  <dimension ref="A1:AC102"/>
  <sheetViews>
    <sheetView zoomScaleNormal="100" workbookViewId="0">
      <selection activeCell="Q14" sqref="Q14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112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AVERAGE(IF(_xlfn.ISFORMULA(Process19[AA]),Process19[AA]))</f>
        <v>0</v>
      </c>
      <c r="D13" s="30" cm="1">
        <f t="array" ref="D13">AVERAGE(IF(_xlfn.ISFORMULA(Process19[BB]),Process19[BB]))</f>
        <v>0</v>
      </c>
      <c r="E13" s="30" cm="1">
        <f t="array" ref="E13">AVERAGE(IF(_xlfn.ISFORMULA(Process19[CC]),Process19[CC]))</f>
        <v>0</v>
      </c>
      <c r="F13" s="30" cm="1">
        <f t="array" ref="F13">AVERAGE(IF(_xlfn.ISFORMULA(Process19[DD]),Process19[DD]))</f>
        <v>0</v>
      </c>
      <c r="G13" s="30" cm="1">
        <f t="array" ref="G13">AVERAGE(IF(_xlfn.ISFORMULA(Process19[EE]),Process19[EE]))</f>
        <v>0</v>
      </c>
      <c r="H13" s="30" cm="1">
        <f t="array" ref="H13">AVERAGE(IF(_xlfn.ISFORMULA(Process19[FF]),Process19[FF]))</f>
        <v>0</v>
      </c>
      <c r="I13" s="30" cm="1">
        <f t="array" ref="I13">AVERAGE(IF(_xlfn.ISFORMULA(Process19[GG]),Process19[GG]))</f>
        <v>0</v>
      </c>
      <c r="J13" s="30" cm="1">
        <f t="array" ref="J13">AVERAGE(IF(_xlfn.ISFORMULA(Process19[HH]),Process19[HH]))</f>
        <v>0</v>
      </c>
      <c r="K13" s="30" cm="1">
        <f t="array" ref="K13">AVERAGE(IF(_xlfn.ISFORMULA(Process19[II]),Process19[II]))</f>
        <v>0</v>
      </c>
      <c r="L13" s="30" cm="1">
        <f t="array" ref="L13">AVERAGE(IF(_xlfn.ISFORMULA(Process19[JJ]),Process19[JJ]))</f>
        <v>0</v>
      </c>
      <c r="M13" s="30" cm="1">
        <f t="array" ref="M13">AVERAGE(IF(_xlfn.ISFORMULA(Process19[KK]),Process19[KK]))</f>
        <v>0</v>
      </c>
      <c r="N13" s="30" cm="1">
        <f t="array" ref="N13">AVERAGE(IF(_xlfn.ISFORMULA(Process19[LL]),Process19[LL]))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07" priority="1" operator="between">
      <formula>3</formula>
      <formula>3</formula>
    </cfRule>
    <cfRule type="cellIs" dxfId="106" priority="2" operator="between">
      <formula>2</formula>
      <formula>2.99</formula>
    </cfRule>
    <cfRule type="cellIs" dxfId="105" priority="3" operator="between">
      <formula>1</formula>
      <formula>1.99</formula>
    </cfRule>
  </conditionalFormatting>
  <conditionalFormatting sqref="C13:N13">
    <cfRule type="cellIs" dxfId="104" priority="4" operator="between">
      <formula>3</formula>
      <formula>3</formula>
    </cfRule>
    <cfRule type="cellIs" dxfId="103" priority="5" operator="between">
      <formula>2</formula>
      <formula>2.99</formula>
    </cfRule>
    <cfRule type="cellIs" dxfId="102" priority="6" operator="between">
      <formula>1</formula>
      <formula>1.99</formula>
    </cfRule>
  </conditionalFormatting>
  <conditionalFormatting sqref="C16:N63">
    <cfRule type="cellIs" dxfId="101" priority="7" operator="between">
      <formula>3</formula>
      <formula>3</formula>
    </cfRule>
    <cfRule type="cellIs" dxfId="100" priority="8" operator="between">
      <formula>2</formula>
      <formula>2.99</formula>
    </cfRule>
    <cfRule type="cellIs" dxfId="99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59EB8FBB-085A-47BC-B614-5284B7651C33}">
      <formula1>"IF3"</formula1>
    </dataValidation>
  </dataValidations>
  <hyperlinks>
    <hyperlink ref="Q2" location="Totals!A1" display="back to &quot;Totals&quot; sheet" xr:uid="{3B23DE13-BBC6-4F6C-B1BD-31B2F8FEF3D5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0F05-BA29-452B-A090-9DC47B176B64}">
  <sheetPr>
    <tabColor theme="2"/>
  </sheetPr>
  <dimension ref="A1:AC102"/>
  <sheetViews>
    <sheetView zoomScaleNormal="100" workbookViewId="0">
      <selection activeCell="N68" sqref="N68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 thickBo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 thickBo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 thickBo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AVERAGE(IF(_xlfn.ISFORMULA(Process20[AA]),Process20[AA]))</f>
        <v>0</v>
      </c>
      <c r="D13" s="30" cm="1">
        <f t="array" ref="D13">AVERAGE(IF(_xlfn.ISFORMULA(Process20[BB]),Process20[BB]))</f>
        <v>0</v>
      </c>
      <c r="E13" s="30" cm="1">
        <f t="array" ref="E13">AVERAGE(IF(_xlfn.ISFORMULA(Process20[CC]),Process20[CC]))</f>
        <v>0</v>
      </c>
      <c r="F13" s="30" cm="1">
        <f t="array" ref="F13">AVERAGE(IF(_xlfn.ISFORMULA(Process20[DD]),Process20[DD]))</f>
        <v>0</v>
      </c>
      <c r="G13" s="30" cm="1">
        <f t="array" ref="G13">AVERAGE(IF(_xlfn.ISFORMULA(Process20[EE]),Process20[EE]))</f>
        <v>0</v>
      </c>
      <c r="H13" s="30" cm="1">
        <f t="array" ref="H13">AVERAGE(IF(_xlfn.ISFORMULA(Process20[FF]),Process20[FF]))</f>
        <v>0</v>
      </c>
      <c r="I13" s="30" cm="1">
        <f t="array" ref="I13">AVERAGE(IF(_xlfn.ISFORMULA(Process20[GG]),Process20[GG]))</f>
        <v>0</v>
      </c>
      <c r="J13" s="30" cm="1">
        <f t="array" ref="J13">AVERAGE(IF(_xlfn.ISFORMULA(Process20[HH]),Process20[HH]))</f>
        <v>0</v>
      </c>
      <c r="K13" s="30" cm="1">
        <f t="array" ref="K13">AVERAGE(IF(_xlfn.ISFORMULA(Process20[II]),Process20[II]))</f>
        <v>0</v>
      </c>
      <c r="L13" s="30" cm="1">
        <f t="array" ref="L13">AVERAGE(IF(_xlfn.ISFORMULA(Process20[JJ]),Process20[JJ]))</f>
        <v>0</v>
      </c>
      <c r="M13" s="30" cm="1">
        <f t="array" ref="M13">AVERAGE(IF(_xlfn.ISFORMULA(Process20[KK]),Process20[KK]))</f>
        <v>0</v>
      </c>
      <c r="N13" s="30" cm="1">
        <f t="array" ref="N13">AVERAGE(IF(_xlfn.ISFORMULA(Process20[LL]),Process20[LL]))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98" priority="1" operator="between">
      <formula>3</formula>
      <formula>3</formula>
    </cfRule>
    <cfRule type="cellIs" dxfId="97" priority="2" operator="between">
      <formula>2</formula>
      <formula>2.99</formula>
    </cfRule>
    <cfRule type="cellIs" dxfId="96" priority="3" operator="between">
      <formula>1</formula>
      <formula>1.99</formula>
    </cfRule>
  </conditionalFormatting>
  <conditionalFormatting sqref="C13:N13">
    <cfRule type="cellIs" dxfId="95" priority="4" operator="between">
      <formula>3</formula>
      <formula>3</formula>
    </cfRule>
    <cfRule type="cellIs" dxfId="94" priority="5" operator="between">
      <formula>2</formula>
      <formula>2.99</formula>
    </cfRule>
    <cfRule type="cellIs" dxfId="93" priority="6" operator="between">
      <formula>1</formula>
      <formula>1.99</formula>
    </cfRule>
  </conditionalFormatting>
  <conditionalFormatting sqref="C16:N63">
    <cfRule type="cellIs" dxfId="92" priority="7" operator="between">
      <formula>3</formula>
      <formula>3</formula>
    </cfRule>
    <cfRule type="cellIs" dxfId="91" priority="8" operator="between">
      <formula>2</formula>
      <formula>2.99</formula>
    </cfRule>
    <cfRule type="cellIs" dxfId="90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959ECFDE-7187-48A3-8797-D90BA414BDE4}">
      <formula1>"IF3"</formula1>
    </dataValidation>
  </dataValidations>
  <hyperlinks>
    <hyperlink ref="Q2" location="Totals!A1" display="back to &quot;Totals&quot; sheet" xr:uid="{109C05D8-A824-4226-B8C7-267E9B3C6876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877-AFDE-4BF9-81E5-A98C487D0405}">
  <sheetPr>
    <tabColor theme="2"/>
  </sheetPr>
  <dimension ref="A1:AC102"/>
  <sheetViews>
    <sheetView zoomScaleNormal="100" workbookViewId="0">
      <selection activeCell="Q5" sqref="Q5:Q6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114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AVERAGE(IF(_xlfn.ISFORMULA(Process21[AA]),Process21[AA]))</f>
        <v>0</v>
      </c>
      <c r="D13" s="30" cm="1">
        <f t="array" ref="D13">AVERAGE(IF(_xlfn.ISFORMULA(Process21[BB]),Process21[BB]))</f>
        <v>0</v>
      </c>
      <c r="E13" s="30" cm="1">
        <f t="array" ref="E13">AVERAGE(IF(_xlfn.ISFORMULA(Process21[CC]),Process21[CC]))</f>
        <v>0</v>
      </c>
      <c r="F13" s="30" cm="1">
        <f t="array" ref="F13">AVERAGE(IF(_xlfn.ISFORMULA(Process21[DD]),Process21[DD]))</f>
        <v>0</v>
      </c>
      <c r="G13" s="30" cm="1">
        <f t="array" ref="G13">AVERAGE(IF(_xlfn.ISFORMULA(Process21[EE]),Process21[EE]))</f>
        <v>0</v>
      </c>
      <c r="H13" s="30" cm="1">
        <f t="array" ref="H13">AVERAGE(IF(_xlfn.ISFORMULA(Process21[FF]),Process21[FF]))</f>
        <v>0</v>
      </c>
      <c r="I13" s="30" cm="1">
        <f t="array" ref="I13">AVERAGE(IF(_xlfn.ISFORMULA(Process21[GG]),Process21[GG]))</f>
        <v>0</v>
      </c>
      <c r="J13" s="30" cm="1">
        <f t="array" ref="J13">AVERAGE(IF(_xlfn.ISFORMULA(Process21[HH]),Process21[HH]))</f>
        <v>0</v>
      </c>
      <c r="K13" s="30" cm="1">
        <f t="array" ref="K13">AVERAGE(IF(_xlfn.ISFORMULA(Process21[II]),Process21[II]))</f>
        <v>0</v>
      </c>
      <c r="L13" s="30" cm="1">
        <f t="array" ref="L13">AVERAGE(IF(_xlfn.ISFORMULA(Process21[JJ]),Process21[JJ]))</f>
        <v>0</v>
      </c>
      <c r="M13" s="30" cm="1">
        <f t="array" ref="M13">AVERAGE(IF(_xlfn.ISFORMULA(Process21[KK]),Process21[KK]))</f>
        <v>0</v>
      </c>
      <c r="N13" s="30" cm="1">
        <f t="array" ref="N13">AVERAGE(IF(_xlfn.ISFORMULA(Process21[LL]),Process21[LL]))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89" priority="1" operator="between">
      <formula>3</formula>
      <formula>3</formula>
    </cfRule>
    <cfRule type="cellIs" dxfId="88" priority="2" operator="between">
      <formula>2</formula>
      <formula>2.99</formula>
    </cfRule>
    <cfRule type="cellIs" dxfId="87" priority="3" operator="between">
      <formula>1</formula>
      <formula>1.99</formula>
    </cfRule>
  </conditionalFormatting>
  <conditionalFormatting sqref="C13:N13">
    <cfRule type="cellIs" dxfId="86" priority="4" operator="between">
      <formula>3</formula>
      <formula>3</formula>
    </cfRule>
    <cfRule type="cellIs" dxfId="85" priority="5" operator="between">
      <formula>2</formula>
      <formula>2.99</formula>
    </cfRule>
    <cfRule type="cellIs" dxfId="84" priority="6" operator="between">
      <formula>1</formula>
      <formula>1.99</formula>
    </cfRule>
  </conditionalFormatting>
  <conditionalFormatting sqref="C16:N63">
    <cfRule type="cellIs" dxfId="83" priority="7" operator="between">
      <formula>3</formula>
      <formula>3</formula>
    </cfRule>
    <cfRule type="cellIs" dxfId="82" priority="8" operator="between">
      <formula>2</formula>
      <formula>2.99</formula>
    </cfRule>
    <cfRule type="cellIs" dxfId="81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9918B3D6-CCD7-4CC5-888E-25F73143B704}">
      <formula1>"IF3"</formula1>
    </dataValidation>
  </dataValidations>
  <hyperlinks>
    <hyperlink ref="Q2" location="Totals!A1" display="back to &quot;Totals&quot; sheet" xr:uid="{02974FBA-F478-4EF6-9881-B917F1236B87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0932-1943-4F8F-8DCA-53E2B37E8BC1}">
  <sheetPr>
    <tabColor theme="2"/>
  </sheetPr>
  <dimension ref="A1:AC102"/>
  <sheetViews>
    <sheetView zoomScaleNormal="100" workbookViewId="0">
      <selection activeCell="O9" sqref="O8:O9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115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AVERAGE(IF(_xlfn.ISFORMULA(Process22[AA]),Process22[AA]))</f>
        <v>0</v>
      </c>
      <c r="D13" s="30" cm="1">
        <f t="array" ref="D13">AVERAGE(IF(_xlfn.ISFORMULA(Process22[BB]),Process22[BB]))</f>
        <v>0</v>
      </c>
      <c r="E13" s="30" cm="1">
        <f t="array" ref="E13">AVERAGE(IF(_xlfn.ISFORMULA(Process22[CC]),Process22[CC]))</f>
        <v>0</v>
      </c>
      <c r="F13" s="30" cm="1">
        <f t="array" ref="F13">AVERAGE(IF(_xlfn.ISFORMULA(Process22[DD]),Process22[DD]))</f>
        <v>0</v>
      </c>
      <c r="G13" s="30" cm="1">
        <f t="array" ref="G13">AVERAGE(IF(_xlfn.ISFORMULA(Process22[EE]),Process22[EE]))</f>
        <v>0</v>
      </c>
      <c r="H13" s="30" cm="1">
        <f t="array" ref="H13">AVERAGE(IF(_xlfn.ISFORMULA(Process22[FF]),Process22[FF]))</f>
        <v>0</v>
      </c>
      <c r="I13" s="30" cm="1">
        <f t="array" ref="I13">AVERAGE(IF(_xlfn.ISFORMULA(Process22[GG]),Process22[GG]))</f>
        <v>0</v>
      </c>
      <c r="J13" s="30" cm="1">
        <f t="array" ref="J13">AVERAGE(IF(_xlfn.ISFORMULA(Process22[HH]),Process22[HH]))</f>
        <v>0</v>
      </c>
      <c r="K13" s="30" cm="1">
        <f t="array" ref="K13">AVERAGE(IF(_xlfn.ISFORMULA(Process22[II]),Process22[II]))</f>
        <v>0</v>
      </c>
      <c r="L13" s="30" cm="1">
        <f t="array" ref="L13">AVERAGE(IF(_xlfn.ISFORMULA(Process22[JJ]),Process22[JJ]))</f>
        <v>0</v>
      </c>
      <c r="M13" s="30" cm="1">
        <f t="array" ref="M13">AVERAGE(IF(_xlfn.ISFORMULA(Process22[KK]),Process22[KK]))</f>
        <v>0</v>
      </c>
      <c r="N13" s="30" cm="1">
        <f t="array" ref="N13">AVERAGE(IF(_xlfn.ISFORMULA(Process22[LL]),Process22[LL]))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80" priority="1" operator="between">
      <formula>3</formula>
      <formula>3</formula>
    </cfRule>
    <cfRule type="cellIs" dxfId="79" priority="2" operator="between">
      <formula>2</formula>
      <formula>2.99</formula>
    </cfRule>
    <cfRule type="cellIs" dxfId="78" priority="3" operator="between">
      <formula>1</formula>
      <formula>1.99</formula>
    </cfRule>
  </conditionalFormatting>
  <conditionalFormatting sqref="C13:N13">
    <cfRule type="cellIs" dxfId="77" priority="4" operator="between">
      <formula>3</formula>
      <formula>3</formula>
    </cfRule>
    <cfRule type="cellIs" dxfId="76" priority="5" operator="between">
      <formula>2</formula>
      <formula>2.99</formula>
    </cfRule>
    <cfRule type="cellIs" dxfId="75" priority="6" operator="between">
      <formula>1</formula>
      <formula>1.99</formula>
    </cfRule>
  </conditionalFormatting>
  <conditionalFormatting sqref="C16:N63">
    <cfRule type="cellIs" dxfId="74" priority="7" operator="between">
      <formula>3</formula>
      <formula>3</formula>
    </cfRule>
    <cfRule type="cellIs" dxfId="73" priority="8" operator="between">
      <formula>2</formula>
      <formula>2.99</formula>
    </cfRule>
    <cfRule type="cellIs" dxfId="72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25ABC8B0-2252-4954-8881-8E4F76916319}">
      <formula1>"IF3"</formula1>
    </dataValidation>
  </dataValidations>
  <hyperlinks>
    <hyperlink ref="Q2" location="Totals!A1" display="back to &quot;Totals&quot; sheet" xr:uid="{3548F0F1-87A7-455B-A39F-D693AF086B37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1B01-3848-4922-8B4C-6E9B87F8E3F5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AVERAGE(IF(_xlfn.ISFORMULA(Process23[AA]),Process23[AA]))</f>
        <v>0</v>
      </c>
      <c r="D13" s="30" cm="1">
        <f t="array" ref="D13">AVERAGE(IF(_xlfn.ISFORMULA(Process23[BB]),Process23[BB]))</f>
        <v>0</v>
      </c>
      <c r="E13" s="30" cm="1">
        <f t="array" ref="E13">AVERAGE(IF(_xlfn.ISFORMULA(Process23[CC]),Process23[CC]))</f>
        <v>0</v>
      </c>
      <c r="F13" s="30" cm="1">
        <f t="array" ref="F13">AVERAGE(IF(_xlfn.ISFORMULA(Process23[DD]),Process23[DD]))</f>
        <v>0</v>
      </c>
      <c r="G13" s="30" cm="1">
        <f t="array" ref="G13">AVERAGE(IF(_xlfn.ISFORMULA(Process23[EE]),Process23[EE]))</f>
        <v>0</v>
      </c>
      <c r="H13" s="30" cm="1">
        <f t="array" ref="H13">AVERAGE(IF(_xlfn.ISFORMULA(Process23[FF]),Process23[FF]))</f>
        <v>0</v>
      </c>
      <c r="I13" s="30" cm="1">
        <f t="array" ref="I13">AVERAGE(IF(_xlfn.ISFORMULA(Process23[GG]),Process23[GG]))</f>
        <v>0</v>
      </c>
      <c r="J13" s="30" cm="1">
        <f t="array" ref="J13">AVERAGE(IF(_xlfn.ISFORMULA(Process23[HH]),Process23[HH]))</f>
        <v>0</v>
      </c>
      <c r="K13" s="30" cm="1">
        <f t="array" ref="K13">AVERAGE(IF(_xlfn.ISFORMULA(Process23[II]),Process23[II]))</f>
        <v>0</v>
      </c>
      <c r="L13" s="30" cm="1">
        <f t="array" ref="L13">AVERAGE(IF(_xlfn.ISFORMULA(Process23[JJ]),Process23[JJ]))</f>
        <v>0</v>
      </c>
      <c r="M13" s="30" cm="1">
        <f t="array" ref="M13">AVERAGE(IF(_xlfn.ISFORMULA(Process23[KK]),Process23[KK]))</f>
        <v>0</v>
      </c>
      <c r="N13" s="30" cm="1">
        <f t="array" ref="N13">AVERAGE(IF(_xlfn.ISFORMULA(Process23[LL]),Process23[LL]))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71" priority="1" operator="between">
      <formula>3</formula>
      <formula>3</formula>
    </cfRule>
    <cfRule type="cellIs" dxfId="70" priority="2" operator="between">
      <formula>2</formula>
      <formula>2.99</formula>
    </cfRule>
    <cfRule type="cellIs" dxfId="69" priority="3" operator="between">
      <formula>1</formula>
      <formula>1.99</formula>
    </cfRule>
  </conditionalFormatting>
  <conditionalFormatting sqref="C13:N13">
    <cfRule type="cellIs" dxfId="68" priority="4" operator="between">
      <formula>3</formula>
      <formula>3</formula>
    </cfRule>
    <cfRule type="cellIs" dxfId="67" priority="5" operator="between">
      <formula>2</formula>
      <formula>2.99</formula>
    </cfRule>
    <cfRule type="cellIs" dxfId="66" priority="6" operator="between">
      <formula>1</formula>
      <formula>1.99</formula>
    </cfRule>
  </conditionalFormatting>
  <conditionalFormatting sqref="C16:N63">
    <cfRule type="cellIs" dxfId="65" priority="7" operator="between">
      <formula>3</formula>
      <formula>3</formula>
    </cfRule>
    <cfRule type="cellIs" dxfId="64" priority="8" operator="between">
      <formula>2</formula>
      <formula>2.99</formula>
    </cfRule>
    <cfRule type="cellIs" dxfId="63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E75B6D9B-6313-4058-96B4-B1ADEB901D54}">
      <formula1>"IF3"</formula1>
    </dataValidation>
  </dataValidations>
  <hyperlinks>
    <hyperlink ref="Q2" location="Totals!A1" display="back to &quot;Totals&quot; sheet" xr:uid="{BF01D546-2E97-44EB-9F20-95B35BDDD56B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788-DA1B-4F2C-A962-CD3927782930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AVERAGE(IF(_xlfn.ISFORMULA(Process24[AA]),Process24[AA]))</f>
        <v>0</v>
      </c>
      <c r="D13" s="30" cm="1">
        <f t="array" ref="D13">AVERAGE(IF(_xlfn.ISFORMULA(Process24[BB]),Process24[BB]))</f>
        <v>0</v>
      </c>
      <c r="E13" s="30" cm="1">
        <f t="array" ref="E13">AVERAGE(IF(_xlfn.ISFORMULA(Process24[CC]),Process24[CC]))</f>
        <v>0</v>
      </c>
      <c r="F13" s="30" cm="1">
        <f t="array" ref="F13">AVERAGE(IF(_xlfn.ISFORMULA(Process24[DD]),Process24[DD]))</f>
        <v>0</v>
      </c>
      <c r="G13" s="30" cm="1">
        <f t="array" ref="G13">AVERAGE(IF(_xlfn.ISFORMULA(Process24[EE]),Process24[EE]))</f>
        <v>0</v>
      </c>
      <c r="H13" s="30" cm="1">
        <f t="array" ref="H13">AVERAGE(IF(_xlfn.ISFORMULA(Process24[FF]),Process24[FF]))</f>
        <v>0</v>
      </c>
      <c r="I13" s="30" cm="1">
        <f t="array" ref="I13">AVERAGE(IF(_xlfn.ISFORMULA(Process24[GG]),Process24[GG]))</f>
        <v>0</v>
      </c>
      <c r="J13" s="30" cm="1">
        <f t="array" ref="J13">AVERAGE(IF(_xlfn.ISFORMULA(Process24[HH]),Process24[HH]))</f>
        <v>0</v>
      </c>
      <c r="K13" s="30" cm="1">
        <f t="array" ref="K13">AVERAGE(IF(_xlfn.ISFORMULA(Process24[II]),Process24[II]))</f>
        <v>0</v>
      </c>
      <c r="L13" s="30" cm="1">
        <f t="array" ref="L13">AVERAGE(IF(_xlfn.ISFORMULA(Process24[JJ]),Process24[JJ]))</f>
        <v>0</v>
      </c>
      <c r="M13" s="30" cm="1">
        <f t="array" ref="M13">AVERAGE(IF(_xlfn.ISFORMULA(Process24[KK]),Process24[KK]))</f>
        <v>0</v>
      </c>
      <c r="N13" s="30" cm="1">
        <f t="array" ref="N13">AVERAGE(IF(_xlfn.ISFORMULA(Process24[LL]),Process24[LL]))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62" priority="1" operator="between">
      <formula>3</formula>
      <formula>3</formula>
    </cfRule>
    <cfRule type="cellIs" dxfId="61" priority="2" operator="between">
      <formula>2</formula>
      <formula>2.99</formula>
    </cfRule>
    <cfRule type="cellIs" dxfId="60" priority="3" operator="between">
      <formula>1</formula>
      <formula>1.99</formula>
    </cfRule>
  </conditionalFormatting>
  <conditionalFormatting sqref="C13:N13">
    <cfRule type="cellIs" dxfId="59" priority="4" operator="between">
      <formula>3</formula>
      <formula>3</formula>
    </cfRule>
    <cfRule type="cellIs" dxfId="58" priority="5" operator="between">
      <formula>2</formula>
      <formula>2.99</formula>
    </cfRule>
    <cfRule type="cellIs" dxfId="57" priority="6" operator="between">
      <formula>1</formula>
      <formula>1.99</formula>
    </cfRule>
  </conditionalFormatting>
  <conditionalFormatting sqref="C16:N63">
    <cfRule type="cellIs" dxfId="56" priority="7" operator="between">
      <formula>3</formula>
      <formula>3</formula>
    </cfRule>
    <cfRule type="cellIs" dxfId="55" priority="8" operator="between">
      <formula>2</formula>
      <formula>2.99</formula>
    </cfRule>
    <cfRule type="cellIs" dxfId="54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A74123E5-ABC9-4375-B767-7E38BA2420C6}">
      <formula1>"IF3"</formula1>
    </dataValidation>
  </dataValidations>
  <hyperlinks>
    <hyperlink ref="Q2" location="Totals!A1" display="back to &quot;Totals&quot; sheet" xr:uid="{189834F3-C7D5-49E8-83E9-D55F3423DEA1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0D4E-E575-499C-8EBD-2C48A5C4DE09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118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AVERAGE(IF(_xlfn.ISFORMULA(Process25[AA]),Process25[AA]))</f>
        <v>0</v>
      </c>
      <c r="D13" s="30" cm="1">
        <f t="array" ref="D13">AVERAGE(IF(_xlfn.ISFORMULA(Process25[BB]),Process25[BB]))</f>
        <v>0</v>
      </c>
      <c r="E13" s="30" cm="1">
        <f t="array" ref="E13">AVERAGE(IF(_xlfn.ISFORMULA(Process25[CC]),Process25[CC]))</f>
        <v>0</v>
      </c>
      <c r="F13" s="30" cm="1">
        <f t="array" ref="F13">AVERAGE(IF(_xlfn.ISFORMULA(Process25[DD]),Process25[DD]))</f>
        <v>0</v>
      </c>
      <c r="G13" s="30" cm="1">
        <f t="array" ref="G13">AVERAGE(IF(_xlfn.ISFORMULA(Process25[EE]),Process25[EE]))</f>
        <v>0</v>
      </c>
      <c r="H13" s="30" cm="1">
        <f t="array" ref="H13">AVERAGE(IF(_xlfn.ISFORMULA(Process25[FF]),Process25[FF]))</f>
        <v>0</v>
      </c>
      <c r="I13" s="30" cm="1">
        <f t="array" ref="I13">AVERAGE(IF(_xlfn.ISFORMULA(Process25[GG]),Process25[GG]))</f>
        <v>0</v>
      </c>
      <c r="J13" s="30" cm="1">
        <f t="array" ref="J13">AVERAGE(IF(_xlfn.ISFORMULA(Process25[HH]),Process25[HH]))</f>
        <v>0</v>
      </c>
      <c r="K13" s="30" cm="1">
        <f t="array" ref="K13">AVERAGE(IF(_xlfn.ISFORMULA(Process25[II]),Process25[II]))</f>
        <v>0</v>
      </c>
      <c r="L13" s="30" cm="1">
        <f t="array" ref="L13">AVERAGE(IF(_xlfn.ISFORMULA(Process25[JJ]),Process25[JJ]))</f>
        <v>0</v>
      </c>
      <c r="M13" s="30" cm="1">
        <f t="array" ref="M13">AVERAGE(IF(_xlfn.ISFORMULA(Process25[KK]),Process25[KK]))</f>
        <v>0</v>
      </c>
      <c r="N13" s="30" cm="1">
        <f t="array" ref="N13">AVERAGE(IF(_xlfn.ISFORMULA(Process25[LL]),Process25[LL]))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53" priority="1" operator="between">
      <formula>3</formula>
      <formula>3</formula>
    </cfRule>
    <cfRule type="cellIs" dxfId="52" priority="2" operator="between">
      <formula>2</formula>
      <formula>2.99</formula>
    </cfRule>
    <cfRule type="cellIs" dxfId="51" priority="3" operator="between">
      <formula>1</formula>
      <formula>1.99</formula>
    </cfRule>
  </conditionalFormatting>
  <conditionalFormatting sqref="C13:N13">
    <cfRule type="cellIs" dxfId="50" priority="4" operator="between">
      <formula>3</formula>
      <formula>3</formula>
    </cfRule>
    <cfRule type="cellIs" dxfId="49" priority="5" operator="between">
      <formula>2</formula>
      <formula>2.99</formula>
    </cfRule>
    <cfRule type="cellIs" dxfId="48" priority="6" operator="between">
      <formula>1</formula>
      <formula>1.99</formula>
    </cfRule>
  </conditionalFormatting>
  <conditionalFormatting sqref="C16:N63">
    <cfRule type="cellIs" dxfId="47" priority="7" operator="between">
      <formula>3</formula>
      <formula>3</formula>
    </cfRule>
    <cfRule type="cellIs" dxfId="46" priority="8" operator="between">
      <formula>2</formula>
      <formula>2.99</formula>
    </cfRule>
    <cfRule type="cellIs" dxfId="45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3805FE2E-2B8A-49F2-BB8F-FFF798E71ED0}">
      <formula1>"IF3"</formula1>
    </dataValidation>
  </dataValidations>
  <hyperlinks>
    <hyperlink ref="Q2" location="Totals!A1" display="back to &quot;Totals&quot; sheet" xr:uid="{B881D82C-9630-47E4-9631-259EE564E017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2C23-3B0B-4861-8E0E-10AED2B5624D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119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AVERAGE(IF(_xlfn.ISFORMULA(Process26[AA]),Process26[AA]))</f>
        <v>0</v>
      </c>
      <c r="D13" s="30" cm="1">
        <f t="array" ref="D13">AVERAGE(IF(_xlfn.ISFORMULA(Process26[BB]),Process26[BB]))</f>
        <v>0</v>
      </c>
      <c r="E13" s="30" cm="1">
        <f t="array" ref="E13">AVERAGE(IF(_xlfn.ISFORMULA(Process26[CC]),Process26[CC]))</f>
        <v>0</v>
      </c>
      <c r="F13" s="30" cm="1">
        <f t="array" ref="F13">AVERAGE(IF(_xlfn.ISFORMULA(Process26[DD]),Process26[DD]))</f>
        <v>0</v>
      </c>
      <c r="G13" s="30" cm="1">
        <f t="array" ref="G13">AVERAGE(IF(_xlfn.ISFORMULA(Process26[EE]),Process26[EE]))</f>
        <v>0</v>
      </c>
      <c r="H13" s="30" cm="1">
        <f t="array" ref="H13">AVERAGE(IF(_xlfn.ISFORMULA(Process26[FF]),Process26[FF]))</f>
        <v>0</v>
      </c>
      <c r="I13" s="30" cm="1">
        <f t="array" ref="I13">AVERAGE(IF(_xlfn.ISFORMULA(Process26[GG]),Process26[GG]))</f>
        <v>0</v>
      </c>
      <c r="J13" s="30" cm="1">
        <f t="array" ref="J13">AVERAGE(IF(_xlfn.ISFORMULA(Process26[HH]),Process26[HH]))</f>
        <v>0</v>
      </c>
      <c r="K13" s="30" cm="1">
        <f t="array" ref="K13">AVERAGE(IF(_xlfn.ISFORMULA(Process26[II]),Process26[II]))</f>
        <v>0</v>
      </c>
      <c r="L13" s="30" cm="1">
        <f t="array" ref="L13">AVERAGE(IF(_xlfn.ISFORMULA(Process26[JJ]),Process26[JJ]))</f>
        <v>0</v>
      </c>
      <c r="M13" s="30" cm="1">
        <f t="array" ref="M13">AVERAGE(IF(_xlfn.ISFORMULA(Process26[KK]),Process26[KK]))</f>
        <v>0</v>
      </c>
      <c r="N13" s="30" cm="1">
        <f t="array" ref="N13">AVERAGE(IF(_xlfn.ISFORMULA(Process26[LL]),Process26[LL]))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44" priority="1" operator="between">
      <formula>3</formula>
      <formula>3</formula>
    </cfRule>
    <cfRule type="cellIs" dxfId="43" priority="2" operator="between">
      <formula>2</formula>
      <formula>2.99</formula>
    </cfRule>
    <cfRule type="cellIs" dxfId="42" priority="3" operator="between">
      <formula>1</formula>
      <formula>1.99</formula>
    </cfRule>
  </conditionalFormatting>
  <conditionalFormatting sqref="C13:N13">
    <cfRule type="cellIs" dxfId="41" priority="4" operator="between">
      <formula>3</formula>
      <formula>3</formula>
    </cfRule>
    <cfRule type="cellIs" dxfId="40" priority="5" operator="between">
      <formula>2</formula>
      <formula>2.99</formula>
    </cfRule>
    <cfRule type="cellIs" dxfId="39" priority="6" operator="between">
      <formula>1</formula>
      <formula>1.99</formula>
    </cfRule>
  </conditionalFormatting>
  <conditionalFormatting sqref="C16:N63">
    <cfRule type="cellIs" dxfId="38" priority="7" operator="between">
      <formula>3</formula>
      <formula>3</formula>
    </cfRule>
    <cfRule type="cellIs" dxfId="37" priority="8" operator="between">
      <formula>2</formula>
      <formula>2.99</formula>
    </cfRule>
    <cfRule type="cellIs" dxfId="36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8564A5CC-84CF-45F1-9B03-C4942CF6026F}">
      <formula1>"IF3"</formula1>
    </dataValidation>
  </dataValidations>
  <hyperlinks>
    <hyperlink ref="Q2" location="Totals!A1" display="back to &quot;Totals&quot; sheet" xr:uid="{618F7FF7-AE7D-44DA-B252-FD0BAB5B332A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79B8-3B7C-442E-A09D-69C6D0A1A8E6}">
  <sheetPr>
    <tabColor theme="2"/>
  </sheetPr>
  <dimension ref="A1:AC102"/>
  <sheetViews>
    <sheetView zoomScaleNormal="100" workbookViewId="0">
      <selection activeCell="L75" sqref="L7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120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4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AVERAGE(IF(_xlfn.ISFORMULA(Process27[AA]),Process27[AA]))</f>
        <v>0</v>
      </c>
      <c r="D13" s="30" cm="1">
        <f t="array" ref="D13">AVERAGE(IF(_xlfn.ISFORMULA(Process27[BB]),Process27[BB]))</f>
        <v>0</v>
      </c>
      <c r="E13" s="30" cm="1">
        <f t="array" ref="E13">AVERAGE(IF(_xlfn.ISFORMULA(Process27[CC]),Process27[CC]))</f>
        <v>0</v>
      </c>
      <c r="F13" s="30" cm="1">
        <f t="array" ref="F13">AVERAGE(IF(_xlfn.ISFORMULA(Process27[DD]),Process27[DD]))</f>
        <v>0</v>
      </c>
      <c r="G13" s="30" cm="1">
        <f t="array" ref="G13">AVERAGE(IF(_xlfn.ISFORMULA(Process27[EE]),Process27[EE]))</f>
        <v>0</v>
      </c>
      <c r="H13" s="30" cm="1">
        <f t="array" ref="H13">AVERAGE(IF(_xlfn.ISFORMULA(Process27[FF]),Process27[FF]))</f>
        <v>0</v>
      </c>
      <c r="I13" s="30" cm="1">
        <f t="array" ref="I13">AVERAGE(IF(_xlfn.ISFORMULA(Process27[GG]),Process27[GG]))</f>
        <v>0</v>
      </c>
      <c r="J13" s="30" cm="1">
        <f t="array" ref="J13">AVERAGE(IF(_xlfn.ISFORMULA(Process27[HH]),Process27[HH]))</f>
        <v>0</v>
      </c>
      <c r="K13" s="30" cm="1">
        <f t="array" ref="K13">AVERAGE(IF(_xlfn.ISFORMULA(Process27[II]),Process27[II]))</f>
        <v>0</v>
      </c>
      <c r="L13" s="30" cm="1">
        <f t="array" ref="L13">AVERAGE(IF(_xlfn.ISFORMULA(Process27[JJ]),Process27[JJ]))</f>
        <v>0</v>
      </c>
      <c r="M13" s="30" cm="1">
        <f t="array" ref="M13">AVERAGE(IF(_xlfn.ISFORMULA(Process27[KK]),Process27[KK]))</f>
        <v>0</v>
      </c>
      <c r="N13" s="30" cm="1">
        <f t="array" ref="N13">AVERAGE(IF(_xlfn.ISFORMULA(Process27[LL]),Process27[LL]))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35" priority="1" operator="between">
      <formula>3</formula>
      <formula>3</formula>
    </cfRule>
    <cfRule type="cellIs" dxfId="34" priority="2" operator="between">
      <formula>2</formula>
      <formula>2.99</formula>
    </cfRule>
    <cfRule type="cellIs" dxfId="33" priority="3" operator="between">
      <formula>1</formula>
      <formula>1.99</formula>
    </cfRule>
  </conditionalFormatting>
  <conditionalFormatting sqref="C13:N13">
    <cfRule type="cellIs" dxfId="32" priority="4" operator="between">
      <formula>3</formula>
      <formula>3</formula>
    </cfRule>
    <cfRule type="cellIs" dxfId="31" priority="5" operator="between">
      <formula>2</formula>
      <formula>2.99</formula>
    </cfRule>
    <cfRule type="cellIs" dxfId="30" priority="6" operator="between">
      <formula>1</formula>
      <formula>1.99</formula>
    </cfRule>
  </conditionalFormatting>
  <conditionalFormatting sqref="C16:N63">
    <cfRule type="cellIs" dxfId="29" priority="7" operator="between">
      <formula>3</formula>
      <formula>3</formula>
    </cfRule>
    <cfRule type="cellIs" dxfId="28" priority="8" operator="between">
      <formula>2</formula>
      <formula>2.99</formula>
    </cfRule>
    <cfRule type="cellIs" dxfId="27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47D0FA2C-F9CE-49E1-A65E-4F7FD5E86D85}">
      <formula1>"IF3"</formula1>
    </dataValidation>
  </dataValidations>
  <hyperlinks>
    <hyperlink ref="Q2" location="Totals!A1" display="back to &quot;Totals&quot; sheet" xr:uid="{CF31E417-F306-45F9-B4C3-B471CAFB0983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1BE4-44C7-4DDC-BDE3-8AD862B7CBDE}">
  <sheetPr>
    <tabColor theme="2"/>
  </sheetPr>
  <dimension ref="A1:AC102"/>
  <sheetViews>
    <sheetView zoomScaleNormal="100" workbookViewId="0">
      <selection activeCell="N4" sqref="N4:N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121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AVERAGE(IF(_xlfn.ISFORMULA(Process28[AA]),Process28[AA]))</f>
        <v>0</v>
      </c>
      <c r="D13" s="30" cm="1">
        <f t="array" ref="D13">AVERAGE(IF(_xlfn.ISFORMULA(Process28[BB]),Process28[BB]))</f>
        <v>0</v>
      </c>
      <c r="E13" s="30" cm="1">
        <f t="array" ref="E13">AVERAGE(IF(_xlfn.ISFORMULA(Process28[CC]),Process28[CC]))</f>
        <v>0</v>
      </c>
      <c r="F13" s="30" cm="1">
        <f t="array" ref="F13">AVERAGE(IF(_xlfn.ISFORMULA(Process28[DD]),Process28[DD]))</f>
        <v>0</v>
      </c>
      <c r="G13" s="30" cm="1">
        <f t="array" ref="G13">AVERAGE(IF(_xlfn.ISFORMULA(Process28[EE]),Process28[EE]))</f>
        <v>0</v>
      </c>
      <c r="H13" s="30" cm="1">
        <f t="array" ref="H13">AVERAGE(IF(_xlfn.ISFORMULA(Process28[FF]),Process28[FF]))</f>
        <v>0</v>
      </c>
      <c r="I13" s="30" cm="1">
        <f t="array" ref="I13">AVERAGE(IF(_xlfn.ISFORMULA(Process28[GG]),Process28[GG]))</f>
        <v>0</v>
      </c>
      <c r="J13" s="30" cm="1">
        <f t="array" ref="J13">AVERAGE(IF(_xlfn.ISFORMULA(Process28[HH]),Process28[HH]))</f>
        <v>0</v>
      </c>
      <c r="K13" s="30" cm="1">
        <f t="array" ref="K13">AVERAGE(IF(_xlfn.ISFORMULA(Process28[II]),Process28[II]))</f>
        <v>0</v>
      </c>
      <c r="L13" s="30" cm="1">
        <f t="array" ref="L13">AVERAGE(IF(_xlfn.ISFORMULA(Process28[JJ]),Process28[JJ]))</f>
        <v>0</v>
      </c>
      <c r="M13" s="30" cm="1">
        <f t="array" ref="M13">AVERAGE(IF(_xlfn.ISFORMULA(Process28[KK]),Process28[KK]))</f>
        <v>0</v>
      </c>
      <c r="N13" s="30" cm="1">
        <f t="array" ref="N13">AVERAGE(IF(_xlfn.ISFORMULA(Process28[LL]),Process28[LL]))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26" priority="1" operator="between">
      <formula>3</formula>
      <formula>3</formula>
    </cfRule>
    <cfRule type="cellIs" dxfId="25" priority="2" operator="between">
      <formula>2</formula>
      <formula>2.99</formula>
    </cfRule>
    <cfRule type="cellIs" dxfId="24" priority="3" operator="between">
      <formula>1</formula>
      <formula>1.99</formula>
    </cfRule>
  </conditionalFormatting>
  <conditionalFormatting sqref="C13:N13">
    <cfRule type="cellIs" dxfId="23" priority="4" operator="between">
      <formula>3</formula>
      <formula>3</formula>
    </cfRule>
    <cfRule type="cellIs" dxfId="22" priority="5" operator="between">
      <formula>2</formula>
      <formula>2.99</formula>
    </cfRule>
    <cfRule type="cellIs" dxfId="21" priority="6" operator="between">
      <formula>1</formula>
      <formula>1.99</formula>
    </cfRule>
  </conditionalFormatting>
  <conditionalFormatting sqref="C16:N63">
    <cfRule type="cellIs" dxfId="20" priority="7" operator="between">
      <formula>3</formula>
      <formula>3</formula>
    </cfRule>
    <cfRule type="cellIs" dxfId="19" priority="8" operator="between">
      <formula>2</formula>
      <formula>2.99</formula>
    </cfRule>
    <cfRule type="cellIs" dxfId="18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A8461DA4-C12A-4B94-925C-2111D96A5853}">
      <formula1>"IF3"</formula1>
    </dataValidation>
  </dataValidations>
  <hyperlinks>
    <hyperlink ref="Q2" location="Totals!A1" display="back to &quot;Totals&quot; sheet" xr:uid="{6C6F5A13-7C2F-4A8D-87D2-BD977DFE0788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466-2DD1-4224-85E5-509E8D0739ED}">
  <sheetPr>
    <tabColor theme="2"/>
  </sheetPr>
  <dimension ref="A1:AC102"/>
  <sheetViews>
    <sheetView zoomScaleNormal="100" workbookViewId="0">
      <selection activeCell="M75" sqref="M75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122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N4" s="14"/>
      <c r="O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AVERAGE(IF(_xlfn.ISFORMULA(Process29[AA]),Process29[AA]))</f>
        <v>0</v>
      </c>
      <c r="D13" s="30" cm="1">
        <f t="array" ref="D13">AVERAGE(IF(_xlfn.ISFORMULA(Process29[BB]),Process29[BB]))</f>
        <v>0</v>
      </c>
      <c r="E13" s="30" cm="1">
        <f t="array" ref="E13">AVERAGE(IF(_xlfn.ISFORMULA(Process29[CC]),Process29[CC]))</f>
        <v>0</v>
      </c>
      <c r="F13" s="30" cm="1">
        <f t="array" ref="F13">AVERAGE(IF(_xlfn.ISFORMULA(Process29[DD]),Process29[DD]))</f>
        <v>0</v>
      </c>
      <c r="G13" s="30" cm="1">
        <f t="array" ref="G13">AVERAGE(IF(_xlfn.ISFORMULA(Process29[EE]),Process29[EE]))</f>
        <v>0</v>
      </c>
      <c r="H13" s="30" cm="1">
        <f t="array" ref="H13">AVERAGE(IF(_xlfn.ISFORMULA(Process29[FF]),Process29[FF]))</f>
        <v>0</v>
      </c>
      <c r="I13" s="30" cm="1">
        <f t="array" ref="I13">AVERAGE(IF(_xlfn.ISFORMULA(Process29[GG]),Process29[GG]))</f>
        <v>0</v>
      </c>
      <c r="J13" s="30" cm="1">
        <f t="array" ref="J13">AVERAGE(IF(_xlfn.ISFORMULA(Process29[HH]),Process29[HH]))</f>
        <v>0</v>
      </c>
      <c r="K13" s="30" cm="1">
        <f t="array" ref="K13">AVERAGE(IF(_xlfn.ISFORMULA(Process29[II]),Process29[II]))</f>
        <v>0</v>
      </c>
      <c r="L13" s="30" cm="1">
        <f t="array" ref="L13">AVERAGE(IF(_xlfn.ISFORMULA(Process29[JJ]),Process29[JJ]))</f>
        <v>0</v>
      </c>
      <c r="M13" s="30" cm="1">
        <f t="array" ref="M13">AVERAGE(IF(_xlfn.ISFORMULA(Process29[KK]),Process29[KK]))</f>
        <v>0</v>
      </c>
      <c r="N13" s="30" cm="1">
        <f t="array" ref="N13">AVERAGE(IF(_xlfn.ISFORMULA(Process29[LL]),Process29[LL]))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17" priority="1" operator="between">
      <formula>3</formula>
      <formula>3</formula>
    </cfRule>
    <cfRule type="cellIs" dxfId="16" priority="2" operator="between">
      <formula>2</formula>
      <formula>2.99</formula>
    </cfRule>
    <cfRule type="cellIs" dxfId="15" priority="3" operator="between">
      <formula>1</formula>
      <formula>1.99</formula>
    </cfRule>
  </conditionalFormatting>
  <conditionalFormatting sqref="C13:N13">
    <cfRule type="cellIs" dxfId="14" priority="4" operator="between">
      <formula>3</formula>
      <formula>3</formula>
    </cfRule>
    <cfRule type="cellIs" dxfId="13" priority="5" operator="between">
      <formula>2</formula>
      <formula>2.99</formula>
    </cfRule>
    <cfRule type="cellIs" dxfId="12" priority="6" operator="between">
      <formula>1</formula>
      <formula>1.99</formula>
    </cfRule>
  </conditionalFormatting>
  <conditionalFormatting sqref="C16:N63">
    <cfRule type="cellIs" dxfId="11" priority="7" operator="between">
      <formula>3</formula>
      <formula>3</formula>
    </cfRule>
    <cfRule type="cellIs" dxfId="10" priority="8" operator="between">
      <formula>2</formula>
      <formula>2.99</formula>
    </cfRule>
    <cfRule type="cellIs" dxfId="9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E75EF839-D0A2-492F-BC7B-269661995BEE}">
      <formula1>"IF3"</formula1>
    </dataValidation>
  </dataValidations>
  <hyperlinks>
    <hyperlink ref="Q2" location="Totals!A1" display="back to &quot;Totals&quot; sheet" xr:uid="{65CDA0CA-BAFB-4CC8-8C8B-B336646A9295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C911-8457-491E-994C-F1A24613625A}">
  <sheetPr>
    <tabColor theme="2"/>
  </sheetPr>
  <dimension ref="A1:AC102"/>
  <sheetViews>
    <sheetView zoomScaleNormal="100" workbookViewId="0">
      <selection activeCell="B2" sqref="B2:N2"/>
    </sheetView>
  </sheetViews>
  <sheetFormatPr defaultRowHeight="14.4" outlineLevelRow="1"/>
  <cols>
    <col min="1" max="1" width="5" customWidth="1"/>
    <col min="2" max="2" width="41.44140625" bestFit="1" customWidth="1"/>
    <col min="3" max="15" width="10.88671875" customWidth="1"/>
    <col min="16" max="16" width="5.5546875" customWidth="1"/>
    <col min="17" max="17" width="34" bestFit="1" customWidth="1"/>
  </cols>
  <sheetData>
    <row r="1" spans="1:29">
      <c r="A1" s="14"/>
      <c r="B1" s="18"/>
      <c r="C1" s="18"/>
      <c r="D1" s="18"/>
      <c r="E1" s="18"/>
      <c r="F1" s="18"/>
      <c r="G1" s="15"/>
      <c r="H1" s="15"/>
      <c r="I1" s="15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5.95" customHeight="1">
      <c r="A2" s="14"/>
      <c r="B2" s="88" t="s">
        <v>123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  <c r="O2" s="14"/>
      <c r="P2" s="14"/>
      <c r="Q2" s="17" t="s">
        <v>54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18"/>
      <c r="C3" s="18"/>
      <c r="D3" s="18"/>
      <c r="E3" s="18"/>
      <c r="F3" s="18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" customHeight="1">
      <c r="A4" s="14"/>
      <c r="B4" s="1">
        <v>1</v>
      </c>
      <c r="C4" s="91" t="s">
        <v>55</v>
      </c>
      <c r="D4" s="91"/>
      <c r="E4" s="91"/>
      <c r="F4" s="91"/>
      <c r="G4" s="92"/>
      <c r="H4" s="16"/>
      <c r="I4" s="16"/>
      <c r="J4" s="16"/>
      <c r="K4" s="14"/>
      <c r="L4" s="21"/>
      <c r="M4" s="14"/>
      <c r="P4" s="42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" customHeight="1">
      <c r="A5" s="14"/>
      <c r="B5" s="2">
        <v>2</v>
      </c>
      <c r="C5" s="93" t="s">
        <v>56</v>
      </c>
      <c r="D5" s="93"/>
      <c r="E5" s="93"/>
      <c r="F5" s="93"/>
      <c r="G5" s="94"/>
      <c r="H5" s="16"/>
      <c r="I5" s="16"/>
      <c r="J5" s="16"/>
      <c r="K5" s="14"/>
      <c r="L5" s="14"/>
      <c r="M5" s="14"/>
      <c r="N5" s="14"/>
      <c r="O5" s="14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" customHeight="1">
      <c r="A6" s="14"/>
      <c r="B6" s="3">
        <v>3</v>
      </c>
      <c r="C6" s="95" t="s">
        <v>57</v>
      </c>
      <c r="D6" s="95"/>
      <c r="E6" s="95"/>
      <c r="F6" s="95"/>
      <c r="G6" s="96"/>
      <c r="H6" s="16"/>
      <c r="I6" s="16"/>
      <c r="J6" s="16"/>
      <c r="K6" s="16"/>
      <c r="L6" s="16"/>
      <c r="M6" s="16"/>
      <c r="N6" s="16"/>
      <c r="O6" s="14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" customHeight="1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" customHeight="1">
      <c r="A8" s="14"/>
      <c r="B8" s="22" t="s">
        <v>58</v>
      </c>
      <c r="C8" s="4" t="s">
        <v>39</v>
      </c>
      <c r="D8" s="23" t="s">
        <v>40</v>
      </c>
      <c r="E8" s="4" t="s">
        <v>41</v>
      </c>
      <c r="F8" s="23" t="s">
        <v>42</v>
      </c>
      <c r="G8" s="4" t="s">
        <v>43</v>
      </c>
      <c r="H8" s="23" t="s">
        <v>44</v>
      </c>
      <c r="I8" s="4" t="s">
        <v>45</v>
      </c>
      <c r="J8" s="23" t="s">
        <v>46</v>
      </c>
      <c r="K8" s="4" t="s">
        <v>47</v>
      </c>
      <c r="L8" s="23" t="s">
        <v>48</v>
      </c>
      <c r="M8" s="4" t="s">
        <v>49</v>
      </c>
      <c r="N8" s="24" t="s">
        <v>50</v>
      </c>
      <c r="O8" s="14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" customHeight="1">
      <c r="A9" s="14"/>
      <c r="B9" s="27" t="s">
        <v>59</v>
      </c>
      <c r="C9" s="28"/>
      <c r="D9" s="28"/>
      <c r="E9" s="28"/>
      <c r="F9" s="28"/>
      <c r="G9" s="28" t="s">
        <v>39</v>
      </c>
      <c r="H9" s="28"/>
      <c r="I9" s="28"/>
      <c r="J9" s="28"/>
      <c r="K9" s="28"/>
      <c r="L9" s="28"/>
      <c r="M9" s="28"/>
      <c r="N9" s="37"/>
      <c r="O9" s="14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" customHeight="1">
      <c r="A10" s="14"/>
      <c r="B10" s="31" t="s">
        <v>60</v>
      </c>
      <c r="C10" s="32"/>
      <c r="D10" s="32"/>
      <c r="E10" s="32"/>
      <c r="F10" s="32"/>
      <c r="G10" s="32">
        <v>45641</v>
      </c>
      <c r="H10" s="32"/>
      <c r="I10" s="32"/>
      <c r="J10" s="32"/>
      <c r="K10" s="32"/>
      <c r="L10" s="32"/>
      <c r="M10" s="32"/>
      <c r="N10" s="33"/>
      <c r="O10" s="14"/>
      <c r="P10" s="19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" customHeight="1">
      <c r="A11" s="14"/>
      <c r="B11" s="25" t="s">
        <v>61</v>
      </c>
      <c r="C11" s="5"/>
      <c r="D11" s="5"/>
      <c r="E11" s="5"/>
      <c r="F11" s="5"/>
      <c r="G11" s="5">
        <v>45667</v>
      </c>
      <c r="H11" s="5"/>
      <c r="I11" s="5"/>
      <c r="J11" s="5"/>
      <c r="K11" s="5"/>
      <c r="L11" s="5"/>
      <c r="M11" s="5"/>
      <c r="N11" s="26"/>
      <c r="O11" s="14"/>
      <c r="P11" s="19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" customHeight="1">
      <c r="A12" s="14"/>
      <c r="B12" s="34" t="s">
        <v>62</v>
      </c>
      <c r="C12" s="35"/>
      <c r="D12" s="35"/>
      <c r="E12" s="35"/>
      <c r="F12" s="35"/>
      <c r="G12" s="35">
        <v>45693</v>
      </c>
      <c r="H12" s="35"/>
      <c r="I12" s="35"/>
      <c r="J12" s="35"/>
      <c r="K12" s="35"/>
      <c r="L12" s="35"/>
      <c r="M12" s="35"/>
      <c r="N12" s="36"/>
      <c r="O12" s="14"/>
      <c r="P12" s="19"/>
      <c r="Q12" s="15"/>
      <c r="R12" s="15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" customHeight="1">
      <c r="A13" s="14"/>
      <c r="B13" s="29" t="s">
        <v>63</v>
      </c>
      <c r="C13" s="30" cm="1">
        <f t="array" ref="C13">AVERAGE(IF(_xlfn.ISFORMULA(Process30[AA]),Process30[AA]))</f>
        <v>0</v>
      </c>
      <c r="D13" s="30" cm="1">
        <f t="array" ref="D13">AVERAGE(IF(_xlfn.ISFORMULA(Process30[BB]),Process30[BB]))</f>
        <v>0</v>
      </c>
      <c r="E13" s="30" cm="1">
        <f t="array" ref="E13">AVERAGE(IF(_xlfn.ISFORMULA(Process30[CC]),Process30[CC]))</f>
        <v>0</v>
      </c>
      <c r="F13" s="30" cm="1">
        <f t="array" ref="F13">AVERAGE(IF(_xlfn.ISFORMULA(Process30[DD]),Process30[DD]))</f>
        <v>0</v>
      </c>
      <c r="G13" s="30" cm="1">
        <f t="array" ref="G13">AVERAGE(IF(_xlfn.ISFORMULA(Process30[EE]),Process30[EE]))</f>
        <v>0</v>
      </c>
      <c r="H13" s="30" cm="1">
        <f t="array" ref="H13">AVERAGE(IF(_xlfn.ISFORMULA(Process30[FF]),Process30[FF]))</f>
        <v>0</v>
      </c>
      <c r="I13" s="30" cm="1">
        <f t="array" ref="I13">AVERAGE(IF(_xlfn.ISFORMULA(Process30[GG]),Process30[GG]))</f>
        <v>0</v>
      </c>
      <c r="J13" s="30" cm="1">
        <f t="array" ref="J13">AVERAGE(IF(_xlfn.ISFORMULA(Process30[HH]),Process30[HH]))</f>
        <v>0</v>
      </c>
      <c r="K13" s="30" cm="1">
        <f t="array" ref="K13">AVERAGE(IF(_xlfn.ISFORMULA(Process30[II]),Process30[II]))</f>
        <v>0</v>
      </c>
      <c r="L13" s="30" cm="1">
        <f t="array" ref="L13">AVERAGE(IF(_xlfn.ISFORMULA(Process30[JJ]),Process30[JJ]))</f>
        <v>0</v>
      </c>
      <c r="M13" s="30" cm="1">
        <f t="array" ref="M13">AVERAGE(IF(_xlfn.ISFORMULA(Process30[KK]),Process30[KK]))</f>
        <v>0</v>
      </c>
      <c r="N13" s="30" cm="1">
        <f t="array" ref="N13">AVERAGE(IF(_xlfn.ISFORMULA(Process30[LL]),Process30[LL]))</f>
        <v>0</v>
      </c>
      <c r="O13" s="14"/>
      <c r="P13" s="19"/>
      <c r="Q13" s="15"/>
      <c r="R13" s="15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" customHeight="1">
      <c r="A14" s="14"/>
      <c r="B14" s="18"/>
      <c r="C14" s="18"/>
      <c r="D14" s="18"/>
      <c r="E14" s="18"/>
      <c r="F14" s="18"/>
      <c r="G14" s="15"/>
      <c r="H14" s="15"/>
      <c r="I14" s="15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/>
      <c r="B15" s="61" t="s">
        <v>64</v>
      </c>
      <c r="C15" s="62" t="s">
        <v>39</v>
      </c>
      <c r="D15" s="62" t="s">
        <v>40</v>
      </c>
      <c r="E15" s="63" t="s">
        <v>41</v>
      </c>
      <c r="F15" s="63" t="s">
        <v>42</v>
      </c>
      <c r="G15" s="64" t="s">
        <v>43</v>
      </c>
      <c r="H15" s="64" t="s">
        <v>44</v>
      </c>
      <c r="I15" s="64" t="s">
        <v>45</v>
      </c>
      <c r="J15" s="64" t="s">
        <v>46</v>
      </c>
      <c r="K15" s="64" t="s">
        <v>47</v>
      </c>
      <c r="L15" s="64" t="s">
        <v>48</v>
      </c>
      <c r="M15" s="64" t="s">
        <v>49</v>
      </c>
      <c r="N15" s="64" t="s">
        <v>50</v>
      </c>
      <c r="O15" s="66"/>
      <c r="P15" s="4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>
        <v>1</v>
      </c>
      <c r="B16" s="65" t="s">
        <v>93</v>
      </c>
      <c r="C16" s="58">
        <f>AVERAGE(C17:C25)</f>
        <v>0</v>
      </c>
      <c r="D16" s="58">
        <f t="shared" ref="D16:N16" si="0">AVERAGE(D17:D25)</f>
        <v>0</v>
      </c>
      <c r="E16" s="58">
        <f>AVERAGE(E17:E25)</f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>AVERAGE(I17:I25)</f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14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idden="1" outlineLevel="1">
      <c r="A17" s="14"/>
      <c r="B17" s="52" t="s">
        <v>67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14"/>
      <c r="P17" s="4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idden="1" outlineLevel="1">
      <c r="A18" s="14"/>
      <c r="B18" s="60" t="s">
        <v>69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4"/>
      <c r="P18" s="4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idden="1" outlineLevel="1">
      <c r="A19" s="14"/>
      <c r="B19" s="60" t="s">
        <v>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14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idden="1" outlineLevel="1">
      <c r="A20" s="14"/>
      <c r="B20" s="60" t="s">
        <v>71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idden="1" outlineLevel="1">
      <c r="A21" s="14"/>
      <c r="B21" s="60" t="s">
        <v>72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idden="1" outlineLevel="1">
      <c r="A22" s="14"/>
      <c r="B22" s="60" t="s">
        <v>73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4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idden="1" outlineLevel="1">
      <c r="A23" s="14"/>
      <c r="B23" s="60" t="s">
        <v>74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14"/>
      <c r="P23" s="4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idden="1" outlineLevel="1">
      <c r="A24" s="14"/>
      <c r="B24" s="60" t="s">
        <v>75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14"/>
      <c r="P24" s="47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idden="1" outlineLevel="1">
      <c r="A25" s="14"/>
      <c r="B25" s="60" t="s">
        <v>76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4"/>
      <c r="P25" s="47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collapsed="1">
      <c r="A26" s="14">
        <v>2</v>
      </c>
      <c r="B26" s="59" t="s">
        <v>77</v>
      </c>
      <c r="C26" s="51">
        <f t="shared" ref="C26:N26" si="1">AVERAGE(C27:C31)</f>
        <v>0</v>
      </c>
      <c r="D26" s="51">
        <f t="shared" si="1"/>
        <v>0</v>
      </c>
      <c r="E26" s="51">
        <f>AVERAGE(E27:E31)</f>
        <v>0</v>
      </c>
      <c r="F26" s="51">
        <f t="shared" si="1"/>
        <v>0</v>
      </c>
      <c r="G26" s="51">
        <f t="shared" si="1"/>
        <v>0</v>
      </c>
      <c r="H26" s="51">
        <f t="shared" si="1"/>
        <v>0</v>
      </c>
      <c r="I26" s="51">
        <f>AVERAGE(I27:I31)</f>
        <v>0</v>
      </c>
      <c r="J26" s="51">
        <f t="shared" si="1"/>
        <v>0</v>
      </c>
      <c r="K26" s="51">
        <f t="shared" si="1"/>
        <v>0</v>
      </c>
      <c r="L26" s="51">
        <f t="shared" si="1"/>
        <v>0</v>
      </c>
      <c r="M26" s="51">
        <f t="shared" si="1"/>
        <v>0</v>
      </c>
      <c r="N26" s="51">
        <f t="shared" si="1"/>
        <v>0</v>
      </c>
      <c r="O26" s="14"/>
      <c r="P26" s="4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idden="1" outlineLevel="1">
      <c r="A27" s="14"/>
      <c r="B27" s="60" t="s">
        <v>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14"/>
      <c r="P27" s="47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idden="1" outlineLevel="1">
      <c r="A28" s="14"/>
      <c r="B28" s="60" t="s">
        <v>79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14"/>
      <c r="P28" s="4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idden="1" outlineLevel="1">
      <c r="A29" s="14"/>
      <c r="B29" s="60" t="s">
        <v>80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14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idden="1" outlineLevel="1">
      <c r="A30" s="14"/>
      <c r="B30" s="60" t="s">
        <v>81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14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idden="1" outlineLevel="1">
      <c r="A31" s="14"/>
      <c r="B31" s="60" t="s">
        <v>82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4"/>
      <c r="P31" s="4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collapsed="1">
      <c r="A32" s="14">
        <v>3</v>
      </c>
      <c r="B32" s="59" t="s">
        <v>83</v>
      </c>
      <c r="C32" s="54">
        <f>0</f>
        <v>0</v>
      </c>
      <c r="D32" s="54">
        <f>0</f>
        <v>0</v>
      </c>
      <c r="E32" s="54">
        <f>0</f>
        <v>0</v>
      </c>
      <c r="F32" s="54">
        <f>0</f>
        <v>0</v>
      </c>
      <c r="G32" s="54">
        <f>0</f>
        <v>0</v>
      </c>
      <c r="H32" s="54">
        <f>0</f>
        <v>0</v>
      </c>
      <c r="I32" s="54">
        <f>0</f>
        <v>0</v>
      </c>
      <c r="J32" s="54">
        <f>0</f>
        <v>0</v>
      </c>
      <c r="K32" s="54">
        <f>0</f>
        <v>0</v>
      </c>
      <c r="L32" s="54">
        <f>0</f>
        <v>0</v>
      </c>
      <c r="M32" s="54">
        <f>0</f>
        <v>0</v>
      </c>
      <c r="N32" s="54">
        <f>0</f>
        <v>0</v>
      </c>
      <c r="O32" s="14"/>
      <c r="P32" s="47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>
        <v>4</v>
      </c>
      <c r="B33" s="59" t="s">
        <v>85</v>
      </c>
      <c r="C33" s="51">
        <f t="shared" ref="C33:N33" si="2">AVERAGE(C34:C38)</f>
        <v>0</v>
      </c>
      <c r="D33" s="51">
        <f t="shared" si="2"/>
        <v>0</v>
      </c>
      <c r="E33" s="51">
        <f>AVERAGE(E34:E38)</f>
        <v>0</v>
      </c>
      <c r="F33" s="51">
        <f t="shared" si="2"/>
        <v>0</v>
      </c>
      <c r="G33" s="51">
        <f t="shared" si="2"/>
        <v>0</v>
      </c>
      <c r="H33" s="51">
        <f t="shared" si="2"/>
        <v>0</v>
      </c>
      <c r="I33" s="51">
        <f>AVERAGE(I34:I38)</f>
        <v>0</v>
      </c>
      <c r="J33" s="51">
        <f t="shared" si="2"/>
        <v>0</v>
      </c>
      <c r="K33" s="51">
        <f>AVERAGE(K34:K38)</f>
        <v>0</v>
      </c>
      <c r="L33" s="51">
        <f t="shared" si="2"/>
        <v>0</v>
      </c>
      <c r="M33" s="51">
        <f t="shared" si="2"/>
        <v>0</v>
      </c>
      <c r="N33" s="51">
        <f t="shared" si="2"/>
        <v>0</v>
      </c>
      <c r="O33" s="14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idden="1" outlineLevel="1">
      <c r="A34" s="14"/>
      <c r="B34" s="60" t="s">
        <v>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14"/>
      <c r="P34" s="4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idden="1" outlineLevel="1">
      <c r="A35" s="14"/>
      <c r="B35" s="60" t="s">
        <v>79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14"/>
      <c r="P35" s="47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idden="1" outlineLevel="1">
      <c r="A36" s="14"/>
      <c r="B36" s="60" t="s">
        <v>80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14"/>
      <c r="P36" s="47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idden="1" outlineLevel="1">
      <c r="A37" s="14"/>
      <c r="B37" s="60" t="s">
        <v>81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14"/>
      <c r="P37" s="4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idden="1" outlineLevel="1">
      <c r="A38" s="14"/>
      <c r="B38" s="60" t="s">
        <v>82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14"/>
      <c r="P38" s="4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collapsed="1">
      <c r="A39" s="14">
        <v>5</v>
      </c>
      <c r="B39" s="59" t="s">
        <v>87</v>
      </c>
      <c r="C39" s="51">
        <f t="shared" ref="C39:N39" si="3">AVERAGE(C40:C44)</f>
        <v>0</v>
      </c>
      <c r="D39" s="51">
        <f t="shared" si="3"/>
        <v>0</v>
      </c>
      <c r="E39" s="51">
        <f>AVERAGE(E40:E44)</f>
        <v>0</v>
      </c>
      <c r="F39" s="51">
        <f t="shared" si="3"/>
        <v>0</v>
      </c>
      <c r="G39" s="51">
        <f t="shared" si="3"/>
        <v>0</v>
      </c>
      <c r="H39" s="51">
        <f t="shared" si="3"/>
        <v>0</v>
      </c>
      <c r="I39" s="51">
        <f>AVERAGE(I40:I44)</f>
        <v>0</v>
      </c>
      <c r="J39" s="51">
        <f t="shared" si="3"/>
        <v>0</v>
      </c>
      <c r="K39" s="51">
        <f t="shared" si="3"/>
        <v>0</v>
      </c>
      <c r="L39" s="51">
        <f t="shared" si="3"/>
        <v>0</v>
      </c>
      <c r="M39" s="51">
        <f t="shared" si="3"/>
        <v>0</v>
      </c>
      <c r="N39" s="51">
        <f t="shared" si="3"/>
        <v>0</v>
      </c>
      <c r="O39" s="14"/>
      <c r="P39" s="47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idden="1" outlineLevel="1">
      <c r="A40" s="14"/>
      <c r="B40" s="60" t="s">
        <v>78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14"/>
      <c r="P40" s="4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idden="1" outlineLevel="1">
      <c r="A41" s="14"/>
      <c r="B41" s="60" t="s">
        <v>79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14"/>
      <c r="P41" s="4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idden="1" outlineLevel="1">
      <c r="A42" s="14"/>
      <c r="B42" s="60" t="s">
        <v>80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14"/>
      <c r="P42" s="47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idden="1" outlineLevel="1">
      <c r="A43" s="14"/>
      <c r="B43" s="60" t="s">
        <v>81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14"/>
      <c r="P43" s="47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idden="1" outlineLevel="1">
      <c r="A44" s="14"/>
      <c r="B44" s="60" t="s">
        <v>82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14"/>
      <c r="P44" s="47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collapsed="1">
      <c r="A45" s="14">
        <v>6</v>
      </c>
      <c r="B45" s="59" t="s">
        <v>88</v>
      </c>
      <c r="C45" s="51">
        <f>AVERAGE(C46:C50)</f>
        <v>0</v>
      </c>
      <c r="D45" s="51">
        <f t="shared" ref="D45:N45" si="4">AVERAGE(D46:D50)</f>
        <v>0</v>
      </c>
      <c r="E45" s="51">
        <f>AVERAGE(E46:E50)</f>
        <v>0</v>
      </c>
      <c r="F45" s="51">
        <f t="shared" si="4"/>
        <v>0</v>
      </c>
      <c r="G45" s="51">
        <f t="shared" si="4"/>
        <v>0</v>
      </c>
      <c r="H45" s="51">
        <f t="shared" si="4"/>
        <v>0</v>
      </c>
      <c r="I45" s="51">
        <f>AVERAGE(I46:I50)</f>
        <v>0</v>
      </c>
      <c r="J45" s="51">
        <f t="shared" si="4"/>
        <v>0</v>
      </c>
      <c r="K45" s="51">
        <f t="shared" si="4"/>
        <v>0</v>
      </c>
      <c r="L45" s="51">
        <f t="shared" si="4"/>
        <v>0</v>
      </c>
      <c r="M45" s="51">
        <f t="shared" si="4"/>
        <v>0</v>
      </c>
      <c r="N45" s="51">
        <f t="shared" si="4"/>
        <v>0</v>
      </c>
      <c r="O45" s="14"/>
      <c r="P45" s="4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idden="1" outlineLevel="1">
      <c r="A46" s="14"/>
      <c r="B46" s="60" t="s">
        <v>78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14"/>
      <c r="P46" s="47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idden="1" outlineLevel="1">
      <c r="A47" s="14"/>
      <c r="B47" s="60" t="s">
        <v>79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14"/>
      <c r="P47" s="47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idden="1" outlineLevel="1">
      <c r="A48" s="14"/>
      <c r="B48" s="60" t="s">
        <v>80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14"/>
      <c r="P48" s="4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idden="1" outlineLevel="1">
      <c r="A49" s="14"/>
      <c r="B49" s="60" t="s">
        <v>81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14"/>
      <c r="P49" s="47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idden="1" outlineLevel="1">
      <c r="A50" s="14"/>
      <c r="B50" s="60" t="s">
        <v>82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14"/>
      <c r="P50" s="4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collapsed="1">
      <c r="A51" s="14">
        <v>7</v>
      </c>
      <c r="B51" s="59" t="s">
        <v>89</v>
      </c>
      <c r="C51" s="51">
        <f>AVERAGE(C52:C56)</f>
        <v>0</v>
      </c>
      <c r="D51" s="51">
        <f t="shared" ref="D51:N51" si="5">AVERAGE(D52:D56)</f>
        <v>0</v>
      </c>
      <c r="E51" s="51">
        <f>AVERAGE(E52:E56)</f>
        <v>0</v>
      </c>
      <c r="F51" s="51">
        <f t="shared" si="5"/>
        <v>0</v>
      </c>
      <c r="G51" s="51">
        <f t="shared" si="5"/>
        <v>0</v>
      </c>
      <c r="H51" s="51">
        <f t="shared" si="5"/>
        <v>0</v>
      </c>
      <c r="I51" s="51">
        <f>AVERAGE(I52:I56)</f>
        <v>0</v>
      </c>
      <c r="J51" s="51">
        <f t="shared" si="5"/>
        <v>0</v>
      </c>
      <c r="K51" s="51">
        <f t="shared" si="5"/>
        <v>0</v>
      </c>
      <c r="L51" s="51">
        <f t="shared" si="5"/>
        <v>0</v>
      </c>
      <c r="M51" s="51">
        <f t="shared" si="5"/>
        <v>0</v>
      </c>
      <c r="N51" s="51">
        <f t="shared" si="5"/>
        <v>0</v>
      </c>
      <c r="O51" s="14"/>
      <c r="P51" s="4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idden="1" outlineLevel="1">
      <c r="A52" s="14"/>
      <c r="B52" s="60" t="s">
        <v>78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idden="1" outlineLevel="1">
      <c r="A53" s="14"/>
      <c r="B53" s="60" t="s">
        <v>79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idden="1" outlineLevel="1">
      <c r="A54" s="14"/>
      <c r="B54" s="60" t="s">
        <v>80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idden="1" outlineLevel="1">
      <c r="A55" s="14"/>
      <c r="B55" s="60" t="s">
        <v>81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idden="1" outlineLevel="1">
      <c r="A56" s="14"/>
      <c r="B56" s="60" t="s">
        <v>82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collapsed="1">
      <c r="A57" s="14">
        <v>8</v>
      </c>
      <c r="B57" s="59" t="s">
        <v>90</v>
      </c>
      <c r="C57" s="51">
        <f>AVERAGE(C58:C62)</f>
        <v>0</v>
      </c>
      <c r="D57" s="51">
        <f t="shared" ref="D57:N57" si="6">AVERAGE(D58:D62)</f>
        <v>0</v>
      </c>
      <c r="E57" s="51">
        <f>AVERAGE(E58:E62)</f>
        <v>0</v>
      </c>
      <c r="F57" s="51">
        <f t="shared" si="6"/>
        <v>0</v>
      </c>
      <c r="G57" s="51">
        <f t="shared" si="6"/>
        <v>0</v>
      </c>
      <c r="H57" s="51">
        <f t="shared" si="6"/>
        <v>0</v>
      </c>
      <c r="I57" s="51">
        <f>AVERAGE(I58:I62)</f>
        <v>0</v>
      </c>
      <c r="J57" s="51">
        <f t="shared" si="6"/>
        <v>0</v>
      </c>
      <c r="K57" s="51">
        <f t="shared" si="6"/>
        <v>0</v>
      </c>
      <c r="L57" s="51">
        <f t="shared" si="6"/>
        <v>0</v>
      </c>
      <c r="M57" s="51">
        <f t="shared" si="6"/>
        <v>0</v>
      </c>
      <c r="N57" s="51">
        <f t="shared" si="6"/>
        <v>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idden="1" outlineLevel="1">
      <c r="A58" s="14"/>
      <c r="B58" s="60" t="s">
        <v>78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idden="1" outlineLevel="1">
      <c r="A59" s="14"/>
      <c r="B59" s="60" t="s">
        <v>79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idden="1" outlineLevel="1">
      <c r="A60" s="14"/>
      <c r="B60" s="60" t="s">
        <v>80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idden="1" outlineLevel="1">
      <c r="A61" s="14"/>
      <c r="B61" s="60" t="s">
        <v>81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idden="1" outlineLevel="1">
      <c r="A62" s="14"/>
      <c r="B62" s="60" t="s">
        <v>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collapsed="1">
      <c r="A63" s="14">
        <v>9</v>
      </c>
      <c r="B63" s="59" t="s">
        <v>94</v>
      </c>
      <c r="C63" s="54">
        <f>0</f>
        <v>0</v>
      </c>
      <c r="D63" s="54">
        <f>0</f>
        <v>0</v>
      </c>
      <c r="E63" s="54">
        <f>0</f>
        <v>0</v>
      </c>
      <c r="F63" s="54">
        <f>0</f>
        <v>0</v>
      </c>
      <c r="G63" s="54">
        <f>0</f>
        <v>0</v>
      </c>
      <c r="H63" s="54">
        <f>0</f>
        <v>0</v>
      </c>
      <c r="I63" s="54">
        <f>0</f>
        <v>0</v>
      </c>
      <c r="J63" s="54">
        <f>0</f>
        <v>0</v>
      </c>
      <c r="K63" s="54">
        <f>0</f>
        <v>0</v>
      </c>
      <c r="L63" s="54">
        <f>0</f>
        <v>0</v>
      </c>
      <c r="M63" s="54">
        <f>0</f>
        <v>0</v>
      </c>
      <c r="N63" s="54">
        <f>0</f>
        <v>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4"/>
    </row>
  </sheetData>
  <mergeCells count="4">
    <mergeCell ref="B2:N2"/>
    <mergeCell ref="C4:G4"/>
    <mergeCell ref="C5:G5"/>
    <mergeCell ref="C6:G6"/>
  </mergeCells>
  <conditionalFormatting sqref="B17">
    <cfRule type="cellIs" dxfId="8" priority="1" operator="between">
      <formula>3</formula>
      <formula>3</formula>
    </cfRule>
    <cfRule type="cellIs" dxfId="7" priority="2" operator="between">
      <formula>2</formula>
      <formula>2.99</formula>
    </cfRule>
    <cfRule type="cellIs" dxfId="6" priority="3" operator="between">
      <formula>1</formula>
      <formula>1.99</formula>
    </cfRule>
  </conditionalFormatting>
  <conditionalFormatting sqref="C13:N13">
    <cfRule type="cellIs" dxfId="5" priority="4" operator="between">
      <formula>3</formula>
      <formula>3</formula>
    </cfRule>
    <cfRule type="cellIs" dxfId="4" priority="5" operator="between">
      <formula>2</formula>
      <formula>2.99</formula>
    </cfRule>
    <cfRule type="cellIs" dxfId="3" priority="6" operator="between">
      <formula>1</formula>
      <formula>1.99</formula>
    </cfRule>
  </conditionalFormatting>
  <conditionalFormatting sqref="C16:N63">
    <cfRule type="cellIs" dxfId="2" priority="7" operator="between">
      <formula>3</formula>
      <formula>3</formula>
    </cfRule>
    <cfRule type="cellIs" dxfId="1" priority="8" operator="between">
      <formula>2</formula>
      <formula>2.99</formula>
    </cfRule>
    <cfRule type="cellIs" dxfId="0" priority="9" operator="between">
      <formula>1</formula>
      <formula>1.99</formula>
    </cfRule>
  </conditionalFormatting>
  <dataValidations count="1">
    <dataValidation type="custom" allowBlank="1" showInputMessage="1" showErrorMessage="1" sqref="E65:E1048576 E1 E14 E3:E7" xr:uid="{7386EE6B-87A9-4D93-848B-02173BD57821}">
      <formula1>"IF3"</formula1>
    </dataValidation>
  </dataValidations>
  <hyperlinks>
    <hyperlink ref="Q2" location="Totals!A1" display="back to &quot;Totals&quot; sheet" xr:uid="{A2E4AE8D-4861-42E6-89D1-17C046961024}"/>
  </hyperlink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b35fd8-630d-4901-807d-80e2d9927f30">
      <Terms xmlns="http://schemas.microsoft.com/office/infopath/2007/PartnerControls"/>
    </lcf76f155ced4ddcb4097134ff3c332f>
    <TaxCatchAll xmlns="da691218-c580-4117-a599-d9b116d95642" xsi:nil="true"/>
    <_Flow_SignoffStatus xmlns="d1b35fd8-630d-4901-807d-80e2d9927f30" xsi:nil="true"/>
    <FOLDERCONTENTS xmlns="d1b35fd8-630d-4901-807d-80e2d9927f30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C627446E1224BA27A57942EE5B58E" ma:contentTypeVersion="24" ma:contentTypeDescription="Create a new document." ma:contentTypeScope="" ma:versionID="e68f2d8185c7abb2a68b4f9b2ddb3df5">
  <xsd:schema xmlns:xsd="http://www.w3.org/2001/XMLSchema" xmlns:xs="http://www.w3.org/2001/XMLSchema" xmlns:p="http://schemas.microsoft.com/office/2006/metadata/properties" xmlns:ns2="d1b35fd8-630d-4901-807d-80e2d9927f30" xmlns:ns3="da691218-c580-4117-a599-d9b116d95642" targetNamespace="http://schemas.microsoft.com/office/2006/metadata/properties" ma:root="true" ma:fieldsID="d690de6f934435722e3b3a179686bb74" ns2:_="" ns3:_="">
    <xsd:import namespace="d1b35fd8-630d-4901-807d-80e2d9927f30"/>
    <xsd:import namespace="da691218-c580-4117-a599-d9b116d956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FOLDERCONTE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35fd8-630d-4901-807d-80e2d9927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579bc1-3e83-4f18-9ff0-8ad18fa20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FOLDERCONTENTS" ma:index="24" nillable="true" ma:displayName="Folder Contents" ma:format="Dropdown" ma:internalName="FOLDERCONTENTS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91218-c580-4117-a599-d9b116d956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37a39e-bf14-46c3-9b8f-c60256c55337}" ma:internalName="TaxCatchAll" ma:showField="CatchAllData" ma:web="da691218-c580-4117-a599-d9b116d95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E3B89-3957-4349-A4D6-11D49CB25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39EEE-A136-444D-A920-8A1731474AC2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da691218-c580-4117-a599-d9b116d95642"/>
    <ds:schemaRef ds:uri="http://schemas.openxmlformats.org/package/2006/metadata/core-properties"/>
    <ds:schemaRef ds:uri="http://schemas.microsoft.com/office/infopath/2007/PartnerControls"/>
    <ds:schemaRef ds:uri="d1b35fd8-630d-4901-807d-80e2d9927f3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9CDC15-BF1D-4166-9BA8-315191CC1FF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C8D8118-D0FA-4C28-B317-B4D9EC0E9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35fd8-630d-4901-807d-80e2d9927f30"/>
    <ds:schemaRef ds:uri="da691218-c580-4117-a599-d9b116d95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Totals</vt:lpstr>
      <vt:lpstr>TOTALS-P</vt:lpstr>
      <vt:lpstr>Template</vt:lpstr>
      <vt:lpstr>Process01</vt:lpstr>
      <vt:lpstr>Process02</vt:lpstr>
      <vt:lpstr>Process03</vt:lpstr>
      <vt:lpstr>Process04</vt:lpstr>
      <vt:lpstr>Process05</vt:lpstr>
      <vt:lpstr>Process06</vt:lpstr>
      <vt:lpstr>Process07</vt:lpstr>
      <vt:lpstr>Process08</vt:lpstr>
      <vt:lpstr>Process09</vt:lpstr>
      <vt:lpstr>Process 10</vt:lpstr>
      <vt:lpstr>Process 11</vt:lpstr>
      <vt:lpstr>Process 12</vt:lpstr>
      <vt:lpstr>Process 13</vt:lpstr>
      <vt:lpstr>Process 14</vt:lpstr>
      <vt:lpstr>Process 15</vt:lpstr>
      <vt:lpstr>Process 16</vt:lpstr>
      <vt:lpstr>Process 17</vt:lpstr>
      <vt:lpstr>Process 18</vt:lpstr>
      <vt:lpstr>Process 19</vt:lpstr>
      <vt:lpstr>Process 20</vt:lpstr>
      <vt:lpstr>Process 21</vt:lpstr>
      <vt:lpstr>Process 22</vt:lpstr>
      <vt:lpstr>Process 23</vt:lpstr>
      <vt:lpstr>Process 24</vt:lpstr>
      <vt:lpstr>Process 25</vt:lpstr>
      <vt:lpstr>Process 26</vt:lpstr>
      <vt:lpstr>Process 27</vt:lpstr>
      <vt:lpstr>Process 28</vt:lpstr>
      <vt:lpstr>Process 29</vt:lpstr>
      <vt:lpstr>Process 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Nijat.Murshudov@edu.rtu.lv</dc:creator>
  <cp:keywords/>
  <dc:description/>
  <cp:lastModifiedBy>Nijat Murshudov</cp:lastModifiedBy>
  <cp:revision/>
  <dcterms:created xsi:type="dcterms:W3CDTF">2023-05-24T12:54:54Z</dcterms:created>
  <dcterms:modified xsi:type="dcterms:W3CDTF">2025-05-24T13:18:50Z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0x010100AE5C627446E1224BA27A57942EE5B58E</vt:lpwstr>
  </property>
  <property fmtid="{D5CDD505-2E9C-101B-9397-08002B2CF9AE}" pid="3" name="MediaServiceImageTags">
    <vt:lpwstr/>
  </property>
</Properties>
</file>