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eenaugh/Desktop/Offner/Chemical network/"/>
    </mc:Choice>
  </mc:AlternateContent>
  <xr:revisionPtr revIDLastSave="0" documentId="13_ncr:1_{57EC7B73-4507-A241-8F1B-AEF383D84C89}" xr6:coauthVersionLast="47" xr6:coauthVersionMax="47" xr10:uidLastSave="{00000000-0000-0000-0000-000000000000}"/>
  <bookViews>
    <workbookView xWindow="0" yWindow="500" windowWidth="33600" windowHeight="20500" xr2:uid="{C5C6BBF1-D1E8-5E4B-89C0-AAA0A8C46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3" i="1" l="1"/>
  <c r="I162" i="1"/>
  <c r="I161" i="1"/>
  <c r="K158" i="1"/>
  <c r="I158" i="1"/>
  <c r="K157" i="1"/>
  <c r="I157" i="1"/>
  <c r="I156" i="1"/>
  <c r="I155" i="1"/>
  <c r="K154" i="1"/>
  <c r="I154" i="1"/>
  <c r="I153" i="1"/>
  <c r="I152" i="1"/>
  <c r="I151" i="1"/>
  <c r="K149" i="1"/>
  <c r="I146" i="1"/>
  <c r="I145" i="1"/>
  <c r="M29" i="1"/>
  <c r="K19" i="1"/>
  <c r="I10" i="1"/>
  <c r="I7" i="1"/>
  <c r="I218" i="1"/>
  <c r="K30" i="1"/>
  <c r="I30" i="1"/>
  <c r="I3" i="1"/>
  <c r="K1" i="1"/>
  <c r="I1" i="1"/>
  <c r="I11" i="1"/>
  <c r="I13" i="1"/>
  <c r="I217" i="1"/>
  <c r="I216" i="1"/>
  <c r="I215" i="1"/>
  <c r="I214" i="1"/>
  <c r="I213" i="1"/>
  <c r="I212" i="1"/>
  <c r="I211" i="1"/>
  <c r="I210" i="1"/>
  <c r="I160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0" i="1"/>
  <c r="I149" i="1"/>
  <c r="I148" i="1"/>
  <c r="I147" i="1"/>
  <c r="K146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57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6" i="1"/>
  <c r="I55" i="1"/>
  <c r="I54" i="1"/>
  <c r="I53" i="1"/>
  <c r="K52" i="1"/>
  <c r="I52" i="1"/>
  <c r="I51" i="1"/>
  <c r="I50" i="1"/>
  <c r="I49" i="1"/>
  <c r="I48" i="1"/>
  <c r="K47" i="1"/>
  <c r="I47" i="1"/>
  <c r="I46" i="1"/>
  <c r="I45" i="1"/>
  <c r="I44" i="1"/>
  <c r="I43" i="1"/>
  <c r="K42" i="1"/>
  <c r="I42" i="1"/>
  <c r="I41" i="1"/>
  <c r="I40" i="1"/>
  <c r="I39" i="1"/>
  <c r="K38" i="1"/>
  <c r="I38" i="1"/>
  <c r="I37" i="1"/>
  <c r="I36" i="1"/>
  <c r="I35" i="1"/>
  <c r="I34" i="1"/>
  <c r="I33" i="1"/>
  <c r="I32" i="1"/>
  <c r="K29" i="1"/>
  <c r="I27" i="1"/>
  <c r="I26" i="1"/>
  <c r="I24" i="1"/>
  <c r="I23" i="1"/>
  <c r="I22" i="1"/>
  <c r="K21" i="1"/>
  <c r="I21" i="1"/>
  <c r="M20" i="1"/>
  <c r="K20" i="1"/>
  <c r="I20" i="1"/>
  <c r="I19" i="1"/>
  <c r="I18" i="1"/>
  <c r="M17" i="1"/>
  <c r="K17" i="1"/>
  <c r="I17" i="1"/>
  <c r="I31" i="1"/>
  <c r="I29" i="1"/>
  <c r="I28" i="1"/>
  <c r="I25" i="1"/>
  <c r="I16" i="1"/>
  <c r="K15" i="1"/>
  <c r="I15" i="1"/>
  <c r="K14" i="1"/>
  <c r="I14" i="1"/>
  <c r="K12" i="1"/>
  <c r="I12" i="1"/>
  <c r="K10" i="1"/>
  <c r="K9" i="1"/>
  <c r="I9" i="1"/>
  <c r="I8" i="1"/>
  <c r="K6" i="1"/>
  <c r="I5" i="1"/>
  <c r="K2" i="1"/>
  <c r="I159" i="1" l="1"/>
</calcChain>
</file>

<file path=xl/sharedStrings.xml><?xml version="1.0" encoding="utf-8"?>
<sst xmlns="http://schemas.openxmlformats.org/spreadsheetml/2006/main" count="1612" uniqueCount="313">
  <si>
    <t>A+B+C -&gt; E + F + G</t>
  </si>
  <si>
    <t>H</t>
  </si>
  <si>
    <t>gam</t>
  </si>
  <si>
    <t>H2</t>
  </si>
  <si>
    <t>He</t>
  </si>
  <si>
    <t>C</t>
  </si>
  <si>
    <t>O</t>
  </si>
  <si>
    <t>OH</t>
  </si>
  <si>
    <t>T⩽6000K</t>
  </si>
  <si>
    <t>T&gt;6000K</t>
  </si>
  <si>
    <t>T⩽300K</t>
  </si>
  <si>
    <t>T&gt;300K</t>
  </si>
  <si>
    <t>T⩽617K</t>
  </si>
  <si>
    <t>T&gt;617K</t>
  </si>
  <si>
    <t>CaseA</t>
  </si>
  <si>
    <t>CaseB</t>
  </si>
  <si>
    <t>Te⩽0.1eV</t>
  </si>
  <si>
    <t>Te&gt;0.1eV</t>
  </si>
  <si>
    <t>T⩽8000K</t>
  </si>
  <si>
    <t>T&gt;8000K</t>
  </si>
  <si>
    <t>T⩽10000K</t>
  </si>
  <si>
    <t>T&gt;10000K</t>
  </si>
  <si>
    <t>T⩽7950K</t>
  </si>
  <si>
    <t>7950K&lt;T⩽21140K</t>
  </si>
  <si>
    <t>T&gt;21140K</t>
  </si>
  <si>
    <t>T⩽400K</t>
  </si>
  <si>
    <t>T&gt;400K</t>
  </si>
  <si>
    <t>u=11.26/Te</t>
  </si>
  <si>
    <t>u=13.6/Te</t>
  </si>
  <si>
    <t>T⩽200K</t>
  </si>
  <si>
    <t>200&lt;T⩽2000K</t>
  </si>
  <si>
    <t>T&gt;2000K</t>
  </si>
  <si>
    <t>T⩽2000K</t>
  </si>
  <si>
    <t>T⩽261K</t>
  </si>
  <si>
    <t>T&gt;261K</t>
  </si>
  <si>
    <t>T⩽295K</t>
  </si>
  <si>
    <t>T&gt;295K</t>
  </si>
  <si>
    <t>Case A</t>
  </si>
  <si>
    <t>Case B</t>
  </si>
  <si>
    <t>T&lt;=300K</t>
  </si>
  <si>
    <t>T&lt;=5000K</t>
  </si>
  <si>
    <t>T&gt;5000K</t>
  </si>
  <si>
    <t>T&lt;=2000K</t>
  </si>
  <si>
    <t>f_a = 1.0 + 10E4 * exp(-600/T_d)</t>
  </si>
  <si>
    <t>gamma = 0.5</t>
  </si>
  <si>
    <t>gamma = 1.9</t>
  </si>
  <si>
    <t>gamma: See Section 2.2</t>
  </si>
  <si>
    <t>gamma = 1.8</t>
  </si>
  <si>
    <t>gamma = 2.3</t>
  </si>
  <si>
    <t>gamma = 3.0</t>
  </si>
  <si>
    <t>gamma = 0.9</t>
  </si>
  <si>
    <t>gamma = 1.2</t>
  </si>
  <si>
    <t>gamma = 2.8</t>
  </si>
  <si>
    <t>gamma = 2.5</t>
  </si>
  <si>
    <t>gamma = 1.7</t>
  </si>
  <si>
    <t>gamma = 2.1</t>
  </si>
  <si>
    <t>gamma = 3.1</t>
  </si>
  <si>
    <t>gamma = 3.9</t>
  </si>
  <si>
    <t>gamma = 3.7</t>
  </si>
  <si>
    <t>ncr,H=dex h 3.0−0.416log T 10000 −0.327 log T 10000</t>
  </si>
  <si>
    <t>ncr,H2 =dex h 4.845−1.3log T 10000 +1.62 log T 10000</t>
  </si>
  <si>
    <t>CO</t>
  </si>
  <si>
    <t>CH</t>
  </si>
  <si>
    <t>CH2</t>
  </si>
  <si>
    <t>C2</t>
  </si>
  <si>
    <t>H2O</t>
  </si>
  <si>
    <t>O2</t>
  </si>
  <si>
    <t>M</t>
  </si>
  <si>
    <t>H(s)</t>
  </si>
  <si>
    <t>nothing</t>
  </si>
  <si>
    <t>DEX</t>
  </si>
  <si>
    <t>DEX 1st and 2nd</t>
  </si>
  <si>
    <t>e</t>
  </si>
  <si>
    <t>ncr,He=dex[5.0792*(1.0−1.23e5*(T−2000))]</t>
  </si>
  <si>
    <t>CH_pC→C2+H</t>
  </si>
  <si>
    <t>CH_p</t>
  </si>
  <si>
    <t>CH_p+H2→CH_p2+H</t>
  </si>
  <si>
    <t>CH_p2+H→CH_p+H2</t>
  </si>
  <si>
    <t>CH_p2+H2→CH_p3+H</t>
  </si>
  <si>
    <t>CH_p3+H→CH_p2+H2</t>
  </si>
  <si>
    <t>CH_p2+e → CH_pH</t>
  </si>
  <si>
    <t>CH_p3+e → CH_pH2</t>
  </si>
  <si>
    <t>CH_pγ → CH_p+e−</t>
  </si>
  <si>
    <t>CH_p2+γ → CH_p+H</t>
  </si>
  <si>
    <t>CH_p3+γ → CH_p2+H</t>
  </si>
  <si>
    <t>CH_p3+γ → CH_p+H2</t>
  </si>
  <si>
    <t>H_pe−→H−+γ</t>
  </si>
  <si>
    <t>H_pH_p→H_p2+γ</t>
  </si>
  <si>
    <t>H_p</t>
  </si>
  <si>
    <t>H−+H_p→H_pH</t>
  </si>
  <si>
    <t>H_pe−→H_p+e−+e−</t>
  </si>
  <si>
    <t>H_p+e−→H_p+γ</t>
  </si>
  <si>
    <t>H−+e−→H_pe−+e−</t>
  </si>
  <si>
    <t>H−+H→H_pH_pe−</t>
  </si>
  <si>
    <t>H−+H_p→H_p2+e−</t>
  </si>
  <si>
    <t>H_p2+H2→H_p3+H</t>
  </si>
  <si>
    <t>H_p3+H→H_p2+H2</t>
  </si>
  <si>
    <t>OH_p</t>
  </si>
  <si>
    <t>CH_pH_p → CH_p+H</t>
  </si>
  <si>
    <t>OH_pH_p → OH_p+H</t>
  </si>
  <si>
    <t>H_p3+e → H_pH_pH</t>
  </si>
  <si>
    <t>CH_p3+e → CH_pH_pH</t>
  </si>
  <si>
    <t>H_pH(s) → H2</t>
  </si>
  <si>
    <t>H−+γ → H_pe−</t>
  </si>
  <si>
    <t>H_p2+γ → H_pH_p</t>
  </si>
  <si>
    <t>H_p3+γ → H_p2+H</t>
  </si>
  <si>
    <t>OH_pγ → OH_p+e−</t>
  </si>
  <si>
    <t>He_pe−→He_p+e−+e−</t>
  </si>
  <si>
    <t>He_p</t>
  </si>
  <si>
    <t>He_p+e−→He_pγ</t>
  </si>
  <si>
    <t>He_p+H→He_pH_p</t>
  </si>
  <si>
    <t>He_pH_p→He_p+H</t>
  </si>
  <si>
    <t>OH_pO→O2_pH</t>
  </si>
  <si>
    <t>O2_pH→OH_pO</t>
  </si>
  <si>
    <t>O2_pH2→OH_pOH</t>
  </si>
  <si>
    <t>O2_p</t>
  </si>
  <si>
    <t>H−+H→H2_pe−</t>
  </si>
  <si>
    <t>H2_p</t>
  </si>
  <si>
    <t>H_pH_p2→H2_pH_p</t>
  </si>
  <si>
    <t>H2_p + e−→H_pH</t>
  </si>
  <si>
    <t>H2_pH_p→H_p2+H</t>
  </si>
  <si>
    <t>H2_pe−→H_pH_pe−</t>
  </si>
  <si>
    <t>H2_pH→H_pH_pH</t>
  </si>
  <si>
    <t>H2_pH2→H2_pH_pH</t>
  </si>
  <si>
    <t>H2_pHe→H_pH_pHe</t>
  </si>
  <si>
    <t>CH_pH2→CH2_pH</t>
  </si>
  <si>
    <t>CH2_pH→CH_pH2</t>
  </si>
  <si>
    <t>CH2_p</t>
  </si>
  <si>
    <t>CH2_pH_p→CH_p+H2</t>
  </si>
  <si>
    <t>H2_pHe_p → He_pH_p2</t>
  </si>
  <si>
    <t>H2_pHe_p → He_pH_pH_p</t>
  </si>
  <si>
    <t>CH2_pH_p → CH_p2+H</t>
  </si>
  <si>
    <t>H_p3+e → H2_pH</t>
  </si>
  <si>
    <t>CH_p3+e → CH2_pH</t>
  </si>
  <si>
    <t>H2_pH_p → H_p3+γ</t>
  </si>
  <si>
    <t>H_pH_pH → H2_pH</t>
  </si>
  <si>
    <t>H_pH_pH2 → H2_pH2</t>
  </si>
  <si>
    <t>H_pH_pHe → H2_pHe</t>
  </si>
  <si>
    <t>H2_pγ → H_pH</t>
  </si>
  <si>
    <t>H_p3+γ → H2_pH_p</t>
  </si>
  <si>
    <t>CH2_pγ → CH_pH</t>
  </si>
  <si>
    <t>CH2_pγ → CH_p2+e−</t>
  </si>
  <si>
    <t>O_p+e−→O_pγ</t>
  </si>
  <si>
    <t>O_p</t>
  </si>
  <si>
    <t>O_pe−→O_p+e−+e−</t>
  </si>
  <si>
    <t>O_p+H→O_pH_p</t>
  </si>
  <si>
    <t>O_pH_p→O_p+H</t>
  </si>
  <si>
    <t>O_pHe_p→O_p+He</t>
  </si>
  <si>
    <t>OH_pH→O_pH_pH</t>
  </si>
  <si>
    <t>HCO_p</t>
  </si>
  <si>
    <t>CH_pO→CO_pH</t>
  </si>
  <si>
    <t>CH2_pO→CO_pH_pH</t>
  </si>
  <si>
    <t>CH2_pO→CO_pH2</t>
  </si>
  <si>
    <t>C2+O→CO_pC</t>
  </si>
  <si>
    <t>O_pH2→OH_pH</t>
  </si>
  <si>
    <t>OH_pH→O_pH2</t>
  </si>
  <si>
    <t>OH_pH2→H2O_pH</t>
  </si>
  <si>
    <t>OH_pC→CO_pH</t>
  </si>
  <si>
    <t>OH_pOH→H2O_pH</t>
  </si>
  <si>
    <t>H2O_pH→H2_pOH</t>
  </si>
  <si>
    <t>O2_pC→CO_pO</t>
  </si>
  <si>
    <t>CH_p+O→CO_p+H</t>
  </si>
  <si>
    <t>CO_p</t>
  </si>
  <si>
    <t>CH_p2+O→HCO_p+H</t>
  </si>
  <si>
    <t>CH_p3+O→HCO_p+H2</t>
  </si>
  <si>
    <t>C2+O_p→CO_p+C</t>
  </si>
  <si>
    <t>O_p+H2→OH_p+H</t>
  </si>
  <si>
    <t>O_pH_p2→OH_p+H</t>
  </si>
  <si>
    <t>O_pH_p3→OH_p+H2</t>
  </si>
  <si>
    <t>OH_pH_p3→H2O_p+H2</t>
  </si>
  <si>
    <t>H2O_p</t>
  </si>
  <si>
    <t>OH_p+H2→H2O_p+H</t>
  </si>
  <si>
    <t>H2O_p+H2→H3O_p+H</t>
  </si>
  <si>
    <t>H3O_p</t>
  </si>
  <si>
    <t>H2O_pH_p3→H3O_p+H2</t>
  </si>
  <si>
    <t>H3O_p+C→HCO_p+H2</t>
  </si>
  <si>
    <t>O2_pCH_p2→HCO_p+OH</t>
  </si>
  <si>
    <t>O_p2+C→CO_p+O</t>
  </si>
  <si>
    <t>CO_pH_p3→HCO_p+H2</t>
  </si>
  <si>
    <t>HCO_p+C→CO_pCH_p</t>
  </si>
  <si>
    <t>HCO_p+H2O→CO_pH3O_p</t>
  </si>
  <si>
    <t>OH_pHe_p → O_p+He_pH</t>
  </si>
  <si>
    <t>H2O_pH_p → H2O_p+H</t>
  </si>
  <si>
    <t>H2O_pHe_p → OH_pHe_pH_p</t>
  </si>
  <si>
    <t>H2O_pHe_p → OH_p+He_pH</t>
  </si>
  <si>
    <t>H2O_pHe_p → H2O_p+He</t>
  </si>
  <si>
    <t>O2_pH_p → O_p2+H</t>
  </si>
  <si>
    <t>O2_pHe_p → O_p2+He</t>
  </si>
  <si>
    <t>O2_pHe_p → O_p+O_pHe</t>
  </si>
  <si>
    <t>CO_p+H → CO_pH_p</t>
  </si>
  <si>
    <t>OH_p+e → O_pH</t>
  </si>
  <si>
    <t>H2O_p+e → O_pH_pH</t>
  </si>
  <si>
    <t>H2O_p+e → O_pH2</t>
  </si>
  <si>
    <t>H2O_p+e → OH_pH</t>
  </si>
  <si>
    <t>H3O_p+e → H_pH2O</t>
  </si>
  <si>
    <t>H3O_p+e → OH_pH2</t>
  </si>
  <si>
    <t>H3O_p+e → OH_pH_pH</t>
  </si>
  <si>
    <t>H3O_p+e → O_pH_pH2</t>
  </si>
  <si>
    <t>O_p2+e → O_pO</t>
  </si>
  <si>
    <t>HCO_p+e → CO_pH</t>
  </si>
  <si>
    <t>HCO_p+e → OH_pC</t>
  </si>
  <si>
    <t>O_pe− → O−+γ</t>
  </si>
  <si>
    <t>O_pH → OH_pγ</t>
  </si>
  <si>
    <t>O_pO → O2_pγ</t>
  </si>
  <si>
    <t>OH_pH → H2O_pγ</t>
  </si>
  <si>
    <t>O_pH_pM → OH_pM</t>
  </si>
  <si>
    <t>OH_pH_pM → H2O_pM</t>
  </si>
  <si>
    <t>O_pO_pM → O2_pM</t>
  </si>
  <si>
    <t>O_pCH → HCO_p+e−</t>
  </si>
  <si>
    <t>O−+γ → O_pe−</t>
  </si>
  <si>
    <t>OH_pγ → O_pH</t>
  </si>
  <si>
    <t>OH_p+γ → O_pH_p</t>
  </si>
  <si>
    <t>H2O_pγ → OH_pH</t>
  </si>
  <si>
    <t>H2O_pγ → H2O_p+e−</t>
  </si>
  <si>
    <t>H2O_p+γ → H_p2+O</t>
  </si>
  <si>
    <t>H2O_p+γ → H_p+OH</t>
  </si>
  <si>
    <t>H2O_p+γ → O_p+H2</t>
  </si>
  <si>
    <t>H2O_p+γ → OH_p+H</t>
  </si>
  <si>
    <t>H3O_p+γ → H_p+H2O</t>
  </si>
  <si>
    <t>H3O_p+γ → H_p2+OH</t>
  </si>
  <si>
    <t>H3O_p+γ → H2O_p+H</t>
  </si>
  <si>
    <t>H3O_p+γ → OH_p+H2</t>
  </si>
  <si>
    <t>O2_pγ → O_p2+e−</t>
  </si>
  <si>
    <t>O2_pγ → O_pO</t>
  </si>
  <si>
    <t>CH3_p</t>
  </si>
  <si>
    <t>C_p+e−→C_pγ</t>
  </si>
  <si>
    <t>C_p</t>
  </si>
  <si>
    <t>C_pe−→C_p+e−+e−</t>
  </si>
  <si>
    <t>C_pH_p→C_p+H</t>
  </si>
  <si>
    <t>C_p+H→C_pH_p</t>
  </si>
  <si>
    <t>C_pHe_p→C_p+He</t>
  </si>
  <si>
    <t>HOC_p+H2→HCO_p+H2</t>
  </si>
  <si>
    <t>HOC_p</t>
  </si>
  <si>
    <t>HOC_p+CO→HCO_p+CO</t>
  </si>
  <si>
    <t>C_pH2→CH_pH</t>
  </si>
  <si>
    <t>CH_pH→C_pH2</t>
  </si>
  <si>
    <t>CO_pH→C_pOH</t>
  </si>
  <si>
    <t>C_pH_p2→CH_p+H</t>
  </si>
  <si>
    <t>C_pH_p3→CH_p+H2</t>
  </si>
  <si>
    <t>C_p+H2→CH_p+H</t>
  </si>
  <si>
    <t>CH_p+H→C_p+H2</t>
  </si>
  <si>
    <t>OH_pC_p→CO_p+H</t>
  </si>
  <si>
    <t>H2O_pC_p→HCO_p+H</t>
  </si>
  <si>
    <t>H2O_pC_p→HOC_p+H</t>
  </si>
  <si>
    <t>O2_pC_p→CO_p+O</t>
  </si>
  <si>
    <t>O2_pC_p→CO_pO_p</t>
  </si>
  <si>
    <t>CO_pH_p3→HOC_p+H2</t>
  </si>
  <si>
    <t>CH2_pHe_p → C_p+He_pH2</t>
  </si>
  <si>
    <t>C2+He_p → C_p+C_pHe</t>
  </si>
  <si>
    <t>O_p2+C → O2_pC_p</t>
  </si>
  <si>
    <t>CO_pHe_p → C_p+O_pHe</t>
  </si>
  <si>
    <t>CO_pHe_p → C_pO_p+He</t>
  </si>
  <si>
    <t>CH_p+e → C_pH</t>
  </si>
  <si>
    <t>CH_p2+e → C_pH_pH</t>
  </si>
  <si>
    <t>CH_p2+e → C_pH2</t>
  </si>
  <si>
    <t>CO_p+e → C_pO</t>
  </si>
  <si>
    <t>HOC_p+e → CO_pH</t>
  </si>
  <si>
    <t>C_pe− → C−+γ</t>
  </si>
  <si>
    <t>C_pH → CH_pγ</t>
  </si>
  <si>
    <t>C_pH2 → CH2_pγ</t>
  </si>
  <si>
    <t>C_pC → C2+γ</t>
  </si>
  <si>
    <t>C_pO → CO_pγ</t>
  </si>
  <si>
    <t>C_p+H → CH_p+γ</t>
  </si>
  <si>
    <t>C_p+H2 → CH_p2+γ</t>
  </si>
  <si>
    <t>C_p+O → CO_p+γ</t>
  </si>
  <si>
    <t>C_pC_pM → C2+M</t>
  </si>
  <si>
    <t>C_pO_pM → CO_pM</t>
  </si>
  <si>
    <t>C_p+O_pM → CO_p+M</t>
  </si>
  <si>
    <t>C_pO_p+M → CO_p+M</t>
  </si>
  <si>
    <t>C_pγ → C_p+e−</t>
  </si>
  <si>
    <t>C−+γ → C_pe−</t>
  </si>
  <si>
    <t>CH_pγ → C_pH</t>
  </si>
  <si>
    <t>CH_p+γ → C_pH_p</t>
  </si>
  <si>
    <t>C2+γ → C_pC</t>
  </si>
  <si>
    <t>CO_pγ → C_pO</t>
  </si>
  <si>
    <t>H_m</t>
  </si>
  <si>
    <t>He_p+H_m → He_pH</t>
  </si>
  <si>
    <t>H_m+C → CH_pe</t>
  </si>
  <si>
    <t>H_m+O → OH_pe</t>
  </si>
  <si>
    <t>H_m+OH → H2O_pe</t>
  </si>
  <si>
    <t>C_m+H_p → C_pH</t>
  </si>
  <si>
    <t>C_m</t>
  </si>
  <si>
    <t>C_m+H → CH_pe</t>
  </si>
  <si>
    <t>C_m+H2 → CH2_pe</t>
  </si>
  <si>
    <t>C_m+O → CO_pe</t>
  </si>
  <si>
    <t>O_m+H_p → O_pH</t>
  </si>
  <si>
    <t>O_m</t>
  </si>
  <si>
    <t>O_m+H → OH_pe</t>
  </si>
  <si>
    <t>O_m+H2 → H2O_pe</t>
  </si>
  <si>
    <t>O_m+C → CO_pe</t>
  </si>
  <si>
    <t>H3_p</t>
  </si>
  <si>
    <t>H_pcr → H_p+e−</t>
  </si>
  <si>
    <t>cr</t>
  </si>
  <si>
    <t>He_pcr → He_p+e−</t>
  </si>
  <si>
    <t>H2_pcr → H_p+H_pe−</t>
  </si>
  <si>
    <t>H2_pcr → H_pH</t>
  </si>
  <si>
    <t>H2_pcr → H_p+H−</t>
  </si>
  <si>
    <t>H2_pcr → H_p2+e−</t>
  </si>
  <si>
    <t>C_pcr → C_p+e−</t>
  </si>
  <si>
    <t>O_pcr → O_p+e−</t>
  </si>
  <si>
    <t>CO_pcr → CO_p+e−</t>
  </si>
  <si>
    <t>C_pγcr → C_p+e−</t>
  </si>
  <si>
    <t>gam_cr</t>
  </si>
  <si>
    <t>CH_pγcr → C_pH</t>
  </si>
  <si>
    <t>CH_p+γcr → C_p+H</t>
  </si>
  <si>
    <t>CH2_pγcr → CH_p2+e−</t>
  </si>
  <si>
    <t>CH2_pγcr → CH_pH</t>
  </si>
  <si>
    <t>C2+γcr → C_pC</t>
  </si>
  <si>
    <t>OH_pγcr → O_pH</t>
  </si>
  <si>
    <t>H2O_pγcr → OH_pH</t>
  </si>
  <si>
    <t>O2_pγcr → O_pO</t>
  </si>
  <si>
    <t>O2_pγcr → O_p2+e−</t>
  </si>
  <si>
    <t>CO_pγcr → C_pO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</si>
</sst>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C6A6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 shrinkToFit="1"/>
    </xf>
    <xf numFmtId="11" fontId="0" fillId="0" borderId="0" xfId="0" applyNumberFormat="1" applyAlignment="1">
      <alignment wrapText="1" shrinkToFit="1"/>
    </xf>
    <xf numFmtId="0" fontId="0" fillId="0" borderId="0" xfId="0" applyAlignment="1">
      <alignment wrapText="1"/>
    </xf>
    <xf numFmtId="0" fontId="0" fillId="2" borderId="0" xfId="0" applyFill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A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04C5-4560-B94E-8519-83D726683E33}">
  <dimension ref="A1:AD218"/>
  <sheetViews>
    <sheetView tabSelected="1" topLeftCell="A187" zoomScale="88" workbookViewId="0">
      <selection activeCell="H165" sqref="H165"/>
    </sheetView>
  </sheetViews>
  <sheetFormatPr baseColWidth="10" defaultRowHeight="16" x14ac:dyDescent="0.2"/>
  <cols>
    <col min="2" max="2" width="25.5" style="11" customWidth="1"/>
    <col min="9" max="9" width="15.83203125" style="4" customWidth="1"/>
    <col min="10" max="11" width="13.1640625" style="4" customWidth="1"/>
    <col min="12" max="12" width="15.5" style="4" customWidth="1"/>
    <col min="13" max="13" width="13.1640625" style="4" customWidth="1"/>
    <col min="14" max="14" width="16" style="4" customWidth="1"/>
    <col min="17" max="17" width="34.1640625" customWidth="1"/>
    <col min="18" max="18" width="28.5" customWidth="1"/>
    <col min="20" max="20" width="51.83203125" customWidth="1"/>
    <col min="21" max="21" width="13.1640625" customWidth="1"/>
    <col min="22" max="23" width="13.33203125" customWidth="1"/>
    <col min="24" max="24" width="11.1640625" customWidth="1"/>
  </cols>
  <sheetData>
    <row r="1" spans="1:30" ht="17" x14ac:dyDescent="0.2">
      <c r="A1" s="13">
        <v>1</v>
      </c>
      <c r="B1" s="11" t="s">
        <v>86</v>
      </c>
      <c r="C1" t="s">
        <v>1</v>
      </c>
      <c r="D1" t="s">
        <v>72</v>
      </c>
      <c r="E1" t="s">
        <v>69</v>
      </c>
      <c r="F1" t="s">
        <v>275</v>
      </c>
      <c r="G1" t="s">
        <v>2</v>
      </c>
      <c r="H1" t="s">
        <v>69</v>
      </c>
      <c r="I1" s="4">
        <f>10^(-17.845+0.762*LOG(O1)+0.1523* (LOG(O1))^2 - 0.03274* (LOG(O1))^3)</f>
        <v>8.4668136248579521E-16</v>
      </c>
      <c r="J1" t="s">
        <v>8</v>
      </c>
      <c r="K1" s="6">
        <f>10^(-16.42+0.1998*(LOG(O1))^2-0.005447 * (LOG(O1))^4+0.000040415 * (LOG(O1))^6)</f>
        <v>9.2566860620138326E-16</v>
      </c>
      <c r="L1" t="s">
        <v>9</v>
      </c>
      <c r="N1" s="7" t="s">
        <v>71</v>
      </c>
      <c r="O1">
        <v>1000</v>
      </c>
    </row>
    <row r="2" spans="1:30" x14ac:dyDescent="0.2">
      <c r="A2">
        <v>2</v>
      </c>
      <c r="B2" s="11" t="s">
        <v>116</v>
      </c>
      <c r="C2" t="s">
        <v>275</v>
      </c>
      <c r="D2" t="s">
        <v>1</v>
      </c>
      <c r="E2" t="s">
        <v>69</v>
      </c>
      <c r="F2" t="s">
        <v>3</v>
      </c>
      <c r="G2" t="s">
        <v>72</v>
      </c>
      <c r="H2" s="12" t="s">
        <v>69</v>
      </c>
      <c r="I2" s="5">
        <v>1.5E-9</v>
      </c>
      <c r="J2" t="s">
        <v>10</v>
      </c>
      <c r="K2">
        <f>0.000000004*O2^(-0.17)</f>
        <v>1.2361181730054362E-9</v>
      </c>
      <c r="L2" t="s">
        <v>11</v>
      </c>
      <c r="M2" s="5"/>
      <c r="N2" s="5"/>
      <c r="O2">
        <v>1000</v>
      </c>
    </row>
    <row r="3" spans="1:30" ht="17" x14ac:dyDescent="0.2">
      <c r="A3" s="13">
        <v>3</v>
      </c>
      <c r="B3" s="11" t="s">
        <v>87</v>
      </c>
      <c r="C3" t="s">
        <v>88</v>
      </c>
      <c r="D3" t="s">
        <v>1</v>
      </c>
      <c r="E3" t="s">
        <v>69</v>
      </c>
      <c r="F3" t="s">
        <v>117</v>
      </c>
      <c r="G3" t="s">
        <v>2</v>
      </c>
      <c r="H3" s="12" t="s">
        <v>69</v>
      </c>
      <c r="I3">
        <f>10^(-19.38 - 1.523 * LOG(O3)+1.118*(LOG(O3))^2 - 0.1269*(LOG(O3))^3)</f>
        <v>4.8607132352012552E-18</v>
      </c>
      <c r="J3" s="7" t="s">
        <v>70</v>
      </c>
      <c r="O3">
        <v>1000</v>
      </c>
      <c r="T3" s="5"/>
    </row>
    <row r="4" spans="1:30" x14ac:dyDescent="0.2">
      <c r="A4">
        <v>4</v>
      </c>
      <c r="B4" s="11" t="s">
        <v>118</v>
      </c>
      <c r="C4" t="s">
        <v>1</v>
      </c>
      <c r="D4" t="s">
        <v>117</v>
      </c>
      <c r="E4" t="s">
        <v>69</v>
      </c>
      <c r="F4" t="s">
        <v>3</v>
      </c>
      <c r="G4" t="s">
        <v>88</v>
      </c>
      <c r="H4" t="s">
        <v>69</v>
      </c>
      <c r="I4" s="5">
        <v>6.3999999999999996E-10</v>
      </c>
      <c r="J4" s="5"/>
      <c r="K4" s="5"/>
      <c r="L4" s="5"/>
      <c r="M4" s="5"/>
      <c r="N4" s="5"/>
      <c r="O4">
        <v>1000</v>
      </c>
    </row>
    <row r="5" spans="1:30" x14ac:dyDescent="0.2">
      <c r="A5">
        <v>5</v>
      </c>
      <c r="B5" s="11" t="s">
        <v>89</v>
      </c>
      <c r="C5" t="s">
        <v>275</v>
      </c>
      <c r="D5" t="s">
        <v>88</v>
      </c>
      <c r="E5" t="s">
        <v>69</v>
      </c>
      <c r="F5" t="s">
        <v>1</v>
      </c>
      <c r="G5" t="s">
        <v>1</v>
      </c>
      <c r="H5" t="s">
        <v>69</v>
      </c>
      <c r="I5">
        <f>0.0000024 * (O5)^(-1/2) * (1+O5/20000)</f>
        <v>7.9689397036243154E-8</v>
      </c>
      <c r="L5" s="5"/>
      <c r="M5" s="5"/>
      <c r="N5" s="5"/>
      <c r="O5">
        <v>1000</v>
      </c>
    </row>
    <row r="6" spans="1:30" x14ac:dyDescent="0.2">
      <c r="A6">
        <v>6</v>
      </c>
      <c r="B6" s="11" t="s">
        <v>119</v>
      </c>
      <c r="C6" t="s">
        <v>117</v>
      </c>
      <c r="D6" t="s">
        <v>72</v>
      </c>
      <c r="E6" t="s">
        <v>69</v>
      </c>
      <c r="F6" t="s">
        <v>1</v>
      </c>
      <c r="G6" t="s">
        <v>1</v>
      </c>
      <c r="H6" t="s">
        <v>69</v>
      </c>
      <c r="I6" s="5">
        <v>1E-8</v>
      </c>
      <c r="J6" t="s">
        <v>12</v>
      </c>
      <c r="K6">
        <f>0.00000132 * (O6)^(-0.76)</f>
        <v>6.9274584752970016E-9</v>
      </c>
      <c r="L6" t="s">
        <v>13</v>
      </c>
      <c r="M6" s="5"/>
      <c r="N6" s="5"/>
      <c r="O6">
        <v>1000</v>
      </c>
    </row>
    <row r="7" spans="1:30" x14ac:dyDescent="0.2">
      <c r="A7">
        <v>7</v>
      </c>
      <c r="B7" s="11" t="s">
        <v>120</v>
      </c>
      <c r="C7" t="s">
        <v>3</v>
      </c>
      <c r="D7" t="s">
        <v>88</v>
      </c>
      <c r="E7" t="s">
        <v>69</v>
      </c>
      <c r="F7" t="s">
        <v>117</v>
      </c>
      <c r="G7" t="s">
        <v>1</v>
      </c>
      <c r="H7" t="s">
        <v>69</v>
      </c>
      <c r="I7">
        <f>(-0.00000033232183 +0.00000033735382 * LN(O7) - 0.00000014491368 * (LN(O7))^2 +0.000000034172805 * (LN(O7))^3 - 0.000000004781372 * (LN(O7))^4 +0.00000000039731542 * (LN(O7))^5 - 0.000000000018171411 * (LN(O7))^6 +35311932000000 * (LN(O7))^7) * EXP(-21237.15/O7)</f>
        <v>15852692190.915894</v>
      </c>
      <c r="O7">
        <v>1000</v>
      </c>
      <c r="AD7" t="s">
        <v>0</v>
      </c>
    </row>
    <row r="8" spans="1:30" x14ac:dyDescent="0.2">
      <c r="A8">
        <v>8</v>
      </c>
      <c r="B8" s="11" t="s">
        <v>121</v>
      </c>
      <c r="C8" t="s">
        <v>3</v>
      </c>
      <c r="D8" t="s">
        <v>72</v>
      </c>
      <c r="E8" t="s">
        <v>69</v>
      </c>
      <c r="F8" t="s">
        <v>1</v>
      </c>
      <c r="G8" t="s">
        <v>1</v>
      </c>
      <c r="H8" t="s">
        <v>72</v>
      </c>
      <c r="I8">
        <f>0.00000000373 * (O8)^(0.1121)*EXP(-99430/O8)</f>
        <v>5.3224120804142232E-52</v>
      </c>
      <c r="O8">
        <v>1000</v>
      </c>
    </row>
    <row r="9" spans="1:30" ht="68" x14ac:dyDescent="0.2">
      <c r="A9">
        <v>9</v>
      </c>
      <c r="B9" s="11" t="s">
        <v>122</v>
      </c>
      <c r="C9" t="s">
        <v>3</v>
      </c>
      <c r="D9" t="s">
        <v>1</v>
      </c>
      <c r="E9" t="s">
        <v>69</v>
      </c>
      <c r="F9" t="s">
        <v>1</v>
      </c>
      <c r="G9" t="s">
        <v>1</v>
      </c>
      <c r="H9" t="s">
        <v>1</v>
      </c>
      <c r="I9">
        <f>0.00000000000667 * (O9)^(1/2)*EXP(-(1+63590/O9))</f>
        <v>1.8751898680652985E-38</v>
      </c>
      <c r="K9">
        <f>0.00000000352*EXP(-43900/O9)</f>
        <v>3.0270173340358586E-28</v>
      </c>
      <c r="M9" s="7" t="s">
        <v>59</v>
      </c>
      <c r="O9">
        <v>1000</v>
      </c>
    </row>
    <row r="10" spans="1:30" ht="68" x14ac:dyDescent="0.2">
      <c r="A10">
        <v>10</v>
      </c>
      <c r="B10" s="11" t="s">
        <v>123</v>
      </c>
      <c r="C10" t="s">
        <v>3</v>
      </c>
      <c r="D10" t="s">
        <v>3</v>
      </c>
      <c r="E10" t="s">
        <v>69</v>
      </c>
      <c r="F10" t="s">
        <v>3</v>
      </c>
      <c r="G10" t="s">
        <v>1</v>
      </c>
      <c r="H10" t="s">
        <v>1</v>
      </c>
      <c r="I10">
        <f>(5.996E+30 * (O10)^(4.1881) ) / ((1+0.000006761* O10)^(5.6881)) * EXP(-54657.4/O10)</f>
        <v>3.8735471546668556E+19</v>
      </c>
      <c r="K10">
        <f>0.0000000013*EXP(-53300/O10)</f>
        <v>9.2479924572840477E-33</v>
      </c>
      <c r="M10" s="7" t="s">
        <v>60</v>
      </c>
      <c r="O10">
        <v>1000</v>
      </c>
    </row>
    <row r="11" spans="1:30" x14ac:dyDescent="0.2">
      <c r="A11" s="3">
        <v>11</v>
      </c>
      <c r="B11" s="11" t="s">
        <v>90</v>
      </c>
      <c r="C11" t="s">
        <v>1</v>
      </c>
      <c r="D11" t="s">
        <v>72</v>
      </c>
      <c r="E11" t="s">
        <v>69</v>
      </c>
      <c r="F11" t="s">
        <v>88</v>
      </c>
      <c r="G11" t="s">
        <v>72</v>
      </c>
      <c r="H11" t="s">
        <v>72</v>
      </c>
      <c r="I11">
        <f>EXP(-32.71396786 +13.536556 * LN(O11) -5.73932875 * (LN(O11))^2 +1.56315498 * (LN(O11))^3 -0.2877056 * (LN(O11))^4 +0.0348255977 * (LN(O11))^5 -0.00263197617 * (LN(O11))^6 +0.000111954395 * (LN(O11))^7 - 0.00000203914985 * (LN(O11))^8)</f>
        <v>2.1276839845279964E-8</v>
      </c>
      <c r="O11">
        <v>1000</v>
      </c>
    </row>
    <row r="12" spans="1:30" ht="17" x14ac:dyDescent="0.2">
      <c r="A12">
        <v>12</v>
      </c>
      <c r="B12" s="11" t="s">
        <v>91</v>
      </c>
      <c r="C12" t="s">
        <v>88</v>
      </c>
      <c r="D12" t="s">
        <v>72</v>
      </c>
      <c r="E12" t="s">
        <v>69</v>
      </c>
      <c r="F12" t="s">
        <v>1</v>
      </c>
      <c r="G12" t="s">
        <v>2</v>
      </c>
      <c r="H12" t="s">
        <v>69</v>
      </c>
      <c r="I12">
        <f>0.0000000000001269 * ( (315614/O12)^(1.503) ) * (1+(604625/O12)^(0.47))^(-1.923)</f>
        <v>2.0210710915295213E-12</v>
      </c>
      <c r="J12" s="4" t="s">
        <v>37</v>
      </c>
      <c r="K12">
        <f>0.00000000000002753 * (315614/O12)^(1.5) * (1+(115188/O12)^(0.407))^(-2.242)</f>
        <v>1.4989230920951943E-12</v>
      </c>
      <c r="L12" s="4" t="s">
        <v>38</v>
      </c>
      <c r="O12">
        <v>1000</v>
      </c>
    </row>
    <row r="13" spans="1:30" x14ac:dyDescent="0.2">
      <c r="A13" s="3">
        <v>13</v>
      </c>
      <c r="B13" s="11" t="s">
        <v>92</v>
      </c>
      <c r="C13" t="s">
        <v>275</v>
      </c>
      <c r="D13" t="s">
        <v>72</v>
      </c>
      <c r="E13" t="s">
        <v>69</v>
      </c>
      <c r="F13" t="s">
        <v>1</v>
      </c>
      <c r="G13" t="s">
        <v>72</v>
      </c>
      <c r="H13" t="s">
        <v>72</v>
      </c>
      <c r="I13">
        <f>EXP(-18.01849334 +2.3608522 * LN(O13) -0.2827443 * (LN(O13))^2 +0.0162331664 * (LN(O13))^3 -0.0336501203 * (LN(O13))^4 +0.0117832978 * (LN(O13))^5 -0.0016561947 * (LN(O13))^6 +0.00010682752 * (LN(O13))^7 -0.00000263128581 * (LN(O13))^8)</f>
        <v>4.8182990382691373E-7</v>
      </c>
      <c r="O13">
        <v>1000</v>
      </c>
    </row>
    <row r="14" spans="1:30" x14ac:dyDescent="0.2">
      <c r="A14" s="3">
        <v>14</v>
      </c>
      <c r="B14" s="11" t="s">
        <v>93</v>
      </c>
      <c r="C14" t="s">
        <v>275</v>
      </c>
      <c r="D14" t="s">
        <v>1</v>
      </c>
      <c r="E14" t="s">
        <v>69</v>
      </c>
      <c r="F14" t="s">
        <v>1</v>
      </c>
      <c r="G14" t="s">
        <v>1</v>
      </c>
      <c r="H14" t="s">
        <v>72</v>
      </c>
      <c r="I14">
        <f>0.0000000025634*(O13)^1.78186</f>
        <v>5.6806283905364084E-4</v>
      </c>
      <c r="J14" t="s">
        <v>16</v>
      </c>
      <c r="K14">
        <f xml:space="preserve"> EXP(-20.372609+1.13944933*LN(O14) -0.14210135*(LN(O14))^2+0.0084644554*(LN(O14))^3-0.0014327641*(LN(O14))^4 +0.00020122503 * (LN(O14))^5 +0.000086639632 * (LN(O14))^6-0.000025850097 * (LN(O14))^7 +0.0000024555012 * (LN(O14))^8 -0.000000080683825 *  (LN(O14))^9)</f>
        <v>5.3884172462432109E-8</v>
      </c>
      <c r="L14" t="s">
        <v>17</v>
      </c>
      <c r="O14">
        <v>1000</v>
      </c>
    </row>
    <row r="15" spans="1:30" x14ac:dyDescent="0.2">
      <c r="A15">
        <v>15</v>
      </c>
      <c r="B15" s="11" t="s">
        <v>94</v>
      </c>
      <c r="C15" t="s">
        <v>275</v>
      </c>
      <c r="D15" t="s">
        <v>88</v>
      </c>
      <c r="E15" t="s">
        <v>69</v>
      </c>
      <c r="F15" t="s">
        <v>117</v>
      </c>
      <c r="G15" t="s">
        <v>72</v>
      </c>
      <c r="H15" t="s">
        <v>69</v>
      </c>
      <c r="I15">
        <f>0.0000000069*O15^(-0.35)</f>
        <v>6.1496314731228462E-10</v>
      </c>
      <c r="J15" t="s">
        <v>18</v>
      </c>
      <c r="K15">
        <f>0.00000096*O15^(-0.9)</f>
        <v>1.9154518223701246E-9</v>
      </c>
      <c r="L15" t="s">
        <v>19</v>
      </c>
      <c r="O15">
        <v>1000</v>
      </c>
    </row>
    <row r="16" spans="1:30" x14ac:dyDescent="0.2">
      <c r="A16" s="3">
        <v>16</v>
      </c>
      <c r="B16" s="11" t="s">
        <v>107</v>
      </c>
      <c r="C16" t="s">
        <v>4</v>
      </c>
      <c r="D16" t="s">
        <v>72</v>
      </c>
      <c r="E16" t="s">
        <v>69</v>
      </c>
      <c r="F16" t="s">
        <v>108</v>
      </c>
      <c r="G16" t="s">
        <v>72</v>
      </c>
      <c r="H16" t="s">
        <v>72</v>
      </c>
      <c r="I16">
        <f>EXP(-44.09864886 +23.91596563 * LN(O16) -10.7532302 * (LN(O16))^2 +3.05803875 * (LN(O16))^3 - 0.56851189 *(LN(O16))^4 +0.0679539123*(LN(O16))^5 -0.0050090561 * (LN(O16))^6 +0.000206723616 * (LN(O16))^7 -0.00000364916141*(LN(O16))^8)</f>
        <v>2.1306383708087835E-8</v>
      </c>
      <c r="O16">
        <v>1000</v>
      </c>
    </row>
    <row r="17" spans="1:23" x14ac:dyDescent="0.2">
      <c r="A17">
        <v>17</v>
      </c>
      <c r="B17" s="11" t="s">
        <v>109</v>
      </c>
      <c r="C17" t="s">
        <v>108</v>
      </c>
      <c r="D17" t="s">
        <v>72</v>
      </c>
      <c r="E17" t="s">
        <v>69</v>
      </c>
      <c r="F17" t="s">
        <v>4</v>
      </c>
      <c r="G17" t="s">
        <v>2</v>
      </c>
      <c r="H17" t="s">
        <v>69</v>
      </c>
      <c r="I17">
        <f>0.0000000001  * O17^(-0.5) * (12.72-1.615 * LOG(O17) - 0.3162*(LOG(O17))^2 + 0.0493 * (LOG(O17))^3 )</f>
        <v>2.0113034601968948E-11</v>
      </c>
      <c r="J17" t="s">
        <v>14</v>
      </c>
      <c r="K17">
        <f>0.0000000001 * O17^(-0.5) * (11.19 - 1.676 * LOG(O17) - 0.2852*(LOG(O17))^2+0.04433 *(LOG(O17))^3)</f>
        <v>1.5153982398069492E-11</v>
      </c>
      <c r="L17" t="s">
        <v>15</v>
      </c>
      <c r="M17">
        <f>0.0019 * O17^(-1.5) * EXP(-473421/O17) * (1+0.3*EXP(-94684/O17))</f>
        <v>1.4949466139144059E-213</v>
      </c>
      <c r="O17">
        <v>1000</v>
      </c>
    </row>
    <row r="18" spans="1:23" x14ac:dyDescent="0.2">
      <c r="A18">
        <v>18</v>
      </c>
      <c r="B18" s="11" t="s">
        <v>110</v>
      </c>
      <c r="C18" t="s">
        <v>108</v>
      </c>
      <c r="D18" t="s">
        <v>1</v>
      </c>
      <c r="E18" t="s">
        <v>69</v>
      </c>
      <c r="F18" t="s">
        <v>4</v>
      </c>
      <c r="G18" t="s">
        <v>88</v>
      </c>
      <c r="H18" t="s">
        <v>69</v>
      </c>
      <c r="I18">
        <f>0.00000000000000125 * (O17/300)^(0.25)</f>
        <v>1.6890001935087932E-15</v>
      </c>
      <c r="O18">
        <v>1000</v>
      </c>
      <c r="U18" s="2"/>
      <c r="V18" s="2"/>
      <c r="W18" s="2"/>
    </row>
    <row r="19" spans="1:23" x14ac:dyDescent="0.2">
      <c r="A19">
        <v>19</v>
      </c>
      <c r="B19" s="11" t="s">
        <v>111</v>
      </c>
      <c r="C19" t="s">
        <v>4</v>
      </c>
      <c r="D19" t="s">
        <v>88</v>
      </c>
      <c r="E19" t="s">
        <v>69</v>
      </c>
      <c r="F19" t="s">
        <v>108</v>
      </c>
      <c r="G19" t="s">
        <v>1</v>
      </c>
      <c r="H19" t="s">
        <v>69</v>
      </c>
      <c r="I19">
        <f>0.00000000126 * O19^(-0.75)*EXP(-127500/O19)</f>
        <v>3.0048590309263988E-67</v>
      </c>
      <c r="J19" t="s">
        <v>20</v>
      </c>
      <c r="K19">
        <f>4E+37 * (O19)^4.74</f>
        <v>6.6383476297502376E+51</v>
      </c>
      <c r="L19" t="s">
        <v>21</v>
      </c>
      <c r="O19">
        <v>1000</v>
      </c>
    </row>
    <row r="20" spans="1:23" x14ac:dyDescent="0.2">
      <c r="A20">
        <v>20</v>
      </c>
      <c r="B20" s="11" t="s">
        <v>225</v>
      </c>
      <c r="C20" t="s">
        <v>226</v>
      </c>
      <c r="D20" t="s">
        <v>72</v>
      </c>
      <c r="E20" t="s">
        <v>69</v>
      </c>
      <c r="F20" t="s">
        <v>5</v>
      </c>
      <c r="G20" t="s">
        <v>2</v>
      </c>
      <c r="H20" t="s">
        <v>69</v>
      </c>
      <c r="I20">
        <f>0.00000000000467 * (O20/300)^(-0.6)</f>
        <v>2.2677210604570523E-12</v>
      </c>
      <c r="J20" t="s">
        <v>22</v>
      </c>
      <c r="K20">
        <f>0.0000000000000000123 * (O20/300)^(2.49) * EXP(21845.6/O20)</f>
        <v>7.5735015921808937E-7</v>
      </c>
      <c r="L20" t="s">
        <v>23</v>
      </c>
      <c r="M20">
        <f>0.0000000962 * (O20/300)^(-1.37) * EXP(-115786.2/O20)</f>
        <v>9.5834846253858302E-59</v>
      </c>
      <c r="N20" t="s">
        <v>24</v>
      </c>
      <c r="O20">
        <v>1000</v>
      </c>
    </row>
    <row r="21" spans="1:23" x14ac:dyDescent="0.2">
      <c r="A21">
        <v>21</v>
      </c>
      <c r="B21" s="11" t="s">
        <v>142</v>
      </c>
      <c r="C21" t="s">
        <v>143</v>
      </c>
      <c r="D21" t="s">
        <v>72</v>
      </c>
      <c r="E21" t="s">
        <v>69</v>
      </c>
      <c r="F21" t="s">
        <v>6</v>
      </c>
      <c r="G21" t="s">
        <v>2</v>
      </c>
      <c r="H21" t="s">
        <v>69</v>
      </c>
      <c r="I21">
        <f>0.00000000013 * O21^(-0.64)</f>
        <v>1.5629437650026361E-12</v>
      </c>
      <c r="J21" t="s">
        <v>25</v>
      </c>
      <c r="K21">
        <f>0.000000000141 * (O21)^(-0.66)+0.00074 * O21^(-1.5)*EXP(-175000/O21)*(1+0.062*EXP(-145000/O21))</f>
        <v>1.4764512527517687E-12</v>
      </c>
      <c r="L21" t="s">
        <v>26</v>
      </c>
      <c r="O21">
        <v>1000</v>
      </c>
    </row>
    <row r="22" spans="1:23" x14ac:dyDescent="0.2">
      <c r="A22">
        <v>22</v>
      </c>
      <c r="B22" s="11" t="s">
        <v>227</v>
      </c>
      <c r="C22" t="s">
        <v>5</v>
      </c>
      <c r="D22" t="s">
        <v>72</v>
      </c>
      <c r="E22" t="s">
        <v>69</v>
      </c>
      <c r="F22" t="s">
        <v>226</v>
      </c>
      <c r="G22" t="s">
        <v>72</v>
      </c>
      <c r="H22" t="s">
        <v>72</v>
      </c>
      <c r="I22">
        <f>0.0000000685 * (0.193+(11.26/O22))^(-1) * (11.26/O22)^(0.25)* EXP(-(11.26/O22))</f>
        <v>1.0801938135696969E-7</v>
      </c>
      <c r="J22" t="s">
        <v>27</v>
      </c>
      <c r="O22">
        <v>1000</v>
      </c>
    </row>
    <row r="23" spans="1:23" x14ac:dyDescent="0.2">
      <c r="A23">
        <v>23</v>
      </c>
      <c r="B23" s="11" t="s">
        <v>144</v>
      </c>
      <c r="C23" t="s">
        <v>6</v>
      </c>
      <c r="D23" t="s">
        <v>72</v>
      </c>
      <c r="E23" t="s">
        <v>69</v>
      </c>
      <c r="F23" t="s">
        <v>143</v>
      </c>
      <c r="G23" t="s">
        <v>72</v>
      </c>
      <c r="H23" t="s">
        <v>72</v>
      </c>
      <c r="I23">
        <f>0.0000000359 * (0.073+(13.6/O23) )^(-1) * (13.6/O23)^(0.34) *EXP(-13.6/O23)</f>
        <v>9.4857872611621792E-8</v>
      </c>
      <c r="J23" t="s">
        <v>28</v>
      </c>
      <c r="O23">
        <v>1000</v>
      </c>
    </row>
    <row r="24" spans="1:23" x14ac:dyDescent="0.2">
      <c r="A24">
        <v>24</v>
      </c>
      <c r="B24" s="11" t="s">
        <v>145</v>
      </c>
      <c r="C24" t="s">
        <v>143</v>
      </c>
      <c r="D24" t="s">
        <v>1</v>
      </c>
      <c r="E24" t="s">
        <v>69</v>
      </c>
      <c r="F24" t="s">
        <v>6</v>
      </c>
      <c r="G24" t="s">
        <v>88</v>
      </c>
      <c r="H24" t="s">
        <v>69</v>
      </c>
      <c r="I24">
        <f>0.0000000000499 * O24^(0.405) + 0.000000000754 * O24^(-0.458)</f>
        <v>8.5052351034219645E-10</v>
      </c>
      <c r="O24">
        <v>1000</v>
      </c>
    </row>
    <row r="25" spans="1:23" x14ac:dyDescent="0.2">
      <c r="A25">
        <v>25</v>
      </c>
      <c r="B25" s="11" t="s">
        <v>146</v>
      </c>
      <c r="C25" t="s">
        <v>6</v>
      </c>
      <c r="D25" t="s">
        <v>88</v>
      </c>
      <c r="E25" t="s">
        <v>69</v>
      </c>
      <c r="F25" t="s">
        <v>143</v>
      </c>
      <c r="G25" t="s">
        <v>1</v>
      </c>
      <c r="H25" t="s">
        <v>69</v>
      </c>
      <c r="I25">
        <f>(0.0000000000108 * O25^(0.517)+0.0000000004 * O25^(0.00669))*EXP(-227/O25)</f>
        <v>6.3992799351066456E-10</v>
      </c>
      <c r="J25"/>
      <c r="O25">
        <v>1000</v>
      </c>
    </row>
    <row r="26" spans="1:23" x14ac:dyDescent="0.2">
      <c r="A26">
        <v>26</v>
      </c>
      <c r="B26" s="11" t="s">
        <v>147</v>
      </c>
      <c r="C26" t="s">
        <v>6</v>
      </c>
      <c r="D26" t="s">
        <v>108</v>
      </c>
      <c r="E26" t="s">
        <v>69</v>
      </c>
      <c r="F26" t="s">
        <v>143</v>
      </c>
      <c r="G26" t="s">
        <v>4</v>
      </c>
      <c r="H26" t="s">
        <v>69</v>
      </c>
      <c r="I26">
        <f>0.000000000000004991 *(O26/10000)^(0.3794) * EXP(-O26/1121000) + 0.00000000000000278 * (O26/10000)^(-0.2163) *EXP(O26/815800)</f>
        <v>6.6617368664498418E-15</v>
      </c>
      <c r="O26">
        <v>1000</v>
      </c>
    </row>
    <row r="27" spans="1:23" x14ac:dyDescent="0.2">
      <c r="A27">
        <v>27</v>
      </c>
      <c r="B27" s="11" t="s">
        <v>228</v>
      </c>
      <c r="C27" t="s">
        <v>5</v>
      </c>
      <c r="D27" t="s">
        <v>88</v>
      </c>
      <c r="E27" t="s">
        <v>69</v>
      </c>
      <c r="F27" t="s">
        <v>226</v>
      </c>
      <c r="G27" t="s">
        <v>1</v>
      </c>
      <c r="H27" t="s">
        <v>69</v>
      </c>
      <c r="I27">
        <f>0.00000000000000039 * O27^(0.213)</f>
        <v>1.6984963073737169E-15</v>
      </c>
      <c r="O27">
        <v>1000</v>
      </c>
    </row>
    <row r="28" spans="1:23" x14ac:dyDescent="0.2">
      <c r="A28">
        <v>28</v>
      </c>
      <c r="B28" s="11" t="s">
        <v>229</v>
      </c>
      <c r="C28" t="s">
        <v>226</v>
      </c>
      <c r="D28" t="s">
        <v>1</v>
      </c>
      <c r="E28" t="s">
        <v>69</v>
      </c>
      <c r="F28" t="s">
        <v>5</v>
      </c>
      <c r="G28" t="s">
        <v>88</v>
      </c>
      <c r="H28" t="s">
        <v>69</v>
      </c>
      <c r="I28">
        <f>0.0000000000000608* (O28/10000)^(1.96 )* EXP(-170000/O28)</f>
        <v>9.8591995251514357E-90</v>
      </c>
      <c r="O28">
        <v>1000</v>
      </c>
    </row>
    <row r="29" spans="1:23" x14ac:dyDescent="0.2">
      <c r="A29">
        <v>29</v>
      </c>
      <c r="B29" s="11" t="s">
        <v>230</v>
      </c>
      <c r="C29" t="s">
        <v>5</v>
      </c>
      <c r="D29" t="s">
        <v>108</v>
      </c>
      <c r="E29" t="s">
        <v>69</v>
      </c>
      <c r="F29" t="s">
        <v>226</v>
      </c>
      <c r="G29" t="s">
        <v>4</v>
      </c>
      <c r="H29" t="s">
        <v>69</v>
      </c>
      <c r="I29">
        <f>0.0000000000000000858*(O29)^(0.757)</f>
        <v>1.6013537747361457E-14</v>
      </c>
      <c r="J29" t="s">
        <v>29</v>
      </c>
      <c r="K29">
        <f xml:space="preserve"> 0.0000000000000000325 * O29^(0.968)</f>
        <v>2.605453706009957E-14</v>
      </c>
      <c r="L29" t="s">
        <v>30</v>
      </c>
      <c r="M29">
        <f>27700000000000000000 * O29^(1.597)</f>
        <v>1.711905428383411E+24</v>
      </c>
      <c r="N29" t="s">
        <v>31</v>
      </c>
      <c r="O29">
        <v>1000</v>
      </c>
    </row>
    <row r="30" spans="1:23" ht="17" x14ac:dyDescent="0.2">
      <c r="A30">
        <v>30</v>
      </c>
      <c r="B30" s="11" t="s">
        <v>124</v>
      </c>
      <c r="C30" t="s">
        <v>3</v>
      </c>
      <c r="D30" t="s">
        <v>4</v>
      </c>
      <c r="E30" t="s">
        <v>69</v>
      </c>
      <c r="F30" t="s">
        <v>1</v>
      </c>
      <c r="G30" t="s">
        <v>4</v>
      </c>
      <c r="H30" t="s">
        <v>69</v>
      </c>
      <c r="I30">
        <f>10^(-27.029+3.801*LOG(O30) -29487/O30)</f>
        <v>7.7090346906441823E-46</v>
      </c>
      <c r="J30" s="7" t="s">
        <v>70</v>
      </c>
      <c r="K30">
        <f>10^(-2.729-1.75*LOG(O30)-23474/O30)</f>
        <v>3.5237087104248585E-32</v>
      </c>
      <c r="L30" s="7" t="s">
        <v>70</v>
      </c>
      <c r="M30" s="3" t="s">
        <v>73</v>
      </c>
      <c r="O30">
        <v>1000</v>
      </c>
    </row>
    <row r="31" spans="1:23" x14ac:dyDescent="0.2">
      <c r="A31">
        <v>31</v>
      </c>
      <c r="B31" s="11" t="s">
        <v>148</v>
      </c>
      <c r="C31" t="s">
        <v>7</v>
      </c>
      <c r="D31" t="s">
        <v>1</v>
      </c>
      <c r="E31" t="s">
        <v>69</v>
      </c>
      <c r="F31" t="s">
        <v>6</v>
      </c>
      <c r="G31" t="s">
        <v>1</v>
      </c>
      <c r="H31" t="s">
        <v>1</v>
      </c>
      <c r="I31">
        <f>0.000000006 * EXP(-50900/O31)</f>
        <v>4.7050270164685409E-31</v>
      </c>
      <c r="O31">
        <v>1000</v>
      </c>
    </row>
    <row r="32" spans="1:23" x14ac:dyDescent="0.2">
      <c r="A32">
        <v>32</v>
      </c>
      <c r="B32" s="11" t="s">
        <v>231</v>
      </c>
      <c r="C32" t="s">
        <v>232</v>
      </c>
      <c r="D32" t="s">
        <v>3</v>
      </c>
      <c r="E32" t="s">
        <v>69</v>
      </c>
      <c r="F32" t="s">
        <v>149</v>
      </c>
      <c r="G32" t="s">
        <v>3</v>
      </c>
      <c r="H32" t="s">
        <v>69</v>
      </c>
      <c r="I32">
        <f>0.00000000038</f>
        <v>3.7999999999999998E-10</v>
      </c>
      <c r="O32">
        <v>1000</v>
      </c>
    </row>
    <row r="33" spans="1:15" x14ac:dyDescent="0.2">
      <c r="A33">
        <v>33</v>
      </c>
      <c r="B33" s="11" t="s">
        <v>233</v>
      </c>
      <c r="C33" t="s">
        <v>232</v>
      </c>
      <c r="D33" t="s">
        <v>61</v>
      </c>
      <c r="E33" t="s">
        <v>69</v>
      </c>
      <c r="F33" t="s">
        <v>149</v>
      </c>
      <c r="G33" t="s">
        <v>61</v>
      </c>
      <c r="H33" t="s">
        <v>69</v>
      </c>
      <c r="I33">
        <f>0.0000000004</f>
        <v>4.0000000000000001E-10</v>
      </c>
      <c r="O33">
        <v>1000</v>
      </c>
    </row>
    <row r="34" spans="1:15" x14ac:dyDescent="0.2">
      <c r="A34">
        <v>34</v>
      </c>
      <c r="B34" s="11" t="s">
        <v>234</v>
      </c>
      <c r="C34" t="s">
        <v>5</v>
      </c>
      <c r="D34" t="s">
        <v>3</v>
      </c>
      <c r="E34" t="s">
        <v>69</v>
      </c>
      <c r="F34" t="s">
        <v>62</v>
      </c>
      <c r="G34" t="s">
        <v>1</v>
      </c>
      <c r="H34" t="s">
        <v>69</v>
      </c>
      <c r="I34">
        <f>0.000000000664 * EXP(-11700/O34)</f>
        <v>5.5070959227428937E-15</v>
      </c>
      <c r="O34">
        <v>1000</v>
      </c>
    </row>
    <row r="35" spans="1:15" x14ac:dyDescent="0.2">
      <c r="A35">
        <v>35</v>
      </c>
      <c r="B35" s="11" t="s">
        <v>235</v>
      </c>
      <c r="C35" t="s">
        <v>62</v>
      </c>
      <c r="D35" t="s">
        <v>1</v>
      </c>
      <c r="E35" t="s">
        <v>69</v>
      </c>
      <c r="F35" t="s">
        <v>5</v>
      </c>
      <c r="G35" t="s">
        <v>3</v>
      </c>
      <c r="H35" t="s">
        <v>69</v>
      </c>
      <c r="I35">
        <f>0.000000000131 * EXP(-80/O34)</f>
        <v>1.209282413766493E-10</v>
      </c>
      <c r="O35">
        <v>1000</v>
      </c>
    </row>
    <row r="36" spans="1:15" x14ac:dyDescent="0.2">
      <c r="A36">
        <v>36</v>
      </c>
      <c r="B36" s="11" t="s">
        <v>125</v>
      </c>
      <c r="C36" t="s">
        <v>62</v>
      </c>
      <c r="D36" t="s">
        <v>3</v>
      </c>
      <c r="E36" t="s">
        <v>69</v>
      </c>
      <c r="F36" t="s">
        <v>63</v>
      </c>
      <c r="G36" t="s">
        <v>1</v>
      </c>
      <c r="H36" t="s">
        <v>69</v>
      </c>
      <c r="I36">
        <f>0.000000000546 * EXP(-1943/O36)</f>
        <v>7.8227322236678555E-11</v>
      </c>
      <c r="O36">
        <v>1000</v>
      </c>
    </row>
    <row r="37" spans="1:15" x14ac:dyDescent="0.2">
      <c r="A37">
        <v>37</v>
      </c>
      <c r="B37" s="11" t="s">
        <v>74</v>
      </c>
      <c r="C37" t="s">
        <v>62</v>
      </c>
      <c r="D37" t="s">
        <v>5</v>
      </c>
      <c r="E37" t="s">
        <v>69</v>
      </c>
      <c r="F37" t="s">
        <v>64</v>
      </c>
      <c r="G37" t="s">
        <v>1</v>
      </c>
      <c r="H37" t="s">
        <v>69</v>
      </c>
      <c r="I37">
        <f>0.0000000000659</f>
        <v>6.59E-11</v>
      </c>
      <c r="O37">
        <v>1000</v>
      </c>
    </row>
    <row r="38" spans="1:15" x14ac:dyDescent="0.2">
      <c r="A38">
        <v>38</v>
      </c>
      <c r="B38" s="11" t="s">
        <v>150</v>
      </c>
      <c r="C38" t="s">
        <v>62</v>
      </c>
      <c r="D38" t="s">
        <v>6</v>
      </c>
      <c r="E38" t="s">
        <v>69</v>
      </c>
      <c r="F38" t="s">
        <v>61</v>
      </c>
      <c r="G38" t="s">
        <v>1</v>
      </c>
      <c r="H38" t="s">
        <v>69</v>
      </c>
      <c r="I38">
        <f>0.000000000066</f>
        <v>6.6000000000000005E-11</v>
      </c>
      <c r="J38" t="s">
        <v>32</v>
      </c>
      <c r="K38">
        <f>0.000000000102 * EXP(-914/O38)</f>
        <v>4.0893568990283193E-11</v>
      </c>
      <c r="L38" t="s">
        <v>31</v>
      </c>
      <c r="O38">
        <v>1000</v>
      </c>
    </row>
    <row r="39" spans="1:15" x14ac:dyDescent="0.2">
      <c r="A39">
        <v>39</v>
      </c>
      <c r="B39" s="11" t="s">
        <v>126</v>
      </c>
      <c r="C39" t="s">
        <v>63</v>
      </c>
      <c r="D39" t="s">
        <v>1</v>
      </c>
      <c r="E39" t="s">
        <v>69</v>
      </c>
      <c r="F39" t="s">
        <v>62</v>
      </c>
      <c r="G39" t="s">
        <v>3</v>
      </c>
      <c r="H39" t="s">
        <v>69</v>
      </c>
      <c r="I39">
        <f>0.0000000000664</f>
        <v>6.6399999999999998E-11</v>
      </c>
      <c r="O39">
        <v>1000</v>
      </c>
    </row>
    <row r="40" spans="1:15" x14ac:dyDescent="0.2">
      <c r="A40">
        <v>40</v>
      </c>
      <c r="B40" s="11" t="s">
        <v>151</v>
      </c>
      <c r="C40" t="s">
        <v>63</v>
      </c>
      <c r="D40" t="s">
        <v>6</v>
      </c>
      <c r="E40" t="s">
        <v>69</v>
      </c>
      <c r="F40" t="s">
        <v>61</v>
      </c>
      <c r="G40" t="s">
        <v>1</v>
      </c>
      <c r="H40" t="s">
        <v>1</v>
      </c>
      <c r="I40">
        <f>0.000000000133</f>
        <v>1.3300000000000001E-10</v>
      </c>
      <c r="O40">
        <v>1000</v>
      </c>
    </row>
    <row r="41" spans="1:15" x14ac:dyDescent="0.2">
      <c r="A41">
        <v>41</v>
      </c>
      <c r="B41" s="11" t="s">
        <v>152</v>
      </c>
      <c r="C41" t="s">
        <v>63</v>
      </c>
      <c r="D41" t="s">
        <v>6</v>
      </c>
      <c r="E41" t="s">
        <v>69</v>
      </c>
      <c r="F41" t="s">
        <v>61</v>
      </c>
      <c r="G41" t="s">
        <v>3</v>
      </c>
      <c r="H41" t="s">
        <v>69</v>
      </c>
      <c r="I41">
        <f>0.00000000008</f>
        <v>7.9999999999999995E-11</v>
      </c>
      <c r="O41">
        <v>1000</v>
      </c>
    </row>
    <row r="42" spans="1:15" x14ac:dyDescent="0.2">
      <c r="A42">
        <v>42</v>
      </c>
      <c r="B42" s="11" t="s">
        <v>153</v>
      </c>
      <c r="C42" t="s">
        <v>64</v>
      </c>
      <c r="D42" t="s">
        <v>6</v>
      </c>
      <c r="E42" t="s">
        <v>69</v>
      </c>
      <c r="F42" t="s">
        <v>61</v>
      </c>
      <c r="G42" t="s">
        <v>5</v>
      </c>
      <c r="H42" t="s">
        <v>69</v>
      </c>
      <c r="I42">
        <f>0.00000000005 * (O42/300)^(0.5)</f>
        <v>9.12870929175277E-11</v>
      </c>
      <c r="J42" t="s">
        <v>10</v>
      </c>
      <c r="K42">
        <f>0.00000000005 * (O42/300)^(0.757)</f>
        <v>1.2439107312723536E-10</v>
      </c>
      <c r="L42" t="s">
        <v>11</v>
      </c>
      <c r="O42">
        <v>1000</v>
      </c>
    </row>
    <row r="43" spans="1:15" x14ac:dyDescent="0.2">
      <c r="A43">
        <v>43</v>
      </c>
      <c r="B43" s="11" t="s">
        <v>154</v>
      </c>
      <c r="C43" t="s">
        <v>6</v>
      </c>
      <c r="D43" t="s">
        <v>3</v>
      </c>
      <c r="E43" t="s">
        <v>69</v>
      </c>
      <c r="F43" t="s">
        <v>7</v>
      </c>
      <c r="G43" t="s">
        <v>1</v>
      </c>
      <c r="H43" t="s">
        <v>69</v>
      </c>
      <c r="I43">
        <f>0.000000000000314 * (O43/300)^(2.7) *EXP(-3150/O43)</f>
        <v>3.4727589746561889E-13</v>
      </c>
      <c r="O43">
        <v>1000</v>
      </c>
    </row>
    <row r="44" spans="1:15" x14ac:dyDescent="0.2">
      <c r="A44">
        <v>44</v>
      </c>
      <c r="B44" s="11" t="s">
        <v>155</v>
      </c>
      <c r="C44" t="s">
        <v>7</v>
      </c>
      <c r="D44" t="s">
        <v>1</v>
      </c>
      <c r="E44" t="s">
        <v>69</v>
      </c>
      <c r="F44" t="s">
        <v>6</v>
      </c>
      <c r="G44" t="s">
        <v>3</v>
      </c>
      <c r="H44" t="s">
        <v>69</v>
      </c>
      <c r="I44">
        <f>0.0000000000000699*(O44/300)^(2.8) * EXP(-1950/O44)</f>
        <v>2.8950990232558794E-13</v>
      </c>
      <c r="O44">
        <v>1000</v>
      </c>
    </row>
    <row r="45" spans="1:15" x14ac:dyDescent="0.2">
      <c r="A45">
        <v>45</v>
      </c>
      <c r="B45" s="11" t="s">
        <v>156</v>
      </c>
      <c r="C45" t="s">
        <v>7</v>
      </c>
      <c r="D45" t="s">
        <v>3</v>
      </c>
      <c r="E45" t="s">
        <v>69</v>
      </c>
      <c r="F45" t="s">
        <v>65</v>
      </c>
      <c r="G45" t="s">
        <v>1</v>
      </c>
      <c r="H45" t="s">
        <v>69</v>
      </c>
      <c r="I45">
        <f>0.00000000000205* (O45/300)^(1.52) *EXP(-1736/O45)</f>
        <v>2.2521345507689203E-12</v>
      </c>
      <c r="O45">
        <v>1000</v>
      </c>
    </row>
    <row r="46" spans="1:15" x14ac:dyDescent="0.2">
      <c r="A46">
        <v>46</v>
      </c>
      <c r="B46" s="11" t="s">
        <v>157</v>
      </c>
      <c r="C46" t="s">
        <v>7</v>
      </c>
      <c r="D46" t="s">
        <v>5</v>
      </c>
      <c r="E46" t="s">
        <v>69</v>
      </c>
      <c r="F46" t="s">
        <v>61</v>
      </c>
      <c r="G46" t="s">
        <v>1</v>
      </c>
      <c r="H46" t="s">
        <v>69</v>
      </c>
      <c r="I46">
        <f>0.0000000001</f>
        <v>1E-10</v>
      </c>
      <c r="O46">
        <v>1000</v>
      </c>
    </row>
    <row r="47" spans="1:15" x14ac:dyDescent="0.2">
      <c r="A47">
        <v>47</v>
      </c>
      <c r="B47" s="11" t="s">
        <v>112</v>
      </c>
      <c r="C47" t="s">
        <v>7</v>
      </c>
      <c r="D47" t="s">
        <v>6</v>
      </c>
      <c r="E47" t="s">
        <v>69</v>
      </c>
      <c r="F47" t="s">
        <v>66</v>
      </c>
      <c r="G47" t="s">
        <v>1</v>
      </c>
      <c r="H47" t="s">
        <v>69</v>
      </c>
      <c r="I47">
        <f>0.000000000035</f>
        <v>3.5000000000000002E-11</v>
      </c>
      <c r="J47" t="s">
        <v>33</v>
      </c>
      <c r="K47">
        <f>0.0000000000177 * EXP(178/O46)</f>
        <v>2.1148408185855975E-11</v>
      </c>
      <c r="L47" t="s">
        <v>34</v>
      </c>
      <c r="O47">
        <v>1000</v>
      </c>
    </row>
    <row r="48" spans="1:15" x14ac:dyDescent="0.2">
      <c r="A48">
        <v>48</v>
      </c>
      <c r="B48" s="11" t="s">
        <v>158</v>
      </c>
      <c r="C48" t="s">
        <v>7</v>
      </c>
      <c r="D48" t="s">
        <v>7</v>
      </c>
      <c r="E48" t="s">
        <v>69</v>
      </c>
      <c r="F48" t="s">
        <v>65</v>
      </c>
      <c r="G48" t="s">
        <v>1</v>
      </c>
      <c r="H48" t="s">
        <v>69</v>
      </c>
      <c r="I48">
        <f>0.00000000000165 * (O48/300)^(1.14) * EXP(-50/O48)</f>
        <v>6.1922857584562743E-12</v>
      </c>
      <c r="O48">
        <v>1000</v>
      </c>
    </row>
    <row r="49" spans="1:15" x14ac:dyDescent="0.2">
      <c r="A49">
        <v>49</v>
      </c>
      <c r="B49" s="11" t="s">
        <v>159</v>
      </c>
      <c r="C49" t="s">
        <v>65</v>
      </c>
      <c r="D49" t="s">
        <v>1</v>
      </c>
      <c r="E49" t="s">
        <v>69</v>
      </c>
      <c r="F49" t="s">
        <v>3</v>
      </c>
      <c r="G49" t="s">
        <v>7</v>
      </c>
      <c r="H49" t="s">
        <v>69</v>
      </c>
      <c r="I49">
        <f>0.0000000000159 * (O49/300)^(1.2)*EXP(-9610/O49)</f>
        <v>4.5214907589724857E-15</v>
      </c>
      <c r="O49">
        <v>1000</v>
      </c>
    </row>
    <row r="50" spans="1:15" x14ac:dyDescent="0.2">
      <c r="A50">
        <v>50</v>
      </c>
      <c r="B50" s="11" t="s">
        <v>113</v>
      </c>
      <c r="C50" t="s">
        <v>66</v>
      </c>
      <c r="D50" t="s">
        <v>1</v>
      </c>
      <c r="E50" t="s">
        <v>69</v>
      </c>
      <c r="F50" t="s">
        <v>7</v>
      </c>
      <c r="G50" t="s">
        <v>6</v>
      </c>
      <c r="H50" t="s">
        <v>69</v>
      </c>
      <c r="I50">
        <f>0.000000000261*EXP(-8156/O50)</f>
        <v>7.4909123059609845E-14</v>
      </c>
      <c r="O50">
        <v>1000</v>
      </c>
    </row>
    <row r="51" spans="1:15" x14ac:dyDescent="0.2">
      <c r="A51">
        <v>51</v>
      </c>
      <c r="B51" s="11" t="s">
        <v>114</v>
      </c>
      <c r="C51" t="s">
        <v>66</v>
      </c>
      <c r="D51" t="s">
        <v>3</v>
      </c>
      <c r="E51" t="s">
        <v>69</v>
      </c>
      <c r="F51" t="s">
        <v>7</v>
      </c>
      <c r="G51" t="s">
        <v>7</v>
      </c>
      <c r="H51" t="s">
        <v>69</v>
      </c>
      <c r="I51">
        <f>0.000000000316 * EXP(-21890/O51)</f>
        <v>9.8396777105932169E-20</v>
      </c>
      <c r="O51">
        <v>1000</v>
      </c>
    </row>
    <row r="52" spans="1:15" x14ac:dyDescent="0.2">
      <c r="A52">
        <v>52</v>
      </c>
      <c r="B52" s="11" t="s">
        <v>160</v>
      </c>
      <c r="C52" t="s">
        <v>66</v>
      </c>
      <c r="D52" t="s">
        <v>5</v>
      </c>
      <c r="E52" t="s">
        <v>69</v>
      </c>
      <c r="F52" t="s">
        <v>61</v>
      </c>
      <c r="G52" t="s">
        <v>6</v>
      </c>
      <c r="H52" t="s">
        <v>69</v>
      </c>
      <c r="I52">
        <f>0.000000000047*(O52/300)^(-0.34)</f>
        <v>3.1211819344990071E-11</v>
      </c>
      <c r="J52" t="s">
        <v>35</v>
      </c>
      <c r="K52">
        <f>0.00000000000248 * (O52/300)^(1.54)*EXP(613/O52)</f>
        <v>2.9235294024047922E-11</v>
      </c>
      <c r="L52" t="s">
        <v>36</v>
      </c>
      <c r="O52">
        <v>1000</v>
      </c>
    </row>
    <row r="53" spans="1:15" x14ac:dyDescent="0.2">
      <c r="A53">
        <v>53</v>
      </c>
      <c r="B53" s="11" t="s">
        <v>236</v>
      </c>
      <c r="C53" t="s">
        <v>61</v>
      </c>
      <c r="D53" t="s">
        <v>1</v>
      </c>
      <c r="E53" t="s">
        <v>69</v>
      </c>
      <c r="F53" t="s">
        <v>5</v>
      </c>
      <c r="G53" t="s">
        <v>7</v>
      </c>
      <c r="H53" t="s">
        <v>69</v>
      </c>
      <c r="I53">
        <f>0.00000000011*(O53/300)*EXP(-77700/O53)</f>
        <v>6.6007029169384179E-44</v>
      </c>
      <c r="O53">
        <v>1000</v>
      </c>
    </row>
    <row r="54" spans="1:15" x14ac:dyDescent="0.2">
      <c r="A54">
        <v>54</v>
      </c>
      <c r="B54" s="11" t="s">
        <v>95</v>
      </c>
      <c r="C54" t="s">
        <v>117</v>
      </c>
      <c r="D54" t="s">
        <v>3</v>
      </c>
      <c r="E54" t="s">
        <v>69</v>
      </c>
      <c r="F54" t="s">
        <v>290</v>
      </c>
      <c r="G54" t="s">
        <v>1</v>
      </c>
      <c r="H54" t="s">
        <v>69</v>
      </c>
      <c r="I54">
        <f>0.00000000224*(O54/300)^(0.042)*EXP(-O54/46600)</f>
        <v>2.3061592909155042E-9</v>
      </c>
      <c r="O54">
        <v>1000</v>
      </c>
    </row>
    <row r="55" spans="1:15" x14ac:dyDescent="0.2">
      <c r="A55">
        <v>55</v>
      </c>
      <c r="B55" s="11" t="s">
        <v>96</v>
      </c>
      <c r="C55" t="s">
        <v>290</v>
      </c>
      <c r="D55" t="s">
        <v>1</v>
      </c>
      <c r="E55" t="s">
        <v>69</v>
      </c>
      <c r="F55" t="s">
        <v>117</v>
      </c>
      <c r="G55" t="s">
        <v>3</v>
      </c>
      <c r="H55" t="s">
        <v>69</v>
      </c>
      <c r="I55">
        <f>0.0000000077*EXP(-17560/O54)</f>
        <v>1.8208728605295508E-16</v>
      </c>
      <c r="O55">
        <v>1000</v>
      </c>
    </row>
    <row r="56" spans="1:15" x14ac:dyDescent="0.2">
      <c r="A56">
        <v>56</v>
      </c>
      <c r="B56" s="11" t="s">
        <v>237</v>
      </c>
      <c r="C56" t="s">
        <v>5</v>
      </c>
      <c r="D56" t="s">
        <v>117</v>
      </c>
      <c r="E56" t="s">
        <v>69</v>
      </c>
      <c r="F56" t="s">
        <v>75</v>
      </c>
      <c r="G56" t="s">
        <v>1</v>
      </c>
      <c r="H56" t="s">
        <v>69</v>
      </c>
      <c r="I56">
        <f>0.0000000024</f>
        <v>2.4E-9</v>
      </c>
      <c r="O56">
        <v>1000</v>
      </c>
    </row>
    <row r="57" spans="1:15" x14ac:dyDescent="0.2">
      <c r="A57">
        <v>57</v>
      </c>
      <c r="B57" s="11" t="s">
        <v>238</v>
      </c>
      <c r="C57" t="s">
        <v>5</v>
      </c>
      <c r="D57" t="s">
        <v>290</v>
      </c>
      <c r="E57" t="s">
        <v>69</v>
      </c>
      <c r="F57" t="s">
        <v>75</v>
      </c>
      <c r="G57" t="s">
        <v>3</v>
      </c>
      <c r="H57" t="s">
        <v>69</v>
      </c>
      <c r="I57">
        <f>0.000000002</f>
        <v>2.0000000000000001E-9</v>
      </c>
      <c r="O57">
        <v>1000</v>
      </c>
    </row>
    <row r="58" spans="1:15" x14ac:dyDescent="0.2">
      <c r="A58">
        <v>58</v>
      </c>
      <c r="B58" s="11" t="s">
        <v>239</v>
      </c>
      <c r="C58" t="s">
        <v>226</v>
      </c>
      <c r="D58" t="s">
        <v>3</v>
      </c>
      <c r="E58" t="s">
        <v>69</v>
      </c>
      <c r="F58" t="s">
        <v>75</v>
      </c>
      <c r="G58" t="s">
        <v>1</v>
      </c>
      <c r="H58" t="s">
        <v>69</v>
      </c>
      <c r="I58">
        <f>0.0000000001*EXP(-4640/O58)</f>
        <v>9.6576976275377774E-13</v>
      </c>
      <c r="O58">
        <v>1000</v>
      </c>
    </row>
    <row r="59" spans="1:15" x14ac:dyDescent="0.2">
      <c r="A59">
        <v>59</v>
      </c>
      <c r="B59" s="11" t="s">
        <v>240</v>
      </c>
      <c r="C59" t="s">
        <v>75</v>
      </c>
      <c r="D59" t="s">
        <v>1</v>
      </c>
      <c r="E59" t="s">
        <v>69</v>
      </c>
      <c r="F59" t="s">
        <v>226</v>
      </c>
      <c r="G59" t="s">
        <v>3</v>
      </c>
      <c r="H59" t="s">
        <v>69</v>
      </c>
      <c r="I59">
        <f>0.00000000075</f>
        <v>7.5E-10</v>
      </c>
      <c r="O59">
        <v>1000</v>
      </c>
    </row>
    <row r="60" spans="1:15" x14ac:dyDescent="0.2">
      <c r="A60">
        <v>60</v>
      </c>
      <c r="B60" s="11" t="s">
        <v>76</v>
      </c>
      <c r="C60" t="s">
        <v>75</v>
      </c>
      <c r="D60" t="s">
        <v>3</v>
      </c>
      <c r="E60" t="s">
        <v>69</v>
      </c>
      <c r="F60" t="s">
        <v>127</v>
      </c>
      <c r="G60" t="s">
        <v>1</v>
      </c>
      <c r="H60" t="s">
        <v>69</v>
      </c>
      <c r="I60">
        <f>0.0000000012</f>
        <v>1.2E-9</v>
      </c>
      <c r="O60">
        <v>1000</v>
      </c>
    </row>
    <row r="61" spans="1:15" x14ac:dyDescent="0.2">
      <c r="A61">
        <v>61</v>
      </c>
      <c r="B61" s="11" t="s">
        <v>161</v>
      </c>
      <c r="C61" t="s">
        <v>75</v>
      </c>
      <c r="D61" t="s">
        <v>6</v>
      </c>
      <c r="E61" t="s">
        <v>69</v>
      </c>
      <c r="F61" t="s">
        <v>162</v>
      </c>
      <c r="G61" t="s">
        <v>1</v>
      </c>
      <c r="H61" t="s">
        <v>69</v>
      </c>
      <c r="I61">
        <f>0.00000000035</f>
        <v>3.4999999999999998E-10</v>
      </c>
      <c r="O61">
        <v>1000</v>
      </c>
    </row>
    <row r="62" spans="1:15" x14ac:dyDescent="0.2">
      <c r="A62">
        <v>62</v>
      </c>
      <c r="B62" s="11" t="s">
        <v>128</v>
      </c>
      <c r="C62" t="s">
        <v>63</v>
      </c>
      <c r="D62" t="s">
        <v>88</v>
      </c>
      <c r="E62" t="s">
        <v>69</v>
      </c>
      <c r="F62" t="s">
        <v>75</v>
      </c>
      <c r="G62" t="s">
        <v>3</v>
      </c>
      <c r="H62" t="s">
        <v>69</v>
      </c>
      <c r="I62">
        <f>0.0000000014</f>
        <v>1.3999999999999999E-9</v>
      </c>
      <c r="O62">
        <v>1000</v>
      </c>
    </row>
    <row r="63" spans="1:15" x14ac:dyDescent="0.2">
      <c r="A63">
        <v>63</v>
      </c>
      <c r="B63" s="11" t="s">
        <v>77</v>
      </c>
      <c r="C63" t="s">
        <v>127</v>
      </c>
      <c r="D63" t="s">
        <v>1</v>
      </c>
      <c r="E63" t="s">
        <v>69</v>
      </c>
      <c r="F63" t="s">
        <v>75</v>
      </c>
      <c r="G63" t="s">
        <v>3</v>
      </c>
      <c r="H63" t="s">
        <v>69</v>
      </c>
      <c r="I63">
        <f>0.000000001*EXP(-7080/O63)</f>
        <v>8.4177314837854905E-13</v>
      </c>
      <c r="O63">
        <v>1000</v>
      </c>
    </row>
    <row r="64" spans="1:15" x14ac:dyDescent="0.2">
      <c r="A64">
        <v>64</v>
      </c>
      <c r="B64" s="11" t="s">
        <v>78</v>
      </c>
      <c r="C64" t="s">
        <v>127</v>
      </c>
      <c r="D64" t="s">
        <v>1</v>
      </c>
      <c r="E64" t="s">
        <v>69</v>
      </c>
      <c r="F64" t="s">
        <v>75</v>
      </c>
      <c r="G64" t="s">
        <v>3</v>
      </c>
      <c r="H64" t="s">
        <v>69</v>
      </c>
      <c r="I64">
        <f>0.0000000016</f>
        <v>1.6000000000000001E-9</v>
      </c>
      <c r="O64">
        <v>1000</v>
      </c>
    </row>
    <row r="65" spans="1:15" x14ac:dyDescent="0.2">
      <c r="A65">
        <v>65</v>
      </c>
      <c r="B65" s="11" t="s">
        <v>163</v>
      </c>
      <c r="C65" t="s">
        <v>127</v>
      </c>
      <c r="D65" t="s">
        <v>6</v>
      </c>
      <c r="E65" t="s">
        <v>69</v>
      </c>
      <c r="F65" t="s">
        <v>149</v>
      </c>
      <c r="G65" t="s">
        <v>1</v>
      </c>
      <c r="H65" t="s">
        <v>69</v>
      </c>
      <c r="I65">
        <f>0.00000000075</f>
        <v>7.5E-10</v>
      </c>
      <c r="O65">
        <v>1000</v>
      </c>
    </row>
    <row r="66" spans="1:15" x14ac:dyDescent="0.2">
      <c r="A66">
        <v>66</v>
      </c>
      <c r="B66" s="11" t="s">
        <v>79</v>
      </c>
      <c r="C66" t="s">
        <v>224</v>
      </c>
      <c r="D66" t="s">
        <v>1</v>
      </c>
      <c r="E66" t="s">
        <v>69</v>
      </c>
      <c r="F66" t="s">
        <v>127</v>
      </c>
      <c r="G66" t="s">
        <v>3</v>
      </c>
      <c r="H66" t="s">
        <v>69</v>
      </c>
      <c r="I66">
        <f>0.0000000007*EXP(-10560/O66)</f>
        <v>1.8152995964901635E-14</v>
      </c>
      <c r="O66">
        <v>1000</v>
      </c>
    </row>
    <row r="67" spans="1:15" x14ac:dyDescent="0.2">
      <c r="A67">
        <v>67</v>
      </c>
      <c r="B67" s="11" t="s">
        <v>164</v>
      </c>
      <c r="C67" t="s">
        <v>224</v>
      </c>
      <c r="D67" t="s">
        <v>6</v>
      </c>
      <c r="E67" t="s">
        <v>69</v>
      </c>
      <c r="F67" t="s">
        <v>149</v>
      </c>
      <c r="G67" t="s">
        <v>3</v>
      </c>
      <c r="H67" t="s">
        <v>69</v>
      </c>
      <c r="I67">
        <f>0.0000000004</f>
        <v>4.0000000000000001E-10</v>
      </c>
      <c r="O67">
        <v>1000</v>
      </c>
    </row>
    <row r="68" spans="1:15" x14ac:dyDescent="0.2">
      <c r="A68">
        <v>68</v>
      </c>
      <c r="B68" s="11" t="s">
        <v>165</v>
      </c>
      <c r="C68" t="s">
        <v>64</v>
      </c>
      <c r="D68" t="s">
        <v>143</v>
      </c>
      <c r="E68" t="s">
        <v>69</v>
      </c>
      <c r="F68" t="s">
        <v>162</v>
      </c>
      <c r="G68" t="s">
        <v>5</v>
      </c>
      <c r="H68" t="s">
        <v>69</v>
      </c>
      <c r="I68">
        <f>0.00000000048</f>
        <v>4.8E-10</v>
      </c>
      <c r="O68">
        <v>1000</v>
      </c>
    </row>
    <row r="69" spans="1:15" x14ac:dyDescent="0.2">
      <c r="A69">
        <v>69</v>
      </c>
      <c r="B69" s="11" t="s">
        <v>166</v>
      </c>
      <c r="C69" t="s">
        <v>143</v>
      </c>
      <c r="D69" t="s">
        <v>3</v>
      </c>
      <c r="E69" t="s">
        <v>69</v>
      </c>
      <c r="F69" t="s">
        <v>97</v>
      </c>
      <c r="G69" t="s">
        <v>1</v>
      </c>
      <c r="H69" t="s">
        <v>69</v>
      </c>
      <c r="I69">
        <f>0.0000000017</f>
        <v>1.6999999999999999E-9</v>
      </c>
      <c r="O69">
        <v>1000</v>
      </c>
    </row>
    <row r="70" spans="1:15" x14ac:dyDescent="0.2">
      <c r="A70">
        <v>70</v>
      </c>
      <c r="B70" s="11" t="s">
        <v>167</v>
      </c>
      <c r="C70" t="s">
        <v>6</v>
      </c>
      <c r="D70" t="s">
        <v>117</v>
      </c>
      <c r="E70" t="s">
        <v>69</v>
      </c>
      <c r="F70" t="s">
        <v>97</v>
      </c>
      <c r="G70" t="s">
        <v>1</v>
      </c>
      <c r="H70" t="s">
        <v>69</v>
      </c>
      <c r="I70">
        <f>0.0000000015</f>
        <v>1.5E-9</v>
      </c>
      <c r="O70">
        <v>1000</v>
      </c>
    </row>
    <row r="71" spans="1:15" x14ac:dyDescent="0.2">
      <c r="A71">
        <v>71</v>
      </c>
      <c r="B71" s="11" t="s">
        <v>168</v>
      </c>
      <c r="C71" t="s">
        <v>6</v>
      </c>
      <c r="D71" t="s">
        <v>290</v>
      </c>
      <c r="E71" t="s">
        <v>69</v>
      </c>
      <c r="F71" t="s">
        <v>97</v>
      </c>
      <c r="G71" t="s">
        <v>3</v>
      </c>
      <c r="H71" t="s">
        <v>69</v>
      </c>
      <c r="I71">
        <f>0.00000000084</f>
        <v>8.3999999999999999E-10</v>
      </c>
      <c r="O71">
        <v>1000</v>
      </c>
    </row>
    <row r="72" spans="1:15" x14ac:dyDescent="0.2">
      <c r="A72">
        <v>72</v>
      </c>
      <c r="B72" s="11" t="s">
        <v>169</v>
      </c>
      <c r="C72" t="s">
        <v>7</v>
      </c>
      <c r="D72" t="s">
        <v>290</v>
      </c>
      <c r="E72" t="s">
        <v>69</v>
      </c>
      <c r="F72" t="s">
        <v>170</v>
      </c>
      <c r="G72" t="s">
        <v>3</v>
      </c>
      <c r="H72" t="s">
        <v>69</v>
      </c>
      <c r="I72">
        <f>0.0000000013</f>
        <v>1.3000000000000001E-9</v>
      </c>
      <c r="O72">
        <v>1000</v>
      </c>
    </row>
    <row r="73" spans="1:15" x14ac:dyDescent="0.2">
      <c r="A73">
        <v>73</v>
      </c>
      <c r="B73" s="11" t="s">
        <v>241</v>
      </c>
      <c r="C73" t="s">
        <v>7</v>
      </c>
      <c r="D73" t="s">
        <v>226</v>
      </c>
      <c r="E73" t="s">
        <v>69</v>
      </c>
      <c r="F73" t="s">
        <v>162</v>
      </c>
      <c r="G73" t="s">
        <v>1</v>
      </c>
      <c r="H73" t="s">
        <v>69</v>
      </c>
      <c r="I73">
        <f>0.00000000077</f>
        <v>7.7000000000000003E-10</v>
      </c>
      <c r="O73">
        <v>1000</v>
      </c>
    </row>
    <row r="74" spans="1:15" x14ac:dyDescent="0.2">
      <c r="A74">
        <v>74</v>
      </c>
      <c r="B74" s="11" t="s">
        <v>171</v>
      </c>
      <c r="C74" t="s">
        <v>97</v>
      </c>
      <c r="D74" t="s">
        <v>3</v>
      </c>
      <c r="E74" t="s">
        <v>69</v>
      </c>
      <c r="F74" t="s">
        <v>170</v>
      </c>
      <c r="G74" t="s">
        <v>1</v>
      </c>
      <c r="H74" t="s">
        <v>69</v>
      </c>
      <c r="I74">
        <f>0.00000000101</f>
        <v>1.01E-9</v>
      </c>
      <c r="O74">
        <v>1000</v>
      </c>
    </row>
    <row r="75" spans="1:15" x14ac:dyDescent="0.2">
      <c r="A75">
        <v>75</v>
      </c>
      <c r="B75" s="11" t="s">
        <v>172</v>
      </c>
      <c r="C75" t="s">
        <v>170</v>
      </c>
      <c r="D75" t="s">
        <v>3</v>
      </c>
      <c r="E75" t="s">
        <v>69</v>
      </c>
      <c r="F75" t="s">
        <v>173</v>
      </c>
      <c r="G75" t="s">
        <v>1</v>
      </c>
      <c r="H75" t="s">
        <v>69</v>
      </c>
      <c r="I75">
        <f>0.00000000064</f>
        <v>6.3999999999999996E-10</v>
      </c>
      <c r="O75">
        <v>1000</v>
      </c>
    </row>
    <row r="76" spans="1:15" x14ac:dyDescent="0.2">
      <c r="A76">
        <v>76</v>
      </c>
      <c r="B76" s="11" t="s">
        <v>174</v>
      </c>
      <c r="C76" t="s">
        <v>65</v>
      </c>
      <c r="D76" t="s">
        <v>290</v>
      </c>
      <c r="E76" t="s">
        <v>69</v>
      </c>
      <c r="F76" t="s">
        <v>173</v>
      </c>
      <c r="G76" t="s">
        <v>3</v>
      </c>
      <c r="H76" t="s">
        <v>69</v>
      </c>
      <c r="I76">
        <f>0.0000000059</f>
        <v>5.8999999999999999E-9</v>
      </c>
      <c r="O76">
        <v>1000</v>
      </c>
    </row>
    <row r="77" spans="1:15" x14ac:dyDescent="0.2">
      <c r="A77">
        <v>77</v>
      </c>
      <c r="B77" s="11" t="s">
        <v>242</v>
      </c>
      <c r="C77" t="s">
        <v>65</v>
      </c>
      <c r="D77" t="s">
        <v>226</v>
      </c>
      <c r="E77" t="s">
        <v>69</v>
      </c>
      <c r="F77" t="s">
        <v>149</v>
      </c>
      <c r="G77" t="s">
        <v>1</v>
      </c>
      <c r="H77" t="s">
        <v>69</v>
      </c>
      <c r="I77">
        <f>0.0000000009</f>
        <v>8.9999999999999999E-10</v>
      </c>
      <c r="O77">
        <v>1000</v>
      </c>
    </row>
    <row r="78" spans="1:15" x14ac:dyDescent="0.2">
      <c r="A78">
        <v>78</v>
      </c>
      <c r="B78" s="11" t="s">
        <v>243</v>
      </c>
      <c r="C78" t="s">
        <v>65</v>
      </c>
      <c r="D78" t="s">
        <v>226</v>
      </c>
      <c r="E78" t="s">
        <v>69</v>
      </c>
      <c r="F78" t="s">
        <v>232</v>
      </c>
      <c r="G78" t="s">
        <v>1</v>
      </c>
      <c r="H78" t="s">
        <v>69</v>
      </c>
      <c r="I78">
        <f>0.0000000018</f>
        <v>1.8E-9</v>
      </c>
      <c r="O78">
        <v>1000</v>
      </c>
    </row>
    <row r="79" spans="1:15" x14ac:dyDescent="0.2">
      <c r="A79">
        <v>79</v>
      </c>
      <c r="B79" s="11" t="s">
        <v>175</v>
      </c>
      <c r="C79" t="s">
        <v>173</v>
      </c>
      <c r="D79" t="s">
        <v>5</v>
      </c>
      <c r="E79" t="s">
        <v>69</v>
      </c>
      <c r="F79" t="s">
        <v>149</v>
      </c>
      <c r="G79" t="s">
        <v>3</v>
      </c>
      <c r="H79" t="s">
        <v>69</v>
      </c>
      <c r="I79">
        <f>0.00000000001</f>
        <v>9.9999999999999994E-12</v>
      </c>
      <c r="O79">
        <v>1000</v>
      </c>
    </row>
    <row r="80" spans="1:15" x14ac:dyDescent="0.2">
      <c r="A80">
        <v>80</v>
      </c>
      <c r="B80" s="11" t="s">
        <v>244</v>
      </c>
      <c r="C80" t="s">
        <v>66</v>
      </c>
      <c r="D80" t="s">
        <v>226</v>
      </c>
      <c r="E80" t="s">
        <v>69</v>
      </c>
      <c r="F80" t="s">
        <v>162</v>
      </c>
      <c r="G80" t="s">
        <v>6</v>
      </c>
      <c r="H80" t="s">
        <v>69</v>
      </c>
      <c r="I80">
        <f>0.00000000038</f>
        <v>3.7999999999999998E-10</v>
      </c>
      <c r="O80">
        <v>1000</v>
      </c>
    </row>
    <row r="81" spans="1:15" x14ac:dyDescent="0.2">
      <c r="A81">
        <v>81</v>
      </c>
      <c r="B81" s="11" t="s">
        <v>245</v>
      </c>
      <c r="C81" t="s">
        <v>66</v>
      </c>
      <c r="D81" t="s">
        <v>226</v>
      </c>
      <c r="E81" t="s">
        <v>69</v>
      </c>
      <c r="F81" t="s">
        <v>61</v>
      </c>
      <c r="G81" t="s">
        <v>143</v>
      </c>
      <c r="H81" t="s">
        <v>69</v>
      </c>
      <c r="I81">
        <f>0.00000000062</f>
        <v>6.2000000000000003E-10</v>
      </c>
      <c r="O81">
        <v>1000</v>
      </c>
    </row>
    <row r="82" spans="1:15" x14ac:dyDescent="0.2">
      <c r="A82">
        <v>82</v>
      </c>
      <c r="B82" s="11" t="s">
        <v>176</v>
      </c>
      <c r="C82" t="s">
        <v>66</v>
      </c>
      <c r="D82" t="s">
        <v>127</v>
      </c>
      <c r="E82" t="s">
        <v>69</v>
      </c>
      <c r="F82" t="s">
        <v>149</v>
      </c>
      <c r="G82" t="s">
        <v>7</v>
      </c>
      <c r="H82" t="s">
        <v>69</v>
      </c>
      <c r="I82">
        <f>0.00000000091</f>
        <v>9.0999999999999996E-10</v>
      </c>
      <c r="O82">
        <v>1000</v>
      </c>
    </row>
    <row r="83" spans="1:15" x14ac:dyDescent="0.2">
      <c r="A83">
        <v>83</v>
      </c>
      <c r="B83" s="11" t="s">
        <v>177</v>
      </c>
      <c r="C83" t="s">
        <v>115</v>
      </c>
      <c r="D83" t="s">
        <v>5</v>
      </c>
      <c r="E83" t="s">
        <v>69</v>
      </c>
      <c r="F83" t="s">
        <v>162</v>
      </c>
      <c r="G83" t="s">
        <v>6</v>
      </c>
      <c r="H83" t="s">
        <v>69</v>
      </c>
      <c r="I83">
        <f>0.000000000052</f>
        <v>5.2000000000000001E-11</v>
      </c>
      <c r="O83">
        <v>1000</v>
      </c>
    </row>
    <row r="84" spans="1:15" x14ac:dyDescent="0.2">
      <c r="A84">
        <v>84</v>
      </c>
      <c r="B84" s="11" t="s">
        <v>246</v>
      </c>
      <c r="C84" t="s">
        <v>61</v>
      </c>
      <c r="D84" t="s">
        <v>290</v>
      </c>
      <c r="E84" t="s">
        <v>69</v>
      </c>
      <c r="F84" t="s">
        <v>232</v>
      </c>
      <c r="G84" t="s">
        <v>3</v>
      </c>
      <c r="H84" t="s">
        <v>69</v>
      </c>
      <c r="I84">
        <f>0.000000000027</f>
        <v>2.7E-11</v>
      </c>
      <c r="O84">
        <v>1000</v>
      </c>
    </row>
    <row r="85" spans="1:15" x14ac:dyDescent="0.2">
      <c r="A85">
        <v>85</v>
      </c>
      <c r="B85" s="11" t="s">
        <v>178</v>
      </c>
      <c r="C85" t="s">
        <v>61</v>
      </c>
      <c r="D85" t="s">
        <v>290</v>
      </c>
      <c r="E85" t="s">
        <v>69</v>
      </c>
      <c r="F85" t="s">
        <v>149</v>
      </c>
      <c r="G85" t="s">
        <v>3</v>
      </c>
      <c r="H85" t="s">
        <v>69</v>
      </c>
      <c r="I85">
        <f>0.0000000017</f>
        <v>1.6999999999999999E-9</v>
      </c>
      <c r="O85">
        <v>1000</v>
      </c>
    </row>
    <row r="86" spans="1:15" x14ac:dyDescent="0.2">
      <c r="A86">
        <v>86</v>
      </c>
      <c r="B86" s="11" t="s">
        <v>179</v>
      </c>
      <c r="C86" t="s">
        <v>149</v>
      </c>
      <c r="D86" t="s">
        <v>5</v>
      </c>
      <c r="E86" t="s">
        <v>69</v>
      </c>
      <c r="F86" t="s">
        <v>61</v>
      </c>
      <c r="G86" t="s">
        <v>75</v>
      </c>
      <c r="H86" t="s">
        <v>69</v>
      </c>
      <c r="I86">
        <f>0.0000000011</f>
        <v>1.0999999999999999E-9</v>
      </c>
      <c r="O86">
        <v>1000</v>
      </c>
    </row>
    <row r="87" spans="1:15" x14ac:dyDescent="0.2">
      <c r="A87">
        <v>87</v>
      </c>
      <c r="B87" s="11" t="s">
        <v>180</v>
      </c>
      <c r="C87" t="s">
        <v>149</v>
      </c>
      <c r="D87" t="s">
        <v>65</v>
      </c>
      <c r="E87" t="s">
        <v>69</v>
      </c>
      <c r="F87" t="s">
        <v>61</v>
      </c>
      <c r="G87" t="s">
        <v>173</v>
      </c>
      <c r="H87" t="s">
        <v>69</v>
      </c>
      <c r="I87">
        <f>0.0000000025</f>
        <v>2.5000000000000001E-9</v>
      </c>
      <c r="O87">
        <v>1000</v>
      </c>
    </row>
    <row r="88" spans="1:15" x14ac:dyDescent="0.2">
      <c r="A88">
        <v>88</v>
      </c>
      <c r="B88" s="11" t="s">
        <v>129</v>
      </c>
      <c r="C88" t="s">
        <v>3</v>
      </c>
      <c r="D88" t="s">
        <v>108</v>
      </c>
      <c r="E88" t="s">
        <v>69</v>
      </c>
      <c r="F88" t="s">
        <v>4</v>
      </c>
      <c r="G88" t="s">
        <v>117</v>
      </c>
      <c r="H88" t="s">
        <v>69</v>
      </c>
      <c r="I88" s="1">
        <f>0.0000000000000072</f>
        <v>7.2000000000000002E-15</v>
      </c>
      <c r="O88">
        <v>1000</v>
      </c>
    </row>
    <row r="89" spans="1:15" x14ac:dyDescent="0.2">
      <c r="A89">
        <v>89</v>
      </c>
      <c r="B89" s="11" t="s">
        <v>130</v>
      </c>
      <c r="C89" t="s">
        <v>3</v>
      </c>
      <c r="D89" t="s">
        <v>108</v>
      </c>
      <c r="E89" t="s">
        <v>69</v>
      </c>
      <c r="F89" t="s">
        <v>4</v>
      </c>
      <c r="G89" t="s">
        <v>1</v>
      </c>
      <c r="H89" t="s">
        <v>1</v>
      </c>
      <c r="I89">
        <f>0.000000000000037 * EXP(-35/O89)</f>
        <v>3.5727400401529958E-14</v>
      </c>
      <c r="O89">
        <v>1000</v>
      </c>
    </row>
    <row r="90" spans="1:15" x14ac:dyDescent="0.2">
      <c r="A90">
        <v>90</v>
      </c>
      <c r="B90" s="11" t="s">
        <v>98</v>
      </c>
      <c r="C90" t="s">
        <v>62</v>
      </c>
      <c r="D90" t="s">
        <v>88</v>
      </c>
      <c r="E90" t="s">
        <v>69</v>
      </c>
      <c r="F90" t="s">
        <v>75</v>
      </c>
      <c r="G90" t="s">
        <v>1</v>
      </c>
      <c r="H90" t="s">
        <v>69</v>
      </c>
      <c r="I90" s="1">
        <f>0.0000000019</f>
        <v>1.9000000000000001E-9</v>
      </c>
      <c r="O90">
        <v>1000</v>
      </c>
    </row>
    <row r="91" spans="1:15" x14ac:dyDescent="0.2">
      <c r="A91">
        <v>91</v>
      </c>
      <c r="B91" s="11" t="s">
        <v>131</v>
      </c>
      <c r="C91" t="s">
        <v>63</v>
      </c>
      <c r="D91" t="s">
        <v>88</v>
      </c>
      <c r="E91" t="s">
        <v>69</v>
      </c>
      <c r="F91" t="s">
        <v>127</v>
      </c>
      <c r="G91" t="s">
        <v>1</v>
      </c>
      <c r="H91" t="s">
        <v>69</v>
      </c>
      <c r="I91" s="1">
        <f>0.0000000014</f>
        <v>1.3999999999999999E-9</v>
      </c>
      <c r="O91">
        <v>1000</v>
      </c>
    </row>
    <row r="92" spans="1:15" x14ac:dyDescent="0.2">
      <c r="A92">
        <v>92</v>
      </c>
      <c r="B92" s="11" t="s">
        <v>247</v>
      </c>
      <c r="C92" t="s">
        <v>63</v>
      </c>
      <c r="D92" t="s">
        <v>108</v>
      </c>
      <c r="E92" t="s">
        <v>69</v>
      </c>
      <c r="F92" t="s">
        <v>226</v>
      </c>
      <c r="G92" t="s">
        <v>4</v>
      </c>
      <c r="H92" t="s">
        <v>3</v>
      </c>
      <c r="I92" s="1">
        <f>0.00000000075</f>
        <v>7.5E-10</v>
      </c>
      <c r="O92">
        <v>1000</v>
      </c>
    </row>
    <row r="93" spans="1:15" x14ac:dyDescent="0.2">
      <c r="A93">
        <v>93</v>
      </c>
      <c r="B93" s="11" t="s">
        <v>248</v>
      </c>
      <c r="C93" t="s">
        <v>64</v>
      </c>
      <c r="D93" t="s">
        <v>108</v>
      </c>
      <c r="E93" t="s">
        <v>69</v>
      </c>
      <c r="F93" t="s">
        <v>226</v>
      </c>
      <c r="G93" t="s">
        <v>4</v>
      </c>
      <c r="H93" t="s">
        <v>3</v>
      </c>
      <c r="I93" s="1">
        <f>0.0000000016</f>
        <v>1.6000000000000001E-9</v>
      </c>
      <c r="O93">
        <v>1000</v>
      </c>
    </row>
    <row r="94" spans="1:15" x14ac:dyDescent="0.2">
      <c r="A94">
        <v>94</v>
      </c>
      <c r="B94" s="11" t="s">
        <v>99</v>
      </c>
      <c r="C94" t="s">
        <v>7</v>
      </c>
      <c r="D94" t="s">
        <v>88</v>
      </c>
      <c r="E94" t="s">
        <v>69</v>
      </c>
      <c r="F94" t="s">
        <v>97</v>
      </c>
      <c r="G94" t="s">
        <v>1</v>
      </c>
      <c r="H94" t="s">
        <v>69</v>
      </c>
      <c r="I94" s="1">
        <f>0.0000000021</f>
        <v>2.1000000000000002E-9</v>
      </c>
      <c r="O94">
        <v>1000</v>
      </c>
    </row>
    <row r="95" spans="1:15" x14ac:dyDescent="0.2">
      <c r="A95">
        <v>95</v>
      </c>
      <c r="B95" s="11" t="s">
        <v>181</v>
      </c>
      <c r="C95" t="s">
        <v>7</v>
      </c>
      <c r="D95" t="s">
        <v>108</v>
      </c>
      <c r="E95" t="s">
        <v>69</v>
      </c>
      <c r="F95" t="s">
        <v>143</v>
      </c>
      <c r="G95" t="s">
        <v>4</v>
      </c>
      <c r="H95" t="s">
        <v>1</v>
      </c>
      <c r="I95" s="1">
        <f>0.0000000011</f>
        <v>1.0999999999999999E-9</v>
      </c>
      <c r="O95">
        <v>1000</v>
      </c>
    </row>
    <row r="96" spans="1:15" x14ac:dyDescent="0.2">
      <c r="A96">
        <v>96</v>
      </c>
      <c r="B96" s="11" t="s">
        <v>182</v>
      </c>
      <c r="C96" t="s">
        <v>65</v>
      </c>
      <c r="D96" t="s">
        <v>88</v>
      </c>
      <c r="E96" t="s">
        <v>69</v>
      </c>
      <c r="F96" t="s">
        <v>170</v>
      </c>
      <c r="G96" t="s">
        <v>1</v>
      </c>
      <c r="H96" t="s">
        <v>69</v>
      </c>
      <c r="I96" s="1">
        <f>0.0000000069</f>
        <v>6.8999999999999997E-9</v>
      </c>
      <c r="O96">
        <v>1000</v>
      </c>
    </row>
    <row r="97" spans="1:15" x14ac:dyDescent="0.2">
      <c r="A97">
        <v>97</v>
      </c>
      <c r="B97" s="11" t="s">
        <v>183</v>
      </c>
      <c r="C97" t="s">
        <v>65</v>
      </c>
      <c r="D97" t="s">
        <v>108</v>
      </c>
      <c r="E97" t="s">
        <v>69</v>
      </c>
      <c r="F97" t="s">
        <v>7</v>
      </c>
      <c r="G97" t="s">
        <v>4</v>
      </c>
      <c r="H97" t="s">
        <v>88</v>
      </c>
      <c r="I97" s="1">
        <f>0.000000000204</f>
        <v>2.0399999999999999E-10</v>
      </c>
      <c r="O97">
        <v>1000</v>
      </c>
    </row>
    <row r="98" spans="1:15" x14ac:dyDescent="0.2">
      <c r="A98">
        <v>98</v>
      </c>
      <c r="B98" s="11" t="s">
        <v>184</v>
      </c>
      <c r="C98" t="s">
        <v>65</v>
      </c>
      <c r="D98" t="s">
        <v>108</v>
      </c>
      <c r="E98" t="s">
        <v>69</v>
      </c>
      <c r="F98" t="s">
        <v>97</v>
      </c>
      <c r="G98" t="s">
        <v>4</v>
      </c>
      <c r="H98" t="s">
        <v>1</v>
      </c>
      <c r="I98" s="1">
        <f>0.000000000286</f>
        <v>2.8599999999999999E-10</v>
      </c>
      <c r="O98">
        <v>1000</v>
      </c>
    </row>
    <row r="99" spans="1:15" x14ac:dyDescent="0.2">
      <c r="A99">
        <v>99</v>
      </c>
      <c r="B99" s="11" t="s">
        <v>185</v>
      </c>
      <c r="C99" t="s">
        <v>65</v>
      </c>
      <c r="D99" t="s">
        <v>108</v>
      </c>
      <c r="E99" t="s">
        <v>69</v>
      </c>
      <c r="F99" t="s">
        <v>170</v>
      </c>
      <c r="G99" t="s">
        <v>4</v>
      </c>
      <c r="H99" t="s">
        <v>69</v>
      </c>
      <c r="I99" s="1">
        <f>0.0000000000605</f>
        <v>6.0499999999999998E-11</v>
      </c>
      <c r="O99">
        <v>1000</v>
      </c>
    </row>
    <row r="100" spans="1:15" x14ac:dyDescent="0.2">
      <c r="A100">
        <v>100</v>
      </c>
      <c r="B100" s="11" t="s">
        <v>186</v>
      </c>
      <c r="C100" t="s">
        <v>66</v>
      </c>
      <c r="D100" t="s">
        <v>88</v>
      </c>
      <c r="E100" t="s">
        <v>69</v>
      </c>
      <c r="F100" t="s">
        <v>115</v>
      </c>
      <c r="G100" t="s">
        <v>1</v>
      </c>
      <c r="H100" t="s">
        <v>69</v>
      </c>
      <c r="I100" s="1">
        <f>0.000000002</f>
        <v>2.0000000000000001E-9</v>
      </c>
      <c r="O100">
        <v>1000</v>
      </c>
    </row>
    <row r="101" spans="1:15" x14ac:dyDescent="0.2">
      <c r="A101">
        <v>101</v>
      </c>
      <c r="B101" s="11" t="s">
        <v>187</v>
      </c>
      <c r="C101" t="s">
        <v>66</v>
      </c>
      <c r="D101" t="s">
        <v>108</v>
      </c>
      <c r="E101" t="s">
        <v>69</v>
      </c>
      <c r="F101" t="s">
        <v>115</v>
      </c>
      <c r="G101" t="s">
        <v>4</v>
      </c>
      <c r="H101" t="s">
        <v>69</v>
      </c>
      <c r="I101" s="1">
        <f>0.000000000033</f>
        <v>3.3000000000000002E-11</v>
      </c>
      <c r="O101">
        <v>1000</v>
      </c>
    </row>
    <row r="102" spans="1:15" x14ac:dyDescent="0.2">
      <c r="A102">
        <v>102</v>
      </c>
      <c r="B102" s="11" t="s">
        <v>188</v>
      </c>
      <c r="C102" t="s">
        <v>66</v>
      </c>
      <c r="D102" t="s">
        <v>108</v>
      </c>
      <c r="E102" t="s">
        <v>69</v>
      </c>
      <c r="F102" t="s">
        <v>143</v>
      </c>
      <c r="G102" t="s">
        <v>6</v>
      </c>
      <c r="H102" t="s">
        <v>4</v>
      </c>
      <c r="I102" s="1">
        <f>0.0000000011</f>
        <v>1.0999999999999999E-9</v>
      </c>
      <c r="O102">
        <v>1000</v>
      </c>
    </row>
    <row r="103" spans="1:15" x14ac:dyDescent="0.2">
      <c r="A103">
        <v>103</v>
      </c>
      <c r="B103" s="11" t="s">
        <v>249</v>
      </c>
      <c r="C103" t="s">
        <v>115</v>
      </c>
      <c r="D103" t="s">
        <v>5</v>
      </c>
      <c r="E103" t="s">
        <v>69</v>
      </c>
      <c r="F103" t="s">
        <v>66</v>
      </c>
      <c r="G103" t="s">
        <v>226</v>
      </c>
      <c r="H103" t="s">
        <v>69</v>
      </c>
      <c r="I103" s="1">
        <f>0.000000000052</f>
        <v>5.2000000000000001E-11</v>
      </c>
      <c r="O103">
        <v>1000</v>
      </c>
    </row>
    <row r="104" spans="1:15" x14ac:dyDescent="0.2">
      <c r="A104">
        <v>104</v>
      </c>
      <c r="B104" s="11" t="s">
        <v>250</v>
      </c>
      <c r="C104" t="s">
        <v>61</v>
      </c>
      <c r="D104" t="s">
        <v>108</v>
      </c>
      <c r="E104" t="s">
        <v>69</v>
      </c>
      <c r="F104" t="s">
        <v>226</v>
      </c>
      <c r="G104" t="s">
        <v>6</v>
      </c>
      <c r="H104" t="s">
        <v>4</v>
      </c>
      <c r="I104">
        <f>10000-9*(O104/300)^(-0.5)</f>
        <v>9995.0704969824528</v>
      </c>
      <c r="O104">
        <v>1000</v>
      </c>
    </row>
    <row r="105" spans="1:15" x14ac:dyDescent="0.2">
      <c r="A105">
        <v>105</v>
      </c>
      <c r="B105" s="11" t="s">
        <v>251</v>
      </c>
      <c r="C105" t="s">
        <v>61</v>
      </c>
      <c r="D105" t="s">
        <v>108</v>
      </c>
      <c r="E105" t="s">
        <v>69</v>
      </c>
      <c r="F105" t="s">
        <v>5</v>
      </c>
      <c r="G105" t="s">
        <v>143</v>
      </c>
      <c r="H105" t="s">
        <v>4</v>
      </c>
      <c r="I105">
        <f>0.00000000000000014 * (O105/300)^(-0.5)</f>
        <v>7.6681158050723257E-17</v>
      </c>
      <c r="O105">
        <v>1000</v>
      </c>
    </row>
    <row r="106" spans="1:15" x14ac:dyDescent="0.2">
      <c r="A106">
        <v>106</v>
      </c>
      <c r="B106" s="11" t="s">
        <v>189</v>
      </c>
      <c r="C106" t="s">
        <v>162</v>
      </c>
      <c r="D106" t="s">
        <v>1</v>
      </c>
      <c r="E106" t="s">
        <v>69</v>
      </c>
      <c r="F106" t="s">
        <v>61</v>
      </c>
      <c r="G106" t="s">
        <v>88</v>
      </c>
      <c r="H106" t="s">
        <v>69</v>
      </c>
      <c r="I106" s="1">
        <f>0.00000000075</f>
        <v>7.5E-10</v>
      </c>
      <c r="O106">
        <v>1000</v>
      </c>
    </row>
    <row r="107" spans="1:15" x14ac:dyDescent="0.2">
      <c r="A107">
        <v>107</v>
      </c>
      <c r="B107" s="11" t="s">
        <v>280</v>
      </c>
      <c r="C107" t="s">
        <v>281</v>
      </c>
      <c r="D107" t="s">
        <v>88</v>
      </c>
      <c r="E107" t="s">
        <v>69</v>
      </c>
      <c r="F107" t="s">
        <v>5</v>
      </c>
      <c r="G107" t="s">
        <v>1</v>
      </c>
      <c r="H107" t="s">
        <v>69</v>
      </c>
      <c r="I107">
        <f>0.00000023 * (O107/300)^(-0.5)</f>
        <v>1.2597618822618819E-7</v>
      </c>
      <c r="O107">
        <v>1000</v>
      </c>
    </row>
    <row r="108" spans="1:15" x14ac:dyDescent="0.2">
      <c r="A108">
        <v>108</v>
      </c>
      <c r="B108" s="11" t="s">
        <v>285</v>
      </c>
      <c r="C108" t="s">
        <v>286</v>
      </c>
      <c r="D108" t="s">
        <v>88</v>
      </c>
      <c r="E108" t="s">
        <v>69</v>
      </c>
      <c r="F108" t="s">
        <v>6</v>
      </c>
      <c r="G108" t="s">
        <v>1</v>
      </c>
      <c r="H108" t="s">
        <v>69</v>
      </c>
      <c r="I108">
        <f>0.00000023 * (O108/300)^(-0.5)</f>
        <v>1.2597618822618819E-7</v>
      </c>
      <c r="O108">
        <v>1000</v>
      </c>
    </row>
    <row r="109" spans="1:15" x14ac:dyDescent="0.2">
      <c r="A109">
        <v>109</v>
      </c>
      <c r="B109" s="11" t="s">
        <v>276</v>
      </c>
      <c r="C109" t="s">
        <v>108</v>
      </c>
      <c r="D109" t="s">
        <v>275</v>
      </c>
      <c r="E109" t="s">
        <v>69</v>
      </c>
      <c r="F109" t="s">
        <v>4</v>
      </c>
      <c r="G109" t="s">
        <v>1</v>
      </c>
      <c r="H109" t="s">
        <v>69</v>
      </c>
      <c r="I109">
        <f>0.000000232 * (O109/300)^(-0.52) * EXP(O109/22400)</f>
        <v>1.2971170974564098E-7</v>
      </c>
      <c r="O109">
        <v>1000</v>
      </c>
    </row>
    <row r="110" spans="1:15" x14ac:dyDescent="0.2">
      <c r="A110">
        <v>110</v>
      </c>
      <c r="B110" s="11" t="s">
        <v>132</v>
      </c>
      <c r="C110" t="s">
        <v>290</v>
      </c>
      <c r="D110" t="s">
        <v>72</v>
      </c>
      <c r="E110" t="s">
        <v>69</v>
      </c>
      <c r="F110" t="s">
        <v>3</v>
      </c>
      <c r="G110" t="s">
        <v>1</v>
      </c>
      <c r="H110" t="s">
        <v>69</v>
      </c>
      <c r="I110">
        <f>0.0000000234 * (O110/300)^(-0.52)</f>
        <v>1.2511774539685274E-8</v>
      </c>
      <c r="O110">
        <v>1000</v>
      </c>
    </row>
    <row r="111" spans="1:15" x14ac:dyDescent="0.2">
      <c r="A111">
        <v>111</v>
      </c>
      <c r="B111" s="11" t="s">
        <v>100</v>
      </c>
      <c r="C111" t="s">
        <v>290</v>
      </c>
      <c r="D111" t="s">
        <v>72</v>
      </c>
      <c r="E111" t="s">
        <v>69</v>
      </c>
      <c r="F111" t="s">
        <v>1</v>
      </c>
      <c r="G111" t="s">
        <v>1</v>
      </c>
      <c r="H111" t="s">
        <v>1</v>
      </c>
      <c r="I111">
        <f>0.0000000436  * (O111/300)^(-0.52)</f>
        <v>2.3312537176507604E-8</v>
      </c>
      <c r="O111">
        <v>1000</v>
      </c>
    </row>
    <row r="112" spans="1:15" x14ac:dyDescent="0.2">
      <c r="A112">
        <v>112</v>
      </c>
      <c r="B112" s="11" t="s">
        <v>252</v>
      </c>
      <c r="C112" t="s">
        <v>75</v>
      </c>
      <c r="D112" t="s">
        <v>72</v>
      </c>
      <c r="E112" t="s">
        <v>69</v>
      </c>
      <c r="F112" t="s">
        <v>5</v>
      </c>
      <c r="G112" t="s">
        <v>1</v>
      </c>
      <c r="H112" t="s">
        <v>69</v>
      </c>
      <c r="I112">
        <f>0.00000007 * (O112/300)^(-0.5)</f>
        <v>3.8340579025361629E-8</v>
      </c>
      <c r="O112">
        <v>1000</v>
      </c>
    </row>
    <row r="113" spans="1:15" x14ac:dyDescent="0.2">
      <c r="A113">
        <v>113</v>
      </c>
      <c r="B113" s="11" t="s">
        <v>80</v>
      </c>
      <c r="C113" t="s">
        <v>127</v>
      </c>
      <c r="D113" t="s">
        <v>72</v>
      </c>
      <c r="E113" t="s">
        <v>69</v>
      </c>
      <c r="F113" t="s">
        <v>62</v>
      </c>
      <c r="G113" t="s">
        <v>1</v>
      </c>
      <c r="H113" t="s">
        <v>69</v>
      </c>
      <c r="I113">
        <f>0.00000016 * (O113/300)^(-0.6)</f>
        <v>7.7694939972832625E-8</v>
      </c>
      <c r="O113">
        <v>1000</v>
      </c>
    </row>
    <row r="114" spans="1:15" x14ac:dyDescent="0.2">
      <c r="A114">
        <v>114</v>
      </c>
      <c r="B114" s="11" t="s">
        <v>253</v>
      </c>
      <c r="C114" t="s">
        <v>127</v>
      </c>
      <c r="D114" t="s">
        <v>72</v>
      </c>
      <c r="E114" t="s">
        <v>69</v>
      </c>
      <c r="F114" t="s">
        <v>5</v>
      </c>
      <c r="G114" t="s">
        <v>1</v>
      </c>
      <c r="H114" t="s">
        <v>1</v>
      </c>
      <c r="I114">
        <f>0.000000403 * (O114/300)^(-0.6)</f>
        <v>1.9569413005657217E-7</v>
      </c>
      <c r="O114">
        <v>1000</v>
      </c>
    </row>
    <row r="115" spans="1:15" x14ac:dyDescent="0.2">
      <c r="A115">
        <v>115</v>
      </c>
      <c r="B115" s="11" t="s">
        <v>254</v>
      </c>
      <c r="C115" t="s">
        <v>127</v>
      </c>
      <c r="D115" t="s">
        <v>72</v>
      </c>
      <c r="E115" t="s">
        <v>69</v>
      </c>
      <c r="F115" t="s">
        <v>5</v>
      </c>
      <c r="G115" t="s">
        <v>3</v>
      </c>
      <c r="H115" t="s">
        <v>69</v>
      </c>
      <c r="I115">
        <f>0.0000000768 * (O115/300)^(-0.6)</f>
        <v>3.7293571186959655E-8</v>
      </c>
      <c r="O115">
        <v>1000</v>
      </c>
    </row>
    <row r="116" spans="1:15" x14ac:dyDescent="0.2">
      <c r="A116">
        <v>116</v>
      </c>
      <c r="B116" s="11" t="s">
        <v>133</v>
      </c>
      <c r="C116" t="s">
        <v>224</v>
      </c>
      <c r="D116" t="s">
        <v>72</v>
      </c>
      <c r="E116" t="s">
        <v>69</v>
      </c>
      <c r="F116" t="s">
        <v>63</v>
      </c>
      <c r="G116" t="s">
        <v>1</v>
      </c>
      <c r="H116" t="s">
        <v>69</v>
      </c>
      <c r="I116">
        <f>0.0000000775 * (O116/300)^(-0.5)</f>
        <v>4.2448498206650367E-8</v>
      </c>
      <c r="O116">
        <v>1000</v>
      </c>
    </row>
    <row r="117" spans="1:15" x14ac:dyDescent="0.2">
      <c r="A117">
        <v>117</v>
      </c>
      <c r="B117" s="11" t="s">
        <v>81</v>
      </c>
      <c r="C117" t="s">
        <v>224</v>
      </c>
      <c r="D117" t="s">
        <v>72</v>
      </c>
      <c r="E117" t="s">
        <v>69</v>
      </c>
      <c r="F117" t="s">
        <v>62</v>
      </c>
      <c r="G117" t="s">
        <v>3</v>
      </c>
      <c r="H117" t="s">
        <v>69</v>
      </c>
      <c r="I117">
        <f>0.000000195 * (O117/300)^(-0.5)</f>
        <v>1.0680589871350739E-7</v>
      </c>
      <c r="O117">
        <v>1000</v>
      </c>
    </row>
    <row r="118" spans="1:15" x14ac:dyDescent="0.2">
      <c r="A118">
        <v>118</v>
      </c>
      <c r="B118" s="11" t="s">
        <v>101</v>
      </c>
      <c r="C118" t="s">
        <v>224</v>
      </c>
      <c r="D118" t="s">
        <v>72</v>
      </c>
      <c r="E118" t="s">
        <v>69</v>
      </c>
      <c r="F118" t="s">
        <v>62</v>
      </c>
      <c r="G118" t="s">
        <v>1</v>
      </c>
      <c r="H118" t="s">
        <v>1</v>
      </c>
      <c r="I118">
        <f>0.0000002 * (O118/300)^(-0.4)</f>
        <v>1.2356017011348236E-7</v>
      </c>
      <c r="O118">
        <v>1000</v>
      </c>
    </row>
    <row r="119" spans="1:15" x14ac:dyDescent="0.2">
      <c r="A119">
        <v>119</v>
      </c>
      <c r="B119" s="11" t="s">
        <v>190</v>
      </c>
      <c r="C119" t="s">
        <v>97</v>
      </c>
      <c r="D119" t="s">
        <v>72</v>
      </c>
      <c r="E119" t="s">
        <v>69</v>
      </c>
      <c r="F119" t="s">
        <v>6</v>
      </c>
      <c r="G119" t="s">
        <v>1</v>
      </c>
      <c r="H119" t="s">
        <v>69</v>
      </c>
      <c r="I119">
        <f>0.0000000063 * (O119/300)^(-0.48)</f>
        <v>3.5347503952954443E-9</v>
      </c>
      <c r="O119">
        <v>1000</v>
      </c>
    </row>
    <row r="120" spans="1:15" x14ac:dyDescent="0.2">
      <c r="A120">
        <v>120</v>
      </c>
      <c r="B120" s="11" t="s">
        <v>191</v>
      </c>
      <c r="C120" t="s">
        <v>170</v>
      </c>
      <c r="D120" t="s">
        <v>72</v>
      </c>
      <c r="E120" t="s">
        <v>69</v>
      </c>
      <c r="F120" t="s">
        <v>6</v>
      </c>
      <c r="G120" t="s">
        <v>1</v>
      </c>
      <c r="H120" t="s">
        <v>1</v>
      </c>
      <c r="I120">
        <f>0.000000305 * (O120/300)^(-0.5)</f>
        <v>1.6705538003907565E-7</v>
      </c>
      <c r="O120">
        <v>1000</v>
      </c>
    </row>
    <row r="121" spans="1:15" x14ac:dyDescent="0.2">
      <c r="A121">
        <v>121</v>
      </c>
      <c r="B121" s="11" t="s">
        <v>192</v>
      </c>
      <c r="C121" t="s">
        <v>170</v>
      </c>
      <c r="D121" t="s">
        <v>72</v>
      </c>
      <c r="E121" t="s">
        <v>69</v>
      </c>
      <c r="F121" t="s">
        <v>6</v>
      </c>
      <c r="G121" t="s">
        <v>3</v>
      </c>
      <c r="H121" t="s">
        <v>69</v>
      </c>
      <c r="I121">
        <f>0.000000039 * (O121/300)^(-0.5)</f>
        <v>2.1361179742701476E-8</v>
      </c>
      <c r="O121">
        <v>1000</v>
      </c>
    </row>
    <row r="122" spans="1:15" x14ac:dyDescent="0.2">
      <c r="A122">
        <v>122</v>
      </c>
      <c r="B122" s="11" t="s">
        <v>193</v>
      </c>
      <c r="C122" t="s">
        <v>170</v>
      </c>
      <c r="D122" t="s">
        <v>72</v>
      </c>
      <c r="E122" t="s">
        <v>69</v>
      </c>
      <c r="F122" t="s">
        <v>7</v>
      </c>
      <c r="G122" t="s">
        <v>1</v>
      </c>
      <c r="H122" t="s">
        <v>69</v>
      </c>
      <c r="I122">
        <f>0.000000086 * (O122/300)^(-0.5)</f>
        <v>4.7104139945444283E-8</v>
      </c>
      <c r="O122">
        <v>1000</v>
      </c>
    </row>
    <row r="123" spans="1:15" x14ac:dyDescent="0.2">
      <c r="A123">
        <v>123</v>
      </c>
      <c r="B123" s="11" t="s">
        <v>194</v>
      </c>
      <c r="C123" t="s">
        <v>173</v>
      </c>
      <c r="D123" t="s">
        <v>72</v>
      </c>
      <c r="E123" t="s">
        <v>69</v>
      </c>
      <c r="F123" t="s">
        <v>1</v>
      </c>
      <c r="G123" t="s">
        <v>65</v>
      </c>
      <c r="H123" t="s">
        <v>69</v>
      </c>
      <c r="I123">
        <f>0.000000108 * (O123/300)^(-0.5)</f>
        <v>5.9154036210557938E-8</v>
      </c>
      <c r="O123">
        <v>1000</v>
      </c>
    </row>
    <row r="124" spans="1:15" x14ac:dyDescent="0.2">
      <c r="A124">
        <v>124</v>
      </c>
      <c r="B124" s="11" t="s">
        <v>195</v>
      </c>
      <c r="C124" t="s">
        <v>173</v>
      </c>
      <c r="D124" t="s">
        <v>72</v>
      </c>
      <c r="E124" t="s">
        <v>69</v>
      </c>
      <c r="F124" t="s">
        <v>7</v>
      </c>
      <c r="G124" t="s">
        <v>3</v>
      </c>
      <c r="H124" t="s">
        <v>69</v>
      </c>
      <c r="I124">
        <f>0.0000000602 * (O124/300)^(-0.5)</f>
        <v>3.2972897961810998E-8</v>
      </c>
      <c r="O124">
        <v>1000</v>
      </c>
    </row>
    <row r="125" spans="1:15" x14ac:dyDescent="0.2">
      <c r="A125">
        <v>125</v>
      </c>
      <c r="B125" s="11" t="s">
        <v>196</v>
      </c>
      <c r="C125" t="s">
        <v>173</v>
      </c>
      <c r="D125" t="s">
        <v>72</v>
      </c>
      <c r="E125" t="s">
        <v>69</v>
      </c>
      <c r="F125" t="s">
        <v>7</v>
      </c>
      <c r="G125" t="s">
        <v>1</v>
      </c>
      <c r="H125" t="s">
        <v>1</v>
      </c>
      <c r="I125">
        <f>0.000000258 * (O125/300)^(-0.5)</f>
        <v>1.4131241983633286E-7</v>
      </c>
      <c r="O125">
        <v>1000</v>
      </c>
    </row>
    <row r="126" spans="1:15" x14ac:dyDescent="0.2">
      <c r="A126">
        <v>126</v>
      </c>
      <c r="B126" s="11" t="s">
        <v>197</v>
      </c>
      <c r="C126" t="s">
        <v>173</v>
      </c>
      <c r="D126" t="s">
        <v>72</v>
      </c>
      <c r="E126" t="s">
        <v>69</v>
      </c>
      <c r="F126" t="s">
        <v>6</v>
      </c>
      <c r="G126" t="s">
        <v>1</v>
      </c>
      <c r="H126" t="s">
        <v>3</v>
      </c>
      <c r="I126">
        <f>0.0000000056 * (O126/300)^(-0.5)</f>
        <v>3.06724632202893E-9</v>
      </c>
      <c r="O126">
        <v>1000</v>
      </c>
    </row>
    <row r="127" spans="1:15" x14ac:dyDescent="0.2">
      <c r="A127">
        <v>127</v>
      </c>
      <c r="B127" s="11" t="s">
        <v>198</v>
      </c>
      <c r="C127" t="s">
        <v>115</v>
      </c>
      <c r="D127" t="s">
        <v>72</v>
      </c>
      <c r="E127" t="s">
        <v>69</v>
      </c>
      <c r="F127" t="s">
        <v>6</v>
      </c>
      <c r="G127" t="s">
        <v>6</v>
      </c>
      <c r="H127" t="s">
        <v>69</v>
      </c>
      <c r="I127">
        <f>0.000000195 * (O127/300)^(-0.7)</f>
        <v>8.3949765948737174E-8</v>
      </c>
      <c r="O127">
        <v>1000</v>
      </c>
    </row>
    <row r="128" spans="1:15" x14ac:dyDescent="0.2">
      <c r="A128">
        <v>128</v>
      </c>
      <c r="B128" s="11" t="s">
        <v>255</v>
      </c>
      <c r="C128" t="s">
        <v>162</v>
      </c>
      <c r="D128" t="s">
        <v>72</v>
      </c>
      <c r="E128" t="s">
        <v>69</v>
      </c>
      <c r="F128" t="s">
        <v>5</v>
      </c>
      <c r="G128" t="s">
        <v>6</v>
      </c>
      <c r="H128" t="s">
        <v>69</v>
      </c>
      <c r="I128">
        <f>0.000000275 * (O128/300)^(-0.55)</f>
        <v>1.4182388697235835E-7</v>
      </c>
      <c r="O128">
        <v>1000</v>
      </c>
    </row>
    <row r="129" spans="1:15" x14ac:dyDescent="0.2">
      <c r="A129">
        <v>129</v>
      </c>
      <c r="B129" s="11" t="s">
        <v>199</v>
      </c>
      <c r="C129" t="s">
        <v>149</v>
      </c>
      <c r="D129" t="s">
        <v>72</v>
      </c>
      <c r="E129" t="s">
        <v>69</v>
      </c>
      <c r="F129" t="s">
        <v>61</v>
      </c>
      <c r="G129" t="s">
        <v>1</v>
      </c>
      <c r="H129" t="s">
        <v>69</v>
      </c>
      <c r="I129">
        <f>0.000000276 * (O129/300)^(-0.64)</f>
        <v>1.2772228660465216E-7</v>
      </c>
      <c r="O129">
        <v>1000</v>
      </c>
    </row>
    <row r="130" spans="1:15" x14ac:dyDescent="0.2">
      <c r="A130">
        <v>130</v>
      </c>
      <c r="B130" s="11" t="s">
        <v>200</v>
      </c>
      <c r="C130" t="s">
        <v>149</v>
      </c>
      <c r="D130" t="s">
        <v>72</v>
      </c>
      <c r="E130" t="s">
        <v>69</v>
      </c>
      <c r="F130" t="s">
        <v>7</v>
      </c>
      <c r="G130" t="s">
        <v>5</v>
      </c>
      <c r="H130" t="s">
        <v>69</v>
      </c>
      <c r="I130">
        <f>0.000000024 * (O130/300)^(-0.64)</f>
        <v>1.1106285791708883E-8</v>
      </c>
      <c r="O130">
        <v>1000</v>
      </c>
    </row>
    <row r="131" spans="1:15" x14ac:dyDescent="0.2">
      <c r="A131">
        <v>131</v>
      </c>
      <c r="B131" s="11" t="s">
        <v>256</v>
      </c>
      <c r="C131" t="s">
        <v>232</v>
      </c>
      <c r="D131" t="s">
        <v>72</v>
      </c>
      <c r="E131" t="s">
        <v>69</v>
      </c>
      <c r="F131" t="s">
        <v>61</v>
      </c>
      <c r="G131" t="s">
        <v>1</v>
      </c>
      <c r="H131" t="s">
        <v>69</v>
      </c>
      <c r="I131">
        <f>0.00000011 * (O131/300)^(-1)</f>
        <v>3.2999999999999998E-8</v>
      </c>
      <c r="O131">
        <v>1000</v>
      </c>
    </row>
    <row r="132" spans="1:15" x14ac:dyDescent="0.2">
      <c r="A132">
        <v>132</v>
      </c>
      <c r="B132" s="11" t="s">
        <v>277</v>
      </c>
      <c r="C132" t="s">
        <v>275</v>
      </c>
      <c r="D132" t="s">
        <v>5</v>
      </c>
      <c r="E132" t="s">
        <v>69</v>
      </c>
      <c r="F132" t="s">
        <v>62</v>
      </c>
      <c r="G132" t="s">
        <v>72</v>
      </c>
      <c r="H132" t="s">
        <v>69</v>
      </c>
      <c r="I132" s="1">
        <f>0.000000001</f>
        <v>1.0000000000000001E-9</v>
      </c>
      <c r="O132">
        <v>1000</v>
      </c>
    </row>
    <row r="133" spans="1:15" x14ac:dyDescent="0.2">
      <c r="A133">
        <v>133</v>
      </c>
      <c r="B133" s="11" t="s">
        <v>278</v>
      </c>
      <c r="C133" t="s">
        <v>275</v>
      </c>
      <c r="D133" t="s">
        <v>6</v>
      </c>
      <c r="E133" t="s">
        <v>69</v>
      </c>
      <c r="F133" t="s">
        <v>7</v>
      </c>
      <c r="G133" t="s">
        <v>72</v>
      </c>
      <c r="H133" t="s">
        <v>69</v>
      </c>
      <c r="I133" s="1">
        <f>0.000000001</f>
        <v>1.0000000000000001E-9</v>
      </c>
      <c r="O133">
        <v>1000</v>
      </c>
    </row>
    <row r="134" spans="1:15" x14ac:dyDescent="0.2">
      <c r="A134">
        <v>134</v>
      </c>
      <c r="B134" s="11" t="s">
        <v>279</v>
      </c>
      <c r="C134" t="s">
        <v>275</v>
      </c>
      <c r="D134" t="s">
        <v>7</v>
      </c>
      <c r="E134" t="s">
        <v>69</v>
      </c>
      <c r="F134" t="s">
        <v>65</v>
      </c>
      <c r="G134" t="s">
        <v>72</v>
      </c>
      <c r="H134" t="s">
        <v>69</v>
      </c>
      <c r="I134" s="1">
        <f>0.0000000001</f>
        <v>1E-10</v>
      </c>
      <c r="O134">
        <v>1000</v>
      </c>
    </row>
    <row r="135" spans="1:15" x14ac:dyDescent="0.2">
      <c r="A135">
        <v>135</v>
      </c>
      <c r="B135" s="11" t="s">
        <v>282</v>
      </c>
      <c r="C135" t="s">
        <v>281</v>
      </c>
      <c r="D135" t="s">
        <v>1</v>
      </c>
      <c r="E135" t="s">
        <v>69</v>
      </c>
      <c r="F135" t="s">
        <v>62</v>
      </c>
      <c r="G135" t="s">
        <v>72</v>
      </c>
      <c r="H135" t="s">
        <v>69</v>
      </c>
      <c r="I135" s="1">
        <f>0.0000000005</f>
        <v>5.0000000000000003E-10</v>
      </c>
      <c r="O135">
        <v>1000</v>
      </c>
    </row>
    <row r="136" spans="1:15" x14ac:dyDescent="0.2">
      <c r="A136">
        <v>136</v>
      </c>
      <c r="B136" s="11" t="s">
        <v>283</v>
      </c>
      <c r="C136" t="s">
        <v>281</v>
      </c>
      <c r="D136" t="s">
        <v>3</v>
      </c>
      <c r="E136" t="s">
        <v>69</v>
      </c>
      <c r="F136" t="s">
        <v>63</v>
      </c>
      <c r="G136" t="s">
        <v>72</v>
      </c>
      <c r="H136" t="s">
        <v>69</v>
      </c>
      <c r="I136" s="1">
        <f>0.0000000000001</f>
        <v>1E-13</v>
      </c>
      <c r="O136">
        <v>1000</v>
      </c>
    </row>
    <row r="137" spans="1:15" x14ac:dyDescent="0.2">
      <c r="A137">
        <v>137</v>
      </c>
      <c r="B137" s="11" t="s">
        <v>284</v>
      </c>
      <c r="C137" t="s">
        <v>281</v>
      </c>
      <c r="D137" t="s">
        <v>6</v>
      </c>
      <c r="E137" t="s">
        <v>69</v>
      </c>
      <c r="F137" t="s">
        <v>61</v>
      </c>
      <c r="G137" t="s">
        <v>72</v>
      </c>
      <c r="H137" t="s">
        <v>69</v>
      </c>
      <c r="I137" s="1">
        <f>0.0000000005</f>
        <v>5.0000000000000003E-10</v>
      </c>
      <c r="O137">
        <v>1000</v>
      </c>
    </row>
    <row r="138" spans="1:15" x14ac:dyDescent="0.2">
      <c r="A138">
        <v>138</v>
      </c>
      <c r="B138" s="11" t="s">
        <v>287</v>
      </c>
      <c r="C138" t="s">
        <v>286</v>
      </c>
      <c r="D138" t="s">
        <v>1</v>
      </c>
      <c r="E138" t="s">
        <v>69</v>
      </c>
      <c r="F138" t="s">
        <v>7</v>
      </c>
      <c r="G138" t="s">
        <v>72</v>
      </c>
      <c r="H138" t="s">
        <v>69</v>
      </c>
      <c r="I138" s="1">
        <f>0.0000000005</f>
        <v>5.0000000000000003E-10</v>
      </c>
      <c r="O138">
        <v>1000</v>
      </c>
    </row>
    <row r="139" spans="1:15" x14ac:dyDescent="0.2">
      <c r="A139">
        <v>139</v>
      </c>
      <c r="B139" s="11" t="s">
        <v>288</v>
      </c>
      <c r="C139" t="s">
        <v>286</v>
      </c>
      <c r="D139" t="s">
        <v>3</v>
      </c>
      <c r="E139" t="s">
        <v>69</v>
      </c>
      <c r="F139" t="s">
        <v>65</v>
      </c>
      <c r="G139" t="s">
        <v>72</v>
      </c>
      <c r="H139" t="s">
        <v>69</v>
      </c>
      <c r="I139" s="1">
        <f>0.0000000007</f>
        <v>6.9999999999999996E-10</v>
      </c>
      <c r="O139">
        <v>1000</v>
      </c>
    </row>
    <row r="140" spans="1:15" x14ac:dyDescent="0.2">
      <c r="A140">
        <v>140</v>
      </c>
      <c r="B140" s="11" t="s">
        <v>289</v>
      </c>
      <c r="C140" t="s">
        <v>286</v>
      </c>
      <c r="D140" t="s">
        <v>5</v>
      </c>
      <c r="E140" t="s">
        <v>69</v>
      </c>
      <c r="F140" t="s">
        <v>61</v>
      </c>
      <c r="G140" t="s">
        <v>72</v>
      </c>
      <c r="H140" t="s">
        <v>69</v>
      </c>
      <c r="I140" s="1">
        <f>0.0000000005</f>
        <v>5.0000000000000003E-10</v>
      </c>
      <c r="O140">
        <v>1000</v>
      </c>
    </row>
    <row r="141" spans="1:15" x14ac:dyDescent="0.2">
      <c r="A141">
        <v>141</v>
      </c>
      <c r="B141" s="11" t="s">
        <v>134</v>
      </c>
      <c r="C141" t="s">
        <v>3</v>
      </c>
      <c r="D141" t="s">
        <v>88</v>
      </c>
      <c r="E141" t="s">
        <v>69</v>
      </c>
      <c r="F141" t="s">
        <v>290</v>
      </c>
      <c r="G141" t="s">
        <v>2</v>
      </c>
      <c r="H141" t="s">
        <v>69</v>
      </c>
      <c r="I141" s="1">
        <f>0.0000000000000001</f>
        <v>9.9999999999999998E-17</v>
      </c>
      <c r="O141">
        <v>1000</v>
      </c>
    </row>
    <row r="142" spans="1:15" x14ac:dyDescent="0.2">
      <c r="A142">
        <v>142</v>
      </c>
      <c r="B142" s="11" t="s">
        <v>257</v>
      </c>
      <c r="C142" t="s">
        <v>5</v>
      </c>
      <c r="D142" t="s">
        <v>72</v>
      </c>
      <c r="E142" t="s">
        <v>69</v>
      </c>
      <c r="F142" t="s">
        <v>281</v>
      </c>
      <c r="G142" t="s">
        <v>2</v>
      </c>
      <c r="H142" t="s">
        <v>69</v>
      </c>
      <c r="I142" s="1">
        <f>0.00000000000000225</f>
        <v>2.2499999999999999E-15</v>
      </c>
      <c r="O142">
        <v>1000</v>
      </c>
    </row>
    <row r="143" spans="1:15" x14ac:dyDescent="0.2">
      <c r="A143">
        <v>143</v>
      </c>
      <c r="B143" s="11" t="s">
        <v>258</v>
      </c>
      <c r="C143" t="s">
        <v>5</v>
      </c>
      <c r="D143" t="s">
        <v>1</v>
      </c>
      <c r="E143" t="s">
        <v>69</v>
      </c>
      <c r="F143" t="s">
        <v>62</v>
      </c>
      <c r="G143" t="s">
        <v>2</v>
      </c>
      <c r="H143" t="s">
        <v>69</v>
      </c>
      <c r="I143" s="1">
        <f>0.00000000000000001</f>
        <v>1.0000000000000001E-17</v>
      </c>
      <c r="O143">
        <v>1000</v>
      </c>
    </row>
    <row r="144" spans="1:15" x14ac:dyDescent="0.2">
      <c r="A144">
        <v>144</v>
      </c>
      <c r="B144" s="11" t="s">
        <v>259</v>
      </c>
      <c r="C144" t="s">
        <v>5</v>
      </c>
      <c r="D144" t="s">
        <v>3</v>
      </c>
      <c r="E144" t="s">
        <v>69</v>
      </c>
      <c r="F144" t="s">
        <v>63</v>
      </c>
      <c r="G144" t="s">
        <v>2</v>
      </c>
      <c r="H144" t="s">
        <v>69</v>
      </c>
      <c r="I144" s="1">
        <f>0.00000000000000001</f>
        <v>1.0000000000000001E-17</v>
      </c>
      <c r="O144">
        <v>1000</v>
      </c>
    </row>
    <row r="145" spans="1:15" x14ac:dyDescent="0.2">
      <c r="A145">
        <v>145</v>
      </c>
      <c r="B145" s="11" t="s">
        <v>260</v>
      </c>
      <c r="C145" t="s">
        <v>5</v>
      </c>
      <c r="D145" t="s">
        <v>5</v>
      </c>
      <c r="E145" t="s">
        <v>69</v>
      </c>
      <c r="F145" t="s">
        <v>64</v>
      </c>
      <c r="G145" t="s">
        <v>2</v>
      </c>
      <c r="H145" t="s">
        <v>69</v>
      </c>
      <c r="I145">
        <f>4360000000000000000  * (O145/300)^(0.35) * EXP(-161.3/O145)</f>
        <v>5.6551268391531796E+18</v>
      </c>
      <c r="O145">
        <v>1000</v>
      </c>
    </row>
    <row r="146" spans="1:15" ht="16" customHeight="1" x14ac:dyDescent="0.2">
      <c r="A146">
        <v>146</v>
      </c>
      <c r="B146" s="11" t="s">
        <v>261</v>
      </c>
      <c r="C146" t="s">
        <v>5</v>
      </c>
      <c r="D146" t="s">
        <v>6</v>
      </c>
      <c r="E146" t="s">
        <v>69</v>
      </c>
      <c r="F146" t="s">
        <v>61</v>
      </c>
      <c r="G146" t="s">
        <v>2</v>
      </c>
      <c r="H146" t="s">
        <v>69</v>
      </c>
      <c r="I146">
        <f>21000000000000000000</f>
        <v>2.1E+19</v>
      </c>
      <c r="J146" s="4" t="s">
        <v>39</v>
      </c>
      <c r="K146" s="4">
        <f>0.0000000000000000309 * (O146/300)^(0.33) * EXP(-1629/O146)</f>
        <v>9.0165989761611018E-18</v>
      </c>
      <c r="L146" s="4" t="s">
        <v>11</v>
      </c>
      <c r="O146">
        <v>1000</v>
      </c>
    </row>
    <row r="147" spans="1:15" x14ac:dyDescent="0.2">
      <c r="A147">
        <v>147</v>
      </c>
      <c r="B147" s="11" t="s">
        <v>262</v>
      </c>
      <c r="C147" t="s">
        <v>226</v>
      </c>
      <c r="D147" t="s">
        <v>1</v>
      </c>
      <c r="E147" t="s">
        <v>69</v>
      </c>
      <c r="F147" t="s">
        <v>75</v>
      </c>
      <c r="G147" t="s">
        <v>2</v>
      </c>
      <c r="H147" t="s">
        <v>69</v>
      </c>
      <c r="I147">
        <f>0.000000000000000446 * O147^(-0.5) * EXP(-4.93 / (O147^(2/3)) )</f>
        <v>1.3425304376850276E-17</v>
      </c>
      <c r="O147">
        <v>1000</v>
      </c>
    </row>
    <row r="148" spans="1:15" x14ac:dyDescent="0.2">
      <c r="A148">
        <v>148</v>
      </c>
      <c r="B148" s="11" t="s">
        <v>263</v>
      </c>
      <c r="C148" t="s">
        <v>226</v>
      </c>
      <c r="D148" t="s">
        <v>3</v>
      </c>
      <c r="E148" t="s">
        <v>69</v>
      </c>
      <c r="F148" t="s">
        <v>127</v>
      </c>
      <c r="G148" t="s">
        <v>2</v>
      </c>
      <c r="H148" t="s">
        <v>69</v>
      </c>
      <c r="I148">
        <f>0.0000000000000004 *(O148/300)^(-0.2)</f>
        <v>3.1440123423864911E-16</v>
      </c>
      <c r="O148">
        <v>1000</v>
      </c>
    </row>
    <row r="149" spans="1:15" ht="16" customHeight="1" x14ac:dyDescent="0.2">
      <c r="A149">
        <v>149</v>
      </c>
      <c r="B149" s="11" t="s">
        <v>264</v>
      </c>
      <c r="C149" t="s">
        <v>226</v>
      </c>
      <c r="D149" t="s">
        <v>6</v>
      </c>
      <c r="E149" t="s">
        <v>69</v>
      </c>
      <c r="F149" t="s">
        <v>162</v>
      </c>
      <c r="G149" t="s">
        <v>2</v>
      </c>
      <c r="H149" t="s">
        <v>69</v>
      </c>
      <c r="I149">
        <f>0.0000000000000000025</f>
        <v>2.5000000000000002E-18</v>
      </c>
      <c r="J149" s="4" t="s">
        <v>39</v>
      </c>
      <c r="K149" s="4">
        <f>3140000000000000000 *(O149/300)^(-0.15) * EXP(68/O149)</f>
        <v>2.8056265394951501E+18</v>
      </c>
      <c r="L149" s="4" t="s">
        <v>11</v>
      </c>
      <c r="O149">
        <v>1000</v>
      </c>
    </row>
    <row r="150" spans="1:15" x14ac:dyDescent="0.2">
      <c r="A150">
        <v>150</v>
      </c>
      <c r="B150" s="11" t="s">
        <v>201</v>
      </c>
      <c r="C150" t="s">
        <v>6</v>
      </c>
      <c r="D150" t="s">
        <v>72</v>
      </c>
      <c r="E150" t="s">
        <v>69</v>
      </c>
      <c r="F150" t="s">
        <v>286</v>
      </c>
      <c r="G150" t="s">
        <v>2</v>
      </c>
      <c r="H150" t="s">
        <v>69</v>
      </c>
      <c r="I150" s="1">
        <f>0.0000000000000015</f>
        <v>1.4999999999999999E-15</v>
      </c>
      <c r="O150">
        <v>1000</v>
      </c>
    </row>
    <row r="151" spans="1:15" x14ac:dyDescent="0.2">
      <c r="A151">
        <v>151</v>
      </c>
      <c r="B151" s="11" t="s">
        <v>202</v>
      </c>
      <c r="C151" t="s">
        <v>6</v>
      </c>
      <c r="D151" t="s">
        <v>1</v>
      </c>
      <c r="E151" t="s">
        <v>69</v>
      </c>
      <c r="F151" t="s">
        <v>7</v>
      </c>
      <c r="G151" t="s">
        <v>2</v>
      </c>
      <c r="H151" t="s">
        <v>69</v>
      </c>
      <c r="I151">
        <f>99000000000000000000*(O151/300)^(-0.38)</f>
        <v>6.2652913490006057E+19</v>
      </c>
      <c r="O151">
        <v>1000</v>
      </c>
    </row>
    <row r="152" spans="1:15" x14ac:dyDescent="0.2">
      <c r="A152">
        <v>152</v>
      </c>
      <c r="B152" s="11" t="s">
        <v>203</v>
      </c>
      <c r="C152" t="s">
        <v>6</v>
      </c>
      <c r="D152" t="s">
        <v>6</v>
      </c>
      <c r="E152" t="s">
        <v>69</v>
      </c>
      <c r="F152" t="s">
        <v>66</v>
      </c>
      <c r="G152" t="s">
        <v>2</v>
      </c>
      <c r="H152" t="s">
        <v>69</v>
      </c>
      <c r="I152">
        <f>490000000000000000000 * (O152/300)^1.58</f>
        <v>3.2835565302359869E+21</v>
      </c>
      <c r="O152">
        <v>1000</v>
      </c>
    </row>
    <row r="153" spans="1:15" x14ac:dyDescent="0.2">
      <c r="A153">
        <v>153</v>
      </c>
      <c r="B153" s="11" t="s">
        <v>204</v>
      </c>
      <c r="C153" t="s">
        <v>7</v>
      </c>
      <c r="D153" t="s">
        <v>1</v>
      </c>
      <c r="E153" t="s">
        <v>69</v>
      </c>
      <c r="F153" t="s">
        <v>65</v>
      </c>
      <c r="G153" t="s">
        <v>2</v>
      </c>
      <c r="H153" t="s">
        <v>69</v>
      </c>
      <c r="I153">
        <f>5260000000000000000 *(O153/300)^(-5.22) *EXP(-90/O153)</f>
        <v>8963387880202277</v>
      </c>
      <c r="O153">
        <v>1000</v>
      </c>
    </row>
    <row r="154" spans="1:15" ht="16" customHeight="1" x14ac:dyDescent="0.2">
      <c r="A154">
        <v>154</v>
      </c>
      <c r="B154" s="11" t="s">
        <v>135</v>
      </c>
      <c r="C154" t="s">
        <v>1</v>
      </c>
      <c r="D154" t="s">
        <v>1</v>
      </c>
      <c r="E154" t="s">
        <v>1</v>
      </c>
      <c r="F154" t="s">
        <v>3</v>
      </c>
      <c r="G154" t="s">
        <v>1</v>
      </c>
      <c r="H154" t="s">
        <v>69</v>
      </c>
      <c r="I154">
        <f>1.32E+32 * (O154/300)^-0.38</f>
        <v>8.353721798667474E+31</v>
      </c>
      <c r="J154" s="4" t="s">
        <v>39</v>
      </c>
      <c r="K154" s="4">
        <f>1.32E+32 * (O154/300)^-1</f>
        <v>3.9599999999999996E+31</v>
      </c>
      <c r="L154" s="4" t="s">
        <v>11</v>
      </c>
      <c r="O154">
        <v>1000</v>
      </c>
    </row>
    <row r="155" spans="1:15" x14ac:dyDescent="0.2">
      <c r="A155">
        <v>155</v>
      </c>
      <c r="B155" s="11" t="s">
        <v>136</v>
      </c>
      <c r="C155" t="s">
        <v>1</v>
      </c>
      <c r="D155" t="s">
        <v>1</v>
      </c>
      <c r="E155" t="s">
        <v>3</v>
      </c>
      <c r="F155" t="s">
        <v>3</v>
      </c>
      <c r="G155" t="s">
        <v>3</v>
      </c>
      <c r="H155" t="s">
        <v>69</v>
      </c>
      <c r="I155">
        <f>2.8E+31 * (O155)^-0.6</f>
        <v>4.4377009388911192E+29</v>
      </c>
      <c r="O155">
        <v>1000</v>
      </c>
    </row>
    <row r="156" spans="1:15" x14ac:dyDescent="0.2">
      <c r="A156">
        <v>156</v>
      </c>
      <c r="B156" s="11" t="s">
        <v>137</v>
      </c>
      <c r="C156" t="s">
        <v>1</v>
      </c>
      <c r="D156" t="s">
        <v>1</v>
      </c>
      <c r="E156" t="s">
        <v>4</v>
      </c>
      <c r="F156" t="s">
        <v>3</v>
      </c>
      <c r="G156" t="s">
        <v>4</v>
      </c>
      <c r="H156" t="s">
        <v>69</v>
      </c>
      <c r="I156">
        <f>6.9E+32 * (O156)^(-0.4)</f>
        <v>4.3536056769133333E+31</v>
      </c>
      <c r="O156">
        <v>1000</v>
      </c>
    </row>
    <row r="157" spans="1:15" ht="17" x14ac:dyDescent="0.2">
      <c r="A157">
        <v>157</v>
      </c>
      <c r="B157" s="11" t="s">
        <v>265</v>
      </c>
      <c r="C157" t="s">
        <v>5</v>
      </c>
      <c r="D157" t="s">
        <v>5</v>
      </c>
      <c r="E157" t="s">
        <v>67</v>
      </c>
      <c r="F157" t="s">
        <v>64</v>
      </c>
      <c r="G157" t="s">
        <v>67</v>
      </c>
      <c r="H157" t="s">
        <v>69</v>
      </c>
      <c r="I157">
        <f>5.99E+33 * (O157/5000)^(-1.6)</f>
        <v>7.8664507741892831E+34</v>
      </c>
      <c r="J157" s="4" t="s">
        <v>40</v>
      </c>
      <c r="K157" s="4">
        <f>5.99E+33 * (O157/5000)^(-0.64) * EXP(5255/O157)</f>
        <v>3.2135504885751074E+36</v>
      </c>
      <c r="L157" s="4" t="s">
        <v>41</v>
      </c>
      <c r="O157">
        <v>1000</v>
      </c>
    </row>
    <row r="158" spans="1:15" ht="16" customHeight="1" x14ac:dyDescent="0.2">
      <c r="A158">
        <v>158</v>
      </c>
      <c r="B158" s="11" t="s">
        <v>266</v>
      </c>
      <c r="C158" t="s">
        <v>5</v>
      </c>
      <c r="D158" t="s">
        <v>6</v>
      </c>
      <c r="E158" t="s">
        <v>67</v>
      </c>
      <c r="F158" t="s">
        <v>61</v>
      </c>
      <c r="G158" t="s">
        <v>67</v>
      </c>
      <c r="H158" t="s">
        <v>69</v>
      </c>
      <c r="I158">
        <f>6.16E+29 * (O158/300)^(-3.08)</f>
        <v>1.5104772087978412E+28</v>
      </c>
      <c r="J158" s="4" t="s">
        <v>42</v>
      </c>
      <c r="K158" s="4">
        <f>2.14E+29 * (O158/300)^(-3.08) * EXP(2114/O158)</f>
        <v>4.345560219524284E+28</v>
      </c>
      <c r="L158" s="4" t="s">
        <v>31</v>
      </c>
      <c r="O158">
        <v>1000</v>
      </c>
    </row>
    <row r="159" spans="1:15" x14ac:dyDescent="0.2">
      <c r="A159">
        <v>159</v>
      </c>
      <c r="B159" s="11" t="s">
        <v>267</v>
      </c>
      <c r="C159" t="s">
        <v>226</v>
      </c>
      <c r="D159" t="s">
        <v>6</v>
      </c>
      <c r="E159" t="s">
        <v>67</v>
      </c>
      <c r="F159" t="s">
        <v>162</v>
      </c>
      <c r="G159" t="s">
        <v>67</v>
      </c>
      <c r="H159" t="s">
        <v>69</v>
      </c>
      <c r="I159">
        <f>100 * I210</f>
        <v>96000</v>
      </c>
      <c r="O159">
        <v>1000</v>
      </c>
    </row>
    <row r="160" spans="1:15" x14ac:dyDescent="0.2">
      <c r="A160">
        <v>160</v>
      </c>
      <c r="B160" s="11" t="s">
        <v>268</v>
      </c>
      <c r="C160" t="s">
        <v>5</v>
      </c>
      <c r="D160" t="s">
        <v>143</v>
      </c>
      <c r="E160" t="s">
        <v>67</v>
      </c>
      <c r="F160" t="s">
        <v>162</v>
      </c>
      <c r="G160" t="s">
        <v>67</v>
      </c>
      <c r="H160" t="s">
        <v>69</v>
      </c>
      <c r="I160">
        <f>100 * I210</f>
        <v>96000</v>
      </c>
      <c r="O160">
        <v>1000</v>
      </c>
    </row>
    <row r="161" spans="1:15" x14ac:dyDescent="0.2">
      <c r="A161">
        <v>161</v>
      </c>
      <c r="B161" s="11" t="s">
        <v>205</v>
      </c>
      <c r="C161" t="s">
        <v>6</v>
      </c>
      <c r="D161" t="s">
        <v>1</v>
      </c>
      <c r="E161" t="s">
        <v>67</v>
      </c>
      <c r="F161" t="s">
        <v>7</v>
      </c>
      <c r="G161" t="s">
        <v>67</v>
      </c>
      <c r="H161" t="s">
        <v>69</v>
      </c>
      <c r="I161">
        <f>4.33E+32 * (O161/300)^(-1)</f>
        <v>1.299E+32</v>
      </c>
      <c r="O161">
        <v>1000</v>
      </c>
    </row>
    <row r="162" spans="1:15" x14ac:dyDescent="0.2">
      <c r="A162">
        <v>162</v>
      </c>
      <c r="B162" s="11" t="s">
        <v>206</v>
      </c>
      <c r="C162" t="s">
        <v>7</v>
      </c>
      <c r="D162" t="s">
        <v>1</v>
      </c>
      <c r="E162" t="s">
        <v>67</v>
      </c>
      <c r="F162" t="s">
        <v>65</v>
      </c>
      <c r="G162" t="s">
        <v>67</v>
      </c>
      <c r="H162" t="s">
        <v>69</v>
      </c>
      <c r="I162">
        <f>2.56E+31 * (O162/300)^(-2)</f>
        <v>2.3039999999999994E+30</v>
      </c>
      <c r="O162">
        <v>1000</v>
      </c>
    </row>
    <row r="163" spans="1:15" x14ac:dyDescent="0.2">
      <c r="A163">
        <v>163</v>
      </c>
      <c r="B163" s="11" t="s">
        <v>207</v>
      </c>
      <c r="C163" t="s">
        <v>6</v>
      </c>
      <c r="D163" t="s">
        <v>6</v>
      </c>
      <c r="E163" t="s">
        <v>67</v>
      </c>
      <c r="F163" t="s">
        <v>66</v>
      </c>
      <c r="G163" t="s">
        <v>67</v>
      </c>
      <c r="H163" t="s">
        <v>69</v>
      </c>
      <c r="I163">
        <f>9.2E+34 * (O163/300)^(-1)</f>
        <v>2.7599999999999998E+34</v>
      </c>
      <c r="O163">
        <v>1000</v>
      </c>
    </row>
    <row r="164" spans="1:15" x14ac:dyDescent="0.2">
      <c r="A164">
        <v>164</v>
      </c>
      <c r="B164" s="11" t="s">
        <v>208</v>
      </c>
      <c r="C164" t="s">
        <v>6</v>
      </c>
      <c r="D164" t="s">
        <v>62</v>
      </c>
      <c r="E164" t="s">
        <v>69</v>
      </c>
      <c r="F164" t="s">
        <v>149</v>
      </c>
      <c r="G164" t="s">
        <v>72</v>
      </c>
      <c r="H164" t="s">
        <v>69</v>
      </c>
      <c r="I164">
        <f>0.00000000002 * (O164/300)^(0.44)</f>
        <v>3.3970085784036717E-11</v>
      </c>
      <c r="O164">
        <v>1000</v>
      </c>
    </row>
    <row r="165" spans="1:15" ht="51" x14ac:dyDescent="0.2">
      <c r="A165" s="3">
        <v>165</v>
      </c>
      <c r="B165" s="11" t="s">
        <v>102</v>
      </c>
      <c r="C165" t="s">
        <v>1</v>
      </c>
      <c r="D165" s="3" t="s">
        <v>68</v>
      </c>
      <c r="E165" t="s">
        <v>69</v>
      </c>
      <c r="F165" t="s">
        <v>3</v>
      </c>
      <c r="G165" t="s">
        <v>69</v>
      </c>
      <c r="H165" t="s">
        <v>69</v>
      </c>
      <c r="I165">
        <f>0.000000000000000003 * (O165)^(0.5) * (1 + 100000 * EXP(-600/O165)) * (1 + 0.04*(O165 + O165)^(0.5) + 0.002*O165 + 0.000008 * O165^2)^(-1)</f>
        <v>4.0711849882658758E-13</v>
      </c>
      <c r="J165" s="4" t="s">
        <v>43</v>
      </c>
      <c r="O165">
        <v>1000</v>
      </c>
    </row>
    <row r="166" spans="1:15" ht="17" x14ac:dyDescent="0.2">
      <c r="A166" s="10">
        <v>166</v>
      </c>
      <c r="B166" s="11" t="s">
        <v>103</v>
      </c>
      <c r="C166" t="s">
        <v>275</v>
      </c>
      <c r="D166" t="s">
        <v>2</v>
      </c>
      <c r="E166" t="s">
        <v>69</v>
      </c>
      <c r="F166" t="s">
        <v>1</v>
      </c>
      <c r="G166" t="s">
        <v>72</v>
      </c>
      <c r="H166" t="s">
        <v>69</v>
      </c>
      <c r="I166">
        <f>0.00000071</f>
        <v>7.0999999999999998E-7</v>
      </c>
      <c r="J166" s="4" t="s">
        <v>44</v>
      </c>
      <c r="O166">
        <v>1000</v>
      </c>
    </row>
    <row r="167" spans="1:15" ht="17" x14ac:dyDescent="0.2">
      <c r="A167" s="10">
        <v>167</v>
      </c>
      <c r="B167" s="11" t="s">
        <v>104</v>
      </c>
      <c r="C167" t="s">
        <v>117</v>
      </c>
      <c r="D167" t="s">
        <v>2</v>
      </c>
      <c r="E167" t="s">
        <v>69</v>
      </c>
      <c r="F167" t="s">
        <v>1</v>
      </c>
      <c r="G167" t="s">
        <v>88</v>
      </c>
      <c r="H167" t="s">
        <v>69</v>
      </c>
      <c r="I167">
        <f>0.0000000011</f>
        <v>1.0999999999999999E-9</v>
      </c>
      <c r="J167" s="4" t="s">
        <v>45</v>
      </c>
      <c r="O167">
        <v>1000</v>
      </c>
    </row>
    <row r="168" spans="1:15" ht="34" x14ac:dyDescent="0.2">
      <c r="A168" s="10">
        <v>168</v>
      </c>
      <c r="B168" s="11" t="s">
        <v>138</v>
      </c>
      <c r="C168" t="s">
        <v>3</v>
      </c>
      <c r="D168" t="s">
        <v>2</v>
      </c>
      <c r="E168" t="s">
        <v>69</v>
      </c>
      <c r="F168" t="s">
        <v>1</v>
      </c>
      <c r="G168" t="s">
        <v>1</v>
      </c>
      <c r="H168" t="s">
        <v>69</v>
      </c>
      <c r="I168" s="1">
        <f>0.000000000056</f>
        <v>5.6E-11</v>
      </c>
      <c r="J168" s="4" t="s">
        <v>46</v>
      </c>
      <c r="O168">
        <v>1000</v>
      </c>
    </row>
    <row r="169" spans="1:15" ht="17" x14ac:dyDescent="0.2">
      <c r="A169" s="10">
        <v>169</v>
      </c>
      <c r="B169" s="11" t="s">
        <v>139</v>
      </c>
      <c r="C169" t="s">
        <v>290</v>
      </c>
      <c r="D169" t="s">
        <v>2</v>
      </c>
      <c r="E169" t="s">
        <v>69</v>
      </c>
      <c r="F169" t="s">
        <v>3</v>
      </c>
      <c r="G169" t="s">
        <v>88</v>
      </c>
      <c r="H169" t="s">
        <v>69</v>
      </c>
      <c r="I169">
        <f>0.00000000000049</f>
        <v>4.9000000000000003E-13</v>
      </c>
      <c r="J169" s="4" t="s">
        <v>47</v>
      </c>
      <c r="O169">
        <v>1000</v>
      </c>
    </row>
    <row r="170" spans="1:15" ht="17" x14ac:dyDescent="0.2">
      <c r="A170" s="10">
        <v>170</v>
      </c>
      <c r="B170" s="11" t="s">
        <v>105</v>
      </c>
      <c r="C170" t="s">
        <v>290</v>
      </c>
      <c r="D170" t="s">
        <v>2</v>
      </c>
      <c r="E170" t="s">
        <v>69</v>
      </c>
      <c r="F170" t="s">
        <v>117</v>
      </c>
      <c r="G170" t="s">
        <v>1</v>
      </c>
      <c r="H170" t="s">
        <v>69</v>
      </c>
      <c r="I170">
        <f>0.00000000000049</f>
        <v>4.9000000000000003E-13</v>
      </c>
      <c r="J170" s="4" t="s">
        <v>48</v>
      </c>
      <c r="O170">
        <v>1000</v>
      </c>
    </row>
    <row r="171" spans="1:15" ht="17" x14ac:dyDescent="0.2">
      <c r="A171" s="10">
        <v>171</v>
      </c>
      <c r="B171" s="11" t="s">
        <v>269</v>
      </c>
      <c r="C171" t="s">
        <v>5</v>
      </c>
      <c r="D171" t="s">
        <v>2</v>
      </c>
      <c r="E171" t="s">
        <v>69</v>
      </c>
      <c r="F171" t="s">
        <v>226</v>
      </c>
      <c r="G171" t="s">
        <v>72</v>
      </c>
      <c r="H171" t="s">
        <v>69</v>
      </c>
      <c r="I171">
        <f>0.00000000031</f>
        <v>3.1000000000000002E-10</v>
      </c>
      <c r="J171" s="4" t="s">
        <v>49</v>
      </c>
      <c r="O171">
        <v>1000</v>
      </c>
    </row>
    <row r="172" spans="1:15" ht="17" x14ac:dyDescent="0.2">
      <c r="A172" s="10">
        <v>172</v>
      </c>
      <c r="B172" s="11" t="s">
        <v>270</v>
      </c>
      <c r="C172" t="s">
        <v>281</v>
      </c>
      <c r="D172" t="s">
        <v>2</v>
      </c>
      <c r="E172" t="s">
        <v>69</v>
      </c>
      <c r="F172" t="s">
        <v>5</v>
      </c>
      <c r="G172" t="s">
        <v>72</v>
      </c>
      <c r="H172" t="s">
        <v>69</v>
      </c>
      <c r="I172">
        <f>0.00000024</f>
        <v>2.3999999999999998E-7</v>
      </c>
      <c r="J172" s="4" t="s">
        <v>50</v>
      </c>
      <c r="O172">
        <v>1000</v>
      </c>
    </row>
    <row r="173" spans="1:15" ht="17" x14ac:dyDescent="0.2">
      <c r="A173" s="10">
        <v>173</v>
      </c>
      <c r="B173" s="11" t="s">
        <v>271</v>
      </c>
      <c r="C173" t="s">
        <v>62</v>
      </c>
      <c r="D173" t="s">
        <v>2</v>
      </c>
      <c r="E173" t="s">
        <v>69</v>
      </c>
      <c r="F173" t="s">
        <v>5</v>
      </c>
      <c r="G173" t="s">
        <v>1</v>
      </c>
      <c r="H173" t="s">
        <v>69</v>
      </c>
      <c r="I173">
        <f>0.00000000087</f>
        <v>8.6999999999999999E-10</v>
      </c>
      <c r="J173" s="4" t="s">
        <v>51</v>
      </c>
      <c r="O173">
        <v>1000</v>
      </c>
    </row>
    <row r="174" spans="1:15" ht="17" x14ac:dyDescent="0.2">
      <c r="A174" s="10">
        <v>174</v>
      </c>
      <c r="B174" s="11" t="s">
        <v>82</v>
      </c>
      <c r="C174" t="s">
        <v>62</v>
      </c>
      <c r="D174" t="s">
        <v>2</v>
      </c>
      <c r="E174" t="s">
        <v>69</v>
      </c>
      <c r="F174" t="s">
        <v>75</v>
      </c>
      <c r="G174" t="s">
        <v>72</v>
      </c>
      <c r="H174" t="s">
        <v>69</v>
      </c>
      <c r="I174">
        <f>0.00000000077</f>
        <v>7.7000000000000003E-10</v>
      </c>
      <c r="J174" s="4" t="s">
        <v>52</v>
      </c>
      <c r="O174">
        <v>1000</v>
      </c>
    </row>
    <row r="175" spans="1:15" ht="17" x14ac:dyDescent="0.2">
      <c r="A175" s="10">
        <v>175</v>
      </c>
      <c r="B175" s="11" t="s">
        <v>272</v>
      </c>
      <c r="C175" t="s">
        <v>75</v>
      </c>
      <c r="D175" t="s">
        <v>2</v>
      </c>
      <c r="E175" t="s">
        <v>69</v>
      </c>
      <c r="F175" t="s">
        <v>5</v>
      </c>
      <c r="G175" t="s">
        <v>88</v>
      </c>
      <c r="H175" t="s">
        <v>69</v>
      </c>
      <c r="I175">
        <f>0.00000000026</f>
        <v>2.5999999999999998E-10</v>
      </c>
      <c r="J175" s="4" t="s">
        <v>53</v>
      </c>
      <c r="O175">
        <v>1000</v>
      </c>
    </row>
    <row r="176" spans="1:15" ht="17" x14ac:dyDescent="0.2">
      <c r="A176" s="10">
        <v>176</v>
      </c>
      <c r="B176" s="11" t="s">
        <v>140</v>
      </c>
      <c r="C176" t="s">
        <v>63</v>
      </c>
      <c r="D176" t="s">
        <v>2</v>
      </c>
      <c r="E176" t="s">
        <v>69</v>
      </c>
      <c r="F176" t="s">
        <v>62</v>
      </c>
      <c r="G176" t="s">
        <v>1</v>
      </c>
      <c r="H176" t="s">
        <v>69</v>
      </c>
      <c r="I176">
        <f>0.00000000071</f>
        <v>7.1000000000000003E-10</v>
      </c>
      <c r="J176" s="4" t="s">
        <v>54</v>
      </c>
      <c r="O176">
        <v>1000</v>
      </c>
    </row>
    <row r="177" spans="1:15" ht="17" x14ac:dyDescent="0.2">
      <c r="A177" s="10">
        <v>177</v>
      </c>
      <c r="B177" s="11" t="s">
        <v>141</v>
      </c>
      <c r="C177" t="s">
        <v>63</v>
      </c>
      <c r="D177" t="s">
        <v>2</v>
      </c>
      <c r="E177" t="s">
        <v>69</v>
      </c>
      <c r="F177" t="s">
        <v>127</v>
      </c>
      <c r="G177" t="s">
        <v>72</v>
      </c>
      <c r="H177" t="s">
        <v>69</v>
      </c>
      <c r="I177">
        <f>0.00000000059</f>
        <v>5.9000000000000003E-10</v>
      </c>
      <c r="J177" s="4" t="s">
        <v>48</v>
      </c>
      <c r="O177">
        <v>1000</v>
      </c>
    </row>
    <row r="178" spans="1:15" ht="17" x14ac:dyDescent="0.2">
      <c r="A178" s="10">
        <v>178</v>
      </c>
      <c r="B178" s="11" t="s">
        <v>83</v>
      </c>
      <c r="C178" t="s">
        <v>127</v>
      </c>
      <c r="D178" t="s">
        <v>2</v>
      </c>
      <c r="E178" t="s">
        <v>69</v>
      </c>
      <c r="F178" t="s">
        <v>75</v>
      </c>
      <c r="G178" t="s">
        <v>1</v>
      </c>
      <c r="H178" t="s">
        <v>69</v>
      </c>
      <c r="I178">
        <f>0.00000000046</f>
        <v>4.6000000000000001E-10</v>
      </c>
      <c r="J178" s="4" t="s">
        <v>54</v>
      </c>
      <c r="O178">
        <v>1000</v>
      </c>
    </row>
    <row r="179" spans="1:15" ht="17" x14ac:dyDescent="0.2">
      <c r="A179" s="10">
        <v>179</v>
      </c>
      <c r="B179" s="11" t="s">
        <v>84</v>
      </c>
      <c r="C179" t="s">
        <v>224</v>
      </c>
      <c r="D179" t="s">
        <v>2</v>
      </c>
      <c r="E179" t="s">
        <v>69</v>
      </c>
      <c r="F179" t="s">
        <v>127</v>
      </c>
      <c r="G179" t="s">
        <v>1</v>
      </c>
      <c r="H179" t="s">
        <v>69</v>
      </c>
      <c r="I179">
        <f>0.000000001</f>
        <v>1.0000000000000001E-9</v>
      </c>
      <c r="J179" s="4" t="s">
        <v>54</v>
      </c>
      <c r="O179">
        <v>1000</v>
      </c>
    </row>
    <row r="180" spans="1:15" ht="17" x14ac:dyDescent="0.2">
      <c r="A180" s="10">
        <v>180</v>
      </c>
      <c r="B180" s="11" t="s">
        <v>85</v>
      </c>
      <c r="C180" t="s">
        <v>224</v>
      </c>
      <c r="D180" t="s">
        <v>2</v>
      </c>
      <c r="E180" t="s">
        <v>69</v>
      </c>
      <c r="F180" t="s">
        <v>75</v>
      </c>
      <c r="G180" t="s">
        <v>3</v>
      </c>
      <c r="H180" t="s">
        <v>69</v>
      </c>
      <c r="I180">
        <f>0.000000001</f>
        <v>1.0000000000000001E-9</v>
      </c>
      <c r="J180" s="4" t="s">
        <v>54</v>
      </c>
      <c r="O180">
        <v>1000</v>
      </c>
    </row>
    <row r="181" spans="1:15" ht="17" x14ac:dyDescent="0.2">
      <c r="A181" s="10">
        <v>181</v>
      </c>
      <c r="B181" s="11" t="s">
        <v>273</v>
      </c>
      <c r="C181" t="s">
        <v>64</v>
      </c>
      <c r="D181" t="s">
        <v>2</v>
      </c>
      <c r="E181" t="s">
        <v>69</v>
      </c>
      <c r="F181" t="s">
        <v>5</v>
      </c>
      <c r="G181" t="s">
        <v>5</v>
      </c>
      <c r="H181" t="s">
        <v>69</v>
      </c>
      <c r="I181">
        <f>0.00000000015</f>
        <v>1.5E-10</v>
      </c>
      <c r="J181" s="4" t="s">
        <v>55</v>
      </c>
      <c r="O181">
        <v>1000</v>
      </c>
    </row>
    <row r="182" spans="1:15" ht="17" x14ac:dyDescent="0.2">
      <c r="A182" s="10">
        <v>182</v>
      </c>
      <c r="B182" s="11" t="s">
        <v>209</v>
      </c>
      <c r="C182" t="s">
        <v>286</v>
      </c>
      <c r="D182" t="s">
        <v>2</v>
      </c>
      <c r="E182" t="s">
        <v>69</v>
      </c>
      <c r="F182" t="s">
        <v>6</v>
      </c>
      <c r="G182" t="s">
        <v>72</v>
      </c>
      <c r="H182" t="s">
        <v>69</v>
      </c>
      <c r="I182">
        <f>0.00000024</f>
        <v>2.3999999999999998E-7</v>
      </c>
      <c r="J182" s="4" t="s">
        <v>44</v>
      </c>
      <c r="O182">
        <v>1000</v>
      </c>
    </row>
    <row r="183" spans="1:15" ht="17" x14ac:dyDescent="0.2">
      <c r="A183" s="10">
        <v>183</v>
      </c>
      <c r="B183" s="11" t="s">
        <v>210</v>
      </c>
      <c r="C183" t="s">
        <v>7</v>
      </c>
      <c r="D183" t="s">
        <v>2</v>
      </c>
      <c r="E183" t="s">
        <v>69</v>
      </c>
      <c r="F183" t="s">
        <v>6</v>
      </c>
      <c r="G183" t="s">
        <v>1</v>
      </c>
      <c r="H183" t="s">
        <v>69</v>
      </c>
      <c r="I183">
        <f>0.00000000037</f>
        <v>3.7000000000000001E-10</v>
      </c>
      <c r="J183" s="4" t="s">
        <v>54</v>
      </c>
      <c r="O183">
        <v>1000</v>
      </c>
    </row>
    <row r="184" spans="1:15" ht="17" x14ac:dyDescent="0.2">
      <c r="A184" s="10">
        <v>184</v>
      </c>
      <c r="B184" s="11" t="s">
        <v>106</v>
      </c>
      <c r="C184" t="s">
        <v>7</v>
      </c>
      <c r="D184" t="s">
        <v>2</v>
      </c>
      <c r="E184" t="s">
        <v>69</v>
      </c>
      <c r="F184" t="s">
        <v>97</v>
      </c>
      <c r="G184" t="s">
        <v>72</v>
      </c>
      <c r="H184" t="s">
        <v>69</v>
      </c>
      <c r="I184">
        <f>0.0000000000016</f>
        <v>1.6E-12</v>
      </c>
      <c r="J184" s="4" t="s">
        <v>56</v>
      </c>
      <c r="O184">
        <v>1000</v>
      </c>
    </row>
    <row r="185" spans="1:15" ht="17" x14ac:dyDescent="0.2">
      <c r="A185" s="10">
        <v>185</v>
      </c>
      <c r="B185" s="11" t="s">
        <v>211</v>
      </c>
      <c r="C185" t="s">
        <v>97</v>
      </c>
      <c r="D185" t="s">
        <v>2</v>
      </c>
      <c r="E185" t="s">
        <v>69</v>
      </c>
      <c r="F185" t="s">
        <v>6</v>
      </c>
      <c r="G185" t="s">
        <v>88</v>
      </c>
      <c r="H185" t="s">
        <v>69</v>
      </c>
      <c r="I185">
        <f>0.000000000001</f>
        <v>9.9999999999999998E-13</v>
      </c>
      <c r="J185" s="4" t="s">
        <v>47</v>
      </c>
      <c r="O185">
        <v>1000</v>
      </c>
    </row>
    <row r="186" spans="1:15" ht="17" x14ac:dyDescent="0.2">
      <c r="A186" s="10">
        <v>186</v>
      </c>
      <c r="B186" s="11" t="s">
        <v>212</v>
      </c>
      <c r="C186" t="s">
        <v>65</v>
      </c>
      <c r="D186" t="s">
        <v>2</v>
      </c>
      <c r="E186" t="s">
        <v>69</v>
      </c>
      <c r="F186" t="s">
        <v>7</v>
      </c>
      <c r="G186" t="s">
        <v>1</v>
      </c>
      <c r="H186" t="s">
        <v>69</v>
      </c>
      <c r="I186">
        <f>0.0000000006</f>
        <v>6E-10</v>
      </c>
      <c r="J186" s="4" t="s">
        <v>54</v>
      </c>
      <c r="O186">
        <v>1000</v>
      </c>
    </row>
    <row r="187" spans="1:15" ht="17" x14ac:dyDescent="0.2">
      <c r="A187" s="10">
        <v>187</v>
      </c>
      <c r="B187" s="11" t="s">
        <v>213</v>
      </c>
      <c r="C187" t="s">
        <v>65</v>
      </c>
      <c r="D187" t="s">
        <v>2</v>
      </c>
      <c r="E187" t="s">
        <v>69</v>
      </c>
      <c r="F187" t="s">
        <v>170</v>
      </c>
      <c r="G187" t="s">
        <v>72</v>
      </c>
      <c r="H187" t="s">
        <v>69</v>
      </c>
      <c r="I187">
        <f>0.000000000032</f>
        <v>3.1999999999999999E-11</v>
      </c>
      <c r="J187" s="4" t="s">
        <v>57</v>
      </c>
      <c r="O187">
        <v>1000</v>
      </c>
    </row>
    <row r="188" spans="1:15" ht="34" x14ac:dyDescent="0.2">
      <c r="A188" s="10">
        <v>188</v>
      </c>
      <c r="B188" s="11" t="s">
        <v>214</v>
      </c>
      <c r="C188" t="s">
        <v>170</v>
      </c>
      <c r="D188" t="s">
        <v>2</v>
      </c>
      <c r="E188" t="s">
        <v>69</v>
      </c>
      <c r="F188" t="s">
        <v>117</v>
      </c>
      <c r="G188" t="s">
        <v>6</v>
      </c>
      <c r="H188" t="s">
        <v>69</v>
      </c>
      <c r="I188" s="1">
        <f>0.00000000005</f>
        <v>5.0000000000000002E-11</v>
      </c>
      <c r="J188" s="4" t="s">
        <v>46</v>
      </c>
      <c r="O188">
        <v>1000</v>
      </c>
    </row>
    <row r="189" spans="1:15" ht="34" x14ac:dyDescent="0.2">
      <c r="A189" s="10">
        <v>189</v>
      </c>
      <c r="B189" s="11" t="s">
        <v>215</v>
      </c>
      <c r="C189" t="s">
        <v>170</v>
      </c>
      <c r="D189" t="s">
        <v>2</v>
      </c>
      <c r="E189" t="s">
        <v>69</v>
      </c>
      <c r="F189" t="s">
        <v>88</v>
      </c>
      <c r="G189" t="s">
        <v>7</v>
      </c>
      <c r="H189" t="s">
        <v>69</v>
      </c>
      <c r="I189" s="1">
        <f>0.00000000005</f>
        <v>5.0000000000000002E-11</v>
      </c>
      <c r="J189" s="4" t="s">
        <v>46</v>
      </c>
      <c r="O189">
        <v>1000</v>
      </c>
    </row>
    <row r="190" spans="1:15" ht="34" x14ac:dyDescent="0.2">
      <c r="A190" s="10">
        <v>190</v>
      </c>
      <c r="B190" s="11" t="s">
        <v>216</v>
      </c>
      <c r="C190" t="s">
        <v>170</v>
      </c>
      <c r="D190" t="s">
        <v>2</v>
      </c>
      <c r="E190" t="s">
        <v>69</v>
      </c>
      <c r="F190" t="s">
        <v>143</v>
      </c>
      <c r="G190" t="s">
        <v>3</v>
      </c>
      <c r="H190" t="s">
        <v>69</v>
      </c>
      <c r="I190" s="1">
        <f>0.00000000005</f>
        <v>5.0000000000000002E-11</v>
      </c>
      <c r="J190" s="4" t="s">
        <v>46</v>
      </c>
      <c r="O190">
        <v>1000</v>
      </c>
    </row>
    <row r="191" spans="1:15" ht="34" x14ac:dyDescent="0.2">
      <c r="A191" s="10">
        <v>191</v>
      </c>
      <c r="B191" s="11" t="s">
        <v>217</v>
      </c>
      <c r="C191" t="s">
        <v>170</v>
      </c>
      <c r="D191" t="s">
        <v>2</v>
      </c>
      <c r="E191" t="s">
        <v>69</v>
      </c>
      <c r="F191" t="s">
        <v>97</v>
      </c>
      <c r="G191" t="s">
        <v>1</v>
      </c>
      <c r="H191" t="s">
        <v>69</v>
      </c>
      <c r="I191" s="1">
        <f>0.00000000015</f>
        <v>1.5E-10</v>
      </c>
      <c r="J191" s="4" t="s">
        <v>46</v>
      </c>
      <c r="O191">
        <v>1000</v>
      </c>
    </row>
    <row r="192" spans="1:15" ht="34" x14ac:dyDescent="0.2">
      <c r="A192" s="10">
        <v>192</v>
      </c>
      <c r="B192" s="11" t="s">
        <v>218</v>
      </c>
      <c r="C192" t="s">
        <v>173</v>
      </c>
      <c r="D192" t="s">
        <v>2</v>
      </c>
      <c r="E192" t="s">
        <v>69</v>
      </c>
      <c r="F192" t="s">
        <v>88</v>
      </c>
      <c r="G192" t="s">
        <v>65</v>
      </c>
      <c r="H192" t="s">
        <v>69</v>
      </c>
      <c r="I192" s="1">
        <f>0.000000000025</f>
        <v>2.5000000000000001E-11</v>
      </c>
      <c r="J192" s="4" t="s">
        <v>46</v>
      </c>
      <c r="O192">
        <v>1000</v>
      </c>
    </row>
    <row r="193" spans="1:15" ht="34" x14ac:dyDescent="0.2">
      <c r="A193" s="10">
        <v>193</v>
      </c>
      <c r="B193" s="11" t="s">
        <v>219</v>
      </c>
      <c r="C193" t="s">
        <v>173</v>
      </c>
      <c r="D193" t="s">
        <v>2</v>
      </c>
      <c r="E193" t="s">
        <v>69</v>
      </c>
      <c r="F193" t="s">
        <v>117</v>
      </c>
      <c r="G193" t="s">
        <v>7</v>
      </c>
      <c r="H193" t="s">
        <v>69</v>
      </c>
      <c r="I193" s="1">
        <f>0.000000000025</f>
        <v>2.5000000000000001E-11</v>
      </c>
      <c r="J193" s="4" t="s">
        <v>46</v>
      </c>
      <c r="O193">
        <v>1000</v>
      </c>
    </row>
    <row r="194" spans="1:15" ht="34" x14ac:dyDescent="0.2">
      <c r="A194" s="10">
        <v>194</v>
      </c>
      <c r="B194" s="11" t="s">
        <v>220</v>
      </c>
      <c r="C194" t="s">
        <v>173</v>
      </c>
      <c r="D194" t="s">
        <v>2</v>
      </c>
      <c r="E194" t="s">
        <v>69</v>
      </c>
      <c r="F194" t="s">
        <v>170</v>
      </c>
      <c r="G194" t="s">
        <v>1</v>
      </c>
      <c r="H194" t="s">
        <v>69</v>
      </c>
      <c r="I194" s="1">
        <f>0.0000000000075</f>
        <v>7.5E-12</v>
      </c>
      <c r="J194" s="4" t="s">
        <v>46</v>
      </c>
      <c r="O194">
        <v>1000</v>
      </c>
    </row>
    <row r="195" spans="1:15" ht="34" x14ac:dyDescent="0.2">
      <c r="A195" s="10">
        <v>195</v>
      </c>
      <c r="B195" s="11" t="s">
        <v>221</v>
      </c>
      <c r="C195" t="s">
        <v>173</v>
      </c>
      <c r="D195" t="s">
        <v>2</v>
      </c>
      <c r="E195" t="s">
        <v>69</v>
      </c>
      <c r="F195" t="s">
        <v>97</v>
      </c>
      <c r="G195" t="s">
        <v>3</v>
      </c>
      <c r="H195" t="s">
        <v>69</v>
      </c>
      <c r="I195" s="1">
        <f>0.000000000025</f>
        <v>2.5000000000000001E-11</v>
      </c>
      <c r="J195" s="4" t="s">
        <v>46</v>
      </c>
      <c r="O195">
        <v>1000</v>
      </c>
    </row>
    <row r="196" spans="1:15" ht="17" x14ac:dyDescent="0.2">
      <c r="A196" s="10">
        <v>196</v>
      </c>
      <c r="B196" s="11" t="s">
        <v>222</v>
      </c>
      <c r="C196" t="s">
        <v>66</v>
      </c>
      <c r="D196" t="s">
        <v>2</v>
      </c>
      <c r="E196" t="s">
        <v>69</v>
      </c>
      <c r="F196" t="s">
        <v>115</v>
      </c>
      <c r="G196" t="s">
        <v>72</v>
      </c>
      <c r="H196" t="s">
        <v>69</v>
      </c>
      <c r="I196">
        <f>0.000000000056</f>
        <v>5.6E-11</v>
      </c>
      <c r="J196" s="4" t="s">
        <v>58</v>
      </c>
      <c r="O196">
        <v>1000</v>
      </c>
    </row>
    <row r="197" spans="1:15" ht="17" x14ac:dyDescent="0.2">
      <c r="A197" s="10">
        <v>197</v>
      </c>
      <c r="B197" s="11" t="s">
        <v>223</v>
      </c>
      <c r="C197" t="s">
        <v>66</v>
      </c>
      <c r="D197" t="s">
        <v>2</v>
      </c>
      <c r="E197" t="s">
        <v>69</v>
      </c>
      <c r="F197" t="s">
        <v>6</v>
      </c>
      <c r="G197" t="s">
        <v>6</v>
      </c>
      <c r="H197" t="s">
        <v>69</v>
      </c>
      <c r="I197">
        <f>0.0000000007</f>
        <v>6.9999999999999996E-10</v>
      </c>
      <c r="J197" s="4" t="s">
        <v>47</v>
      </c>
      <c r="O197">
        <v>1000</v>
      </c>
    </row>
    <row r="198" spans="1:15" ht="34" x14ac:dyDescent="0.2">
      <c r="A198" s="10">
        <v>198</v>
      </c>
      <c r="B198" s="11" t="s">
        <v>274</v>
      </c>
      <c r="C198" t="s">
        <v>61</v>
      </c>
      <c r="D198" t="s">
        <v>2</v>
      </c>
      <c r="E198" t="s">
        <v>69</v>
      </c>
      <c r="F198" t="s">
        <v>5</v>
      </c>
      <c r="G198" t="s">
        <v>6</v>
      </c>
      <c r="H198" t="s">
        <v>69</v>
      </c>
      <c r="I198" s="1">
        <f>0.0000000002</f>
        <v>2.0000000000000001E-10</v>
      </c>
      <c r="J198" s="8" t="s">
        <v>46</v>
      </c>
      <c r="O198">
        <v>1000</v>
      </c>
    </row>
    <row r="199" spans="1:15" x14ac:dyDescent="0.2">
      <c r="A199" s="9">
        <v>199</v>
      </c>
      <c r="B199" s="11" t="s">
        <v>291</v>
      </c>
      <c r="C199" t="s">
        <v>1</v>
      </c>
      <c r="D199" t="s">
        <v>292</v>
      </c>
      <c r="E199" t="s">
        <v>69</v>
      </c>
      <c r="F199" t="s">
        <v>88</v>
      </c>
      <c r="G199" t="s">
        <v>72</v>
      </c>
      <c r="H199" t="s">
        <v>69</v>
      </c>
      <c r="I199">
        <f>1</f>
        <v>1</v>
      </c>
      <c r="O199">
        <v>1000</v>
      </c>
    </row>
    <row r="200" spans="1:15" x14ac:dyDescent="0.2">
      <c r="A200" s="9">
        <v>200</v>
      </c>
      <c r="B200" s="11" t="s">
        <v>293</v>
      </c>
      <c r="C200" t="s">
        <v>4</v>
      </c>
      <c r="D200" t="s">
        <v>292</v>
      </c>
      <c r="E200" t="s">
        <v>69</v>
      </c>
      <c r="F200" t="s">
        <v>108</v>
      </c>
      <c r="G200" t="s">
        <v>72</v>
      </c>
      <c r="H200" t="s">
        <v>69</v>
      </c>
      <c r="I200">
        <f>1.1</f>
        <v>1.1000000000000001</v>
      </c>
      <c r="O200">
        <v>1000</v>
      </c>
    </row>
    <row r="201" spans="1:15" x14ac:dyDescent="0.2">
      <c r="A201" s="9">
        <v>201</v>
      </c>
      <c r="B201" s="11" t="s">
        <v>294</v>
      </c>
      <c r="C201" t="s">
        <v>3</v>
      </c>
      <c r="D201" t="s">
        <v>292</v>
      </c>
      <c r="E201" t="s">
        <v>69</v>
      </c>
      <c r="F201" t="s">
        <v>88</v>
      </c>
      <c r="G201" t="s">
        <v>1</v>
      </c>
      <c r="H201" t="s">
        <v>72</v>
      </c>
      <c r="I201">
        <f>0.037</f>
        <v>3.6999999999999998E-2</v>
      </c>
      <c r="O201">
        <v>1000</v>
      </c>
    </row>
    <row r="202" spans="1:15" x14ac:dyDescent="0.2">
      <c r="A202" s="9">
        <v>202</v>
      </c>
      <c r="B202" s="11" t="s">
        <v>295</v>
      </c>
      <c r="C202" t="s">
        <v>3</v>
      </c>
      <c r="D202" t="s">
        <v>292</v>
      </c>
      <c r="E202" t="s">
        <v>69</v>
      </c>
      <c r="F202" t="s">
        <v>1</v>
      </c>
      <c r="G202" t="s">
        <v>1</v>
      </c>
      <c r="H202" t="s">
        <v>69</v>
      </c>
      <c r="I202">
        <f>0.22</f>
        <v>0.22</v>
      </c>
      <c r="O202">
        <v>1000</v>
      </c>
    </row>
    <row r="203" spans="1:15" x14ac:dyDescent="0.2">
      <c r="A203" s="9">
        <v>203</v>
      </c>
      <c r="B203" s="11" t="s">
        <v>296</v>
      </c>
      <c r="C203" t="s">
        <v>3</v>
      </c>
      <c r="D203" t="s">
        <v>292</v>
      </c>
      <c r="E203" t="s">
        <v>69</v>
      </c>
      <c r="F203" t="s">
        <v>88</v>
      </c>
      <c r="G203" t="s">
        <v>275</v>
      </c>
      <c r="H203" t="s">
        <v>69</v>
      </c>
      <c r="I203" s="1">
        <f>0.00065</f>
        <v>6.4999999999999997E-4</v>
      </c>
      <c r="O203">
        <v>1000</v>
      </c>
    </row>
    <row r="204" spans="1:15" x14ac:dyDescent="0.2">
      <c r="A204" s="9">
        <v>204</v>
      </c>
      <c r="B204" s="11" t="s">
        <v>297</v>
      </c>
      <c r="C204" t="s">
        <v>3</v>
      </c>
      <c r="D204" t="s">
        <v>292</v>
      </c>
      <c r="E204" t="s">
        <v>69</v>
      </c>
      <c r="F204" t="s">
        <v>117</v>
      </c>
      <c r="G204" t="s">
        <v>72</v>
      </c>
      <c r="H204" t="s">
        <v>69</v>
      </c>
      <c r="I204">
        <f>2</f>
        <v>2</v>
      </c>
      <c r="O204">
        <v>1000</v>
      </c>
    </row>
    <row r="205" spans="1:15" x14ac:dyDescent="0.2">
      <c r="A205" s="9">
        <v>205</v>
      </c>
      <c r="B205" s="11" t="s">
        <v>298</v>
      </c>
      <c r="C205" t="s">
        <v>5</v>
      </c>
      <c r="D205" t="s">
        <v>292</v>
      </c>
      <c r="E205" t="s">
        <v>69</v>
      </c>
      <c r="F205" t="s">
        <v>226</v>
      </c>
      <c r="G205" t="s">
        <v>72</v>
      </c>
      <c r="H205" t="s">
        <v>69</v>
      </c>
      <c r="I205">
        <f>3.8</f>
        <v>3.8</v>
      </c>
      <c r="O205">
        <v>1000</v>
      </c>
    </row>
    <row r="206" spans="1:15" x14ac:dyDescent="0.2">
      <c r="A206" s="9">
        <v>206</v>
      </c>
      <c r="B206" s="11" t="s">
        <v>299</v>
      </c>
      <c r="C206" t="s">
        <v>6</v>
      </c>
      <c r="D206" t="s">
        <v>292</v>
      </c>
      <c r="E206" t="s">
        <v>69</v>
      </c>
      <c r="F206" t="s">
        <v>143</v>
      </c>
      <c r="G206" t="s">
        <v>72</v>
      </c>
      <c r="H206" t="s">
        <v>69</v>
      </c>
      <c r="I206">
        <f>5.7</f>
        <v>5.7</v>
      </c>
      <c r="O206">
        <v>1000</v>
      </c>
    </row>
    <row r="207" spans="1:15" x14ac:dyDescent="0.2">
      <c r="A207" s="9">
        <v>207</v>
      </c>
      <c r="B207" s="11" t="s">
        <v>300</v>
      </c>
      <c r="C207" t="s">
        <v>61</v>
      </c>
      <c r="D207" t="s">
        <v>292</v>
      </c>
      <c r="E207" t="s">
        <v>69</v>
      </c>
      <c r="F207" t="s">
        <v>162</v>
      </c>
      <c r="G207" t="s">
        <v>72</v>
      </c>
      <c r="H207" t="s">
        <v>69</v>
      </c>
      <c r="I207">
        <f>6.5</f>
        <v>6.5</v>
      </c>
      <c r="O207">
        <v>1000</v>
      </c>
    </row>
    <row r="208" spans="1:15" x14ac:dyDescent="0.2">
      <c r="A208" s="9">
        <v>208</v>
      </c>
      <c r="B208" s="11" t="s">
        <v>301</v>
      </c>
      <c r="C208" t="s">
        <v>5</v>
      </c>
      <c r="D208" t="s">
        <v>302</v>
      </c>
      <c r="E208" t="s">
        <v>69</v>
      </c>
      <c r="F208" t="s">
        <v>226</v>
      </c>
      <c r="G208" t="s">
        <v>72</v>
      </c>
      <c r="H208" t="s">
        <v>69</v>
      </c>
      <c r="I208">
        <f>2800</f>
        <v>2800</v>
      </c>
      <c r="O208">
        <v>1000</v>
      </c>
    </row>
    <row r="209" spans="1:15" x14ac:dyDescent="0.2">
      <c r="A209" s="9">
        <v>209</v>
      </c>
      <c r="B209" s="11" t="s">
        <v>303</v>
      </c>
      <c r="C209" t="s">
        <v>62</v>
      </c>
      <c r="D209" t="s">
        <v>302</v>
      </c>
      <c r="E209" t="s">
        <v>69</v>
      </c>
      <c r="F209" t="s">
        <v>5</v>
      </c>
      <c r="G209" t="s">
        <v>1</v>
      </c>
      <c r="H209" t="s">
        <v>69</v>
      </c>
      <c r="I209">
        <f>4000</f>
        <v>4000</v>
      </c>
      <c r="O209">
        <v>1000</v>
      </c>
    </row>
    <row r="210" spans="1:15" x14ac:dyDescent="0.2">
      <c r="A210" s="9">
        <v>210</v>
      </c>
      <c r="B210" s="11" t="s">
        <v>304</v>
      </c>
      <c r="C210" t="s">
        <v>75</v>
      </c>
      <c r="D210" t="s">
        <v>302</v>
      </c>
      <c r="E210" t="s">
        <v>69</v>
      </c>
      <c r="F210" t="s">
        <v>226</v>
      </c>
      <c r="G210" t="s">
        <v>1</v>
      </c>
      <c r="H210" t="s">
        <v>69</v>
      </c>
      <c r="I210">
        <f>960</f>
        <v>960</v>
      </c>
      <c r="O210">
        <v>1000</v>
      </c>
    </row>
    <row r="211" spans="1:15" x14ac:dyDescent="0.2">
      <c r="A211" s="9">
        <v>211</v>
      </c>
      <c r="B211" s="11" t="s">
        <v>305</v>
      </c>
      <c r="C211" t="s">
        <v>63</v>
      </c>
      <c r="D211" t="s">
        <v>302</v>
      </c>
      <c r="E211" t="s">
        <v>69</v>
      </c>
      <c r="F211" t="s">
        <v>127</v>
      </c>
      <c r="G211" t="s">
        <v>72</v>
      </c>
      <c r="H211" t="s">
        <v>69</v>
      </c>
      <c r="I211">
        <f>2700</f>
        <v>2700</v>
      </c>
      <c r="O211">
        <v>1000</v>
      </c>
    </row>
    <row r="212" spans="1:15" x14ac:dyDescent="0.2">
      <c r="A212" s="9">
        <v>212</v>
      </c>
      <c r="B212" s="11" t="s">
        <v>306</v>
      </c>
      <c r="C212" t="s">
        <v>63</v>
      </c>
      <c r="D212" t="s">
        <v>302</v>
      </c>
      <c r="E212" t="s">
        <v>69</v>
      </c>
      <c r="F212" t="s">
        <v>62</v>
      </c>
      <c r="G212" t="s">
        <v>1</v>
      </c>
      <c r="H212" t="s">
        <v>69</v>
      </c>
      <c r="I212">
        <f>2700</f>
        <v>2700</v>
      </c>
      <c r="O212">
        <v>1000</v>
      </c>
    </row>
    <row r="213" spans="1:15" x14ac:dyDescent="0.2">
      <c r="A213" s="9">
        <v>213</v>
      </c>
      <c r="B213" s="11" t="s">
        <v>307</v>
      </c>
      <c r="C213" t="s">
        <v>64</v>
      </c>
      <c r="D213" t="s">
        <v>302</v>
      </c>
      <c r="E213" t="s">
        <v>69</v>
      </c>
      <c r="F213" t="s">
        <v>5</v>
      </c>
      <c r="G213" t="s">
        <v>5</v>
      </c>
      <c r="H213" t="s">
        <v>69</v>
      </c>
      <c r="I213">
        <f>1300</f>
        <v>1300</v>
      </c>
      <c r="O213">
        <v>1000</v>
      </c>
    </row>
    <row r="214" spans="1:15" x14ac:dyDescent="0.2">
      <c r="A214" s="9">
        <v>214</v>
      </c>
      <c r="B214" s="11" t="s">
        <v>308</v>
      </c>
      <c r="C214" t="s">
        <v>7</v>
      </c>
      <c r="D214" t="s">
        <v>302</v>
      </c>
      <c r="E214" t="s">
        <v>69</v>
      </c>
      <c r="F214" t="s">
        <v>6</v>
      </c>
      <c r="G214" t="s">
        <v>1</v>
      </c>
      <c r="H214" t="s">
        <v>69</v>
      </c>
      <c r="I214">
        <f>2800</f>
        <v>2800</v>
      </c>
      <c r="O214">
        <v>1000</v>
      </c>
    </row>
    <row r="215" spans="1:15" x14ac:dyDescent="0.2">
      <c r="A215" s="9">
        <v>215</v>
      </c>
      <c r="B215" s="11" t="s">
        <v>309</v>
      </c>
      <c r="C215" t="s">
        <v>65</v>
      </c>
      <c r="D215" t="s">
        <v>302</v>
      </c>
      <c r="E215" t="s">
        <v>69</v>
      </c>
      <c r="F215" t="s">
        <v>7</v>
      </c>
      <c r="G215" t="s">
        <v>1</v>
      </c>
      <c r="H215" t="s">
        <v>69</v>
      </c>
      <c r="I215">
        <f>5300</f>
        <v>5300</v>
      </c>
      <c r="O215">
        <v>1000</v>
      </c>
    </row>
    <row r="216" spans="1:15" x14ac:dyDescent="0.2">
      <c r="A216" s="9">
        <v>216</v>
      </c>
      <c r="B216" s="11" t="s">
        <v>310</v>
      </c>
      <c r="C216" t="s">
        <v>66</v>
      </c>
      <c r="D216" t="s">
        <v>302</v>
      </c>
      <c r="E216" t="s">
        <v>69</v>
      </c>
      <c r="F216" t="s">
        <v>6</v>
      </c>
      <c r="G216" t="s">
        <v>6</v>
      </c>
      <c r="H216" t="s">
        <v>69</v>
      </c>
      <c r="I216">
        <f>4100</f>
        <v>4100</v>
      </c>
      <c r="O216">
        <v>1000</v>
      </c>
    </row>
    <row r="217" spans="1:15" x14ac:dyDescent="0.2">
      <c r="A217" s="9">
        <v>217</v>
      </c>
      <c r="B217" s="11" t="s">
        <v>311</v>
      </c>
      <c r="C217" t="s">
        <v>66</v>
      </c>
      <c r="D217" t="s">
        <v>302</v>
      </c>
      <c r="E217" t="s">
        <v>69</v>
      </c>
      <c r="F217" t="s">
        <v>115</v>
      </c>
      <c r="G217" t="s">
        <v>72</v>
      </c>
      <c r="H217" t="s">
        <v>69</v>
      </c>
      <c r="I217">
        <f>640</f>
        <v>640</v>
      </c>
      <c r="O217">
        <v>1000</v>
      </c>
    </row>
    <row r="218" spans="1:15" x14ac:dyDescent="0.2">
      <c r="A218" s="3">
        <v>218</v>
      </c>
      <c r="B218" s="11" t="s">
        <v>312</v>
      </c>
      <c r="C218" t="s">
        <v>61</v>
      </c>
      <c r="D218" t="s">
        <v>302</v>
      </c>
      <c r="E218" t="s">
        <v>69</v>
      </c>
      <c r="F218" t="s">
        <v>5</v>
      </c>
      <c r="G218" t="s">
        <v>6</v>
      </c>
      <c r="H218" t="s">
        <v>69</v>
      </c>
      <c r="I218" s="3">
        <f>0.21*O218^1/2 *1 *(0.00001)^-1/2</f>
        <v>5249999.9999999991</v>
      </c>
      <c r="O2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De La Torre</dc:creator>
  <cp:lastModifiedBy>Nina De La Torre</cp:lastModifiedBy>
  <dcterms:created xsi:type="dcterms:W3CDTF">2024-07-02T21:43:00Z</dcterms:created>
  <dcterms:modified xsi:type="dcterms:W3CDTF">2024-07-17T20:00:54Z</dcterms:modified>
</cp:coreProperties>
</file>