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D project\Products\Models\OffPlatfEner\InputData\"/>
    </mc:Choice>
  </mc:AlternateContent>
  <xr:revisionPtr revIDLastSave="0" documentId="13_ncr:1_{20682089-E0E6-4D24-98A8-5121C1A9628E}" xr6:coauthVersionLast="47" xr6:coauthVersionMax="47" xr10:uidLastSave="{00000000-0000-0000-0000-000000000000}"/>
  <bookViews>
    <workbookView xWindow="-120" yWindow="-120" windowWidth="38640" windowHeight="21120" tabRatio="851" xr2:uid="{00000000-000D-0000-FFFF-FFFF00000000}"/>
  </bookViews>
  <sheets>
    <sheet name="Base" sheetId="1" r:id="rId1"/>
    <sheet name="Home" sheetId="2" r:id="rId2"/>
    <sheet name="Reservoir" sheetId="3" r:id="rId3"/>
    <sheet name="ProductionUnit_process" sheetId="4" r:id="rId4"/>
    <sheet name="ProductionUnit_well_stream_ts" sheetId="5" r:id="rId5"/>
    <sheet name="LivingQuarter" sheetId="6" r:id="rId6"/>
    <sheet name="LivingQuarter_ts" sheetId="7" r:id="rId7"/>
    <sheet name="UtilityUnit_generator" sheetId="8" r:id="rId8"/>
    <sheet name="UtilityUnit_generator_ts" sheetId="9" r:id="rId9"/>
    <sheet name="UtilityUnit_flaring" sheetId="10" r:id="rId10"/>
    <sheet name="UtilityUnit_reserves" sheetId="11" r:id="rId11"/>
    <sheet name="UtilityUnit_emission" sheetId="12" r:id="rId12"/>
    <sheet name="UtilityUnit_emission_ts" sheetId="13" r:id="rId13"/>
    <sheet name="ExportToShore" sheetId="14" r:id="rId14"/>
    <sheet name="Onshore_demand_ts" sheetId="15" r:id="rId15"/>
    <sheet name="Onshore_supply" sheetId="16" r:id="rId16"/>
    <sheet name="Onshore_supply_ts" sheetId="17" r:id="rId17"/>
    <sheet name="FeasibilityTest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3" l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C10" i="13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D10" i="13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B9" i="13"/>
  <c r="C9" i="13"/>
  <c r="D9" i="13"/>
  <c r="E10" i="13"/>
  <c r="F10" i="13"/>
  <c r="G10" i="13"/>
  <c r="E11" i="13"/>
  <c r="F11" i="13"/>
  <c r="G11" i="13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E12" i="13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G9" i="13"/>
  <c r="F9" i="13"/>
  <c r="E9" i="13"/>
  <c r="C59" i="1"/>
  <c r="C71" i="1" l="1"/>
  <c r="C66" i="1"/>
  <c r="X2" i="8" s="1"/>
  <c r="C65" i="1"/>
  <c r="E35" i="1"/>
  <c r="C72" i="1"/>
  <c r="J5" i="11"/>
  <c r="I5" i="11"/>
  <c r="G3" i="11"/>
  <c r="G2" i="11"/>
  <c r="K3" i="10"/>
  <c r="E12" i="8"/>
  <c r="E11" i="8"/>
  <c r="F10" i="8"/>
  <c r="E6" i="8"/>
  <c r="E5" i="8"/>
  <c r="S4" i="8"/>
  <c r="F4" i="8"/>
  <c r="S3" i="8"/>
  <c r="T2" i="8"/>
  <c r="T4" i="8" s="1"/>
  <c r="O2" i="6"/>
  <c r="C2" i="3"/>
  <c r="C75" i="1"/>
  <c r="G10" i="8" s="1"/>
  <c r="X4" i="8"/>
  <c r="U4" i="8"/>
  <c r="Z4" i="8" s="1"/>
  <c r="C69" i="1"/>
  <c r="G4" i="8" s="1"/>
  <c r="U2" i="8"/>
  <c r="Z2" i="8" s="1"/>
  <c r="C64" i="1"/>
  <c r="K3" i="6" s="1"/>
  <c r="C63" i="1"/>
  <c r="K2" i="6" s="1"/>
  <c r="B37" i="1"/>
  <c r="E37" i="1"/>
  <c r="C8" i="17"/>
  <c r="C9" i="17" s="1"/>
  <c r="C10" i="17" s="1"/>
  <c r="C11" i="17" s="1"/>
  <c r="C12" i="17" s="1"/>
  <c r="C13" i="17" s="1"/>
  <c r="C14" i="17" s="1"/>
  <c r="C15" i="17" s="1"/>
  <c r="C16" i="17" s="1"/>
  <c r="F31" i="1"/>
  <c r="E31" i="1"/>
  <c r="C76" i="1" s="1"/>
  <c r="D31" i="1"/>
  <c r="B31" i="1"/>
  <c r="C70" i="1" s="1"/>
  <c r="B11" i="1"/>
  <c r="L9" i="1"/>
  <c r="D10" i="1" s="1"/>
  <c r="B34" i="1" s="1"/>
  <c r="L6" i="1"/>
  <c r="L8" i="1" s="1"/>
  <c r="B6" i="1"/>
  <c r="B7" i="1" s="1"/>
  <c r="B8" i="1" s="1"/>
  <c r="B9" i="1" s="1"/>
  <c r="L10" i="1" l="1"/>
  <c r="C53" i="1"/>
  <c r="B5" i="9"/>
  <c r="C67" i="1"/>
  <c r="D5" i="1"/>
  <c r="B35" i="1" s="1"/>
  <c r="C73" i="1"/>
  <c r="C74" i="1" l="1"/>
  <c r="O5" i="8" s="1"/>
  <c r="O4" i="8"/>
  <c r="B36" i="1"/>
  <c r="C54" i="1"/>
  <c r="O2" i="8"/>
  <c r="C68" i="1"/>
  <c r="O3" i="8" s="1"/>
  <c r="K4" i="12"/>
  <c r="K2" i="12"/>
  <c r="K3" i="12"/>
  <c r="C55" i="1" l="1"/>
  <c r="C57" i="1" s="1"/>
  <c r="K4" i="4" s="1"/>
  <c r="C62" i="1"/>
  <c r="K3" i="4" s="1"/>
  <c r="C61" i="1"/>
  <c r="K2" i="4" s="1"/>
  <c r="D2" i="3"/>
  <c r="B8" i="5"/>
  <c r="C60" i="1" s="1"/>
  <c r="C56" i="1"/>
  <c r="K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Peecock, Anna</author>
  </authors>
  <commentList>
    <comment ref="A9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</rPr>
          <t>Use amine to absorb</t>
        </r>
      </text>
    </comment>
    <comment ref="B12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</rPr>
          <t>assume to incl. GT consumption, flaring, and venting</t>
        </r>
      </text>
    </comment>
    <comment ref="H20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</rPr>
          <t>Sheet "04 Gas turb. simple cycle Sm-Me"</t>
        </r>
      </text>
    </comment>
    <comment ref="A22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backpressure coefficient: the maximum power generation capacity in backpressure 
mode divided by the maximum heat production capacity (including flue gas condensation if applicable), at 100 °C forward temperature and 50 °C return temperature, 
corresponding to heat delivered to district heating transmission systems.</t>
        </r>
      </text>
    </comment>
    <comment ref="A23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</rPr>
          <t>Simply flue gas condensation, no WHRU.</t>
        </r>
      </text>
    </comment>
    <comment ref="G23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</rPr>
          <t>Assumption. Validation needed</t>
        </r>
      </text>
    </comment>
    <comment ref="B60" authorId="1" shapeId="0" xr:uid="{865EAA33-E2EC-4345-A5FA-9D448D60586C}">
      <text>
        <r>
          <rPr>
            <b/>
            <sz val="9"/>
            <color indexed="81"/>
            <rFont val="Tahoma"/>
            <charset val="1"/>
          </rPr>
          <t>Peecock, Anna:</t>
        </r>
        <r>
          <rPr>
            <sz val="9"/>
            <color indexed="81"/>
            <rFont val="Tahoma"/>
            <charset val="1"/>
          </rPr>
          <t xml:space="preserve">
Cessation of production</t>
        </r>
      </text>
    </comment>
    <comment ref="C62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</rPr>
          <t>Heat loss is all counted in production</t>
        </r>
      </text>
    </comment>
    <comment ref="B70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</rPr>
          <t>Yet to be implemented in SpineOpt</t>
        </r>
      </text>
    </comment>
    <comment ref="B76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</rPr>
          <t>Yet to be implemented in SpineOpt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No need to be defined in this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1" authorId="0" shapeId="0" xr:uid="{00000000-0006-0000-07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</rPr>
          <t>This needs to be 0 to enable investment, see: https://spine-tools.github.io/SpineOpt.jl/latest/advanced_concepts/investment_optimization/#Creating-an-Investment-Candidate-Unit-Example</t>
        </r>
      </text>
    </comment>
    <comment ref="AA1" authorId="0" shapeId="0" xr:uid="{00000000-0006-0000-07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</rPr>
          <t>Minimum available time</t>
        </r>
      </text>
    </comment>
    <comment ref="AA2" authorId="0" shapeId="0" xr:uid="{00000000-0006-0000-0700-000003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</rPr>
          <t>Assumed available time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</rPr>
          <t>Entities in column G need change accordingly.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D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</rPr>
          <t>0 capacity cannot block transmission in a direction.</t>
        </r>
      </text>
    </comment>
    <comment ref="P1" authorId="0" shapeId="0" xr:uid="{00000000-0006-0000-0D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</rPr>
          <t>Necessary to block reversing transmission</t>
        </r>
      </text>
    </comment>
    <comment ref="Z1" authorId="0" shapeId="0" xr:uid="{00000000-0006-0000-0D00-000003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</rPr>
          <t>Connections need to be set as "bidirectional" to enable transimission at the moment.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6" authorId="0" shapeId="0" xr:uid="{CDA78EC7-69C2-4D15-89E1-C9290FF9544D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Gas price. Big jump up due to RU-UK conflick.</t>
        </r>
      </text>
    </comment>
  </commentList>
</comments>
</file>

<file path=xl/sharedStrings.xml><?xml version="1.0" encoding="utf-8"?>
<sst xmlns="http://schemas.openxmlformats.org/spreadsheetml/2006/main" count="852" uniqueCount="292">
  <si>
    <t>Specification document (open access)</t>
  </si>
  <si>
    <t>Unit conversion</t>
  </si>
  <si>
    <t>Item</t>
  </si>
  <si>
    <t>Original Value</t>
  </si>
  <si>
    <t>Unit</t>
  </si>
  <si>
    <t>Value</t>
  </si>
  <si>
    <t>Original</t>
  </si>
  <si>
    <t>Operational crews</t>
  </si>
  <si>
    <t>headcount</t>
  </si>
  <si>
    <t>Sm3 natural gas</t>
  </si>
  <si>
    <t>=</t>
  </si>
  <si>
    <t>MJ (LHV)</t>
  </si>
  <si>
    <t>Crew accommodation limit</t>
  </si>
  <si>
    <t>bed</t>
  </si>
  <si>
    <t>bbl oil/liquids</t>
  </si>
  <si>
    <t>Sm3</t>
  </si>
  <si>
    <t>Rated gas production</t>
  </si>
  <si>
    <t>Msm3/d</t>
  </si>
  <si>
    <t>MWh/d</t>
  </si>
  <si>
    <t>Sm3 crude oil</t>
  </si>
  <si>
    <t>MJ</t>
  </si>
  <si>
    <t>- Gas compression</t>
  </si>
  <si>
    <t>kWh</t>
  </si>
  <si>
    <t>- Gas export</t>
  </si>
  <si>
    <t>Derived</t>
  </si>
  <si>
    <t>- Dehydration</t>
  </si>
  <si>
    <t>MWh</t>
  </si>
  <si>
    <t>- H2S removal</t>
  </si>
  <si>
    <t>bbl crude oil</t>
  </si>
  <si>
    <t>Rated liquids (oil) production</t>
  </si>
  <si>
    <t>bopd</t>
  </si>
  <si>
    <t>- Oil export</t>
  </si>
  <si>
    <t>bbl/d</t>
  </si>
  <si>
    <t>Production efficiency</t>
  </si>
  <si>
    <t>year</t>
  </si>
  <si>
    <t>hours</t>
  </si>
  <si>
    <t>Water treatment</t>
  </si>
  <si>
    <t>BPD</t>
  </si>
  <si>
    <t>m3/d</t>
  </si>
  <si>
    <t>day</t>
  </si>
  <si>
    <t>Gas turbine unit capacity (power)</t>
  </si>
  <si>
    <t>MW</t>
  </si>
  <si>
    <t>Number of gas turbine</t>
  </si>
  <si>
    <t>-</t>
  </si>
  <si>
    <t>Gas compression power</t>
  </si>
  <si>
    <t>Other reference data</t>
  </si>
  <si>
    <t>Source</t>
  </si>
  <si>
    <t>Flared and vented gas ratio</t>
  </si>
  <si>
    <t>of well stream gas (assumption)</t>
  </si>
  <si>
    <t>UKCS report</t>
  </si>
  <si>
    <t>References</t>
  </si>
  <si>
    <t>Gas turbine (OCGT/SCGT)</t>
  </si>
  <si>
    <t>DEA</t>
  </si>
  <si>
    <t>- Electrical efficiency</t>
  </si>
  <si>
    <t>- Cb coefficient (50°C/100°C)</t>
  </si>
  <si>
    <t>definition detail</t>
  </si>
  <si>
    <t>- Heat recovery rate</t>
  </si>
  <si>
    <t>of electricity output</t>
  </si>
  <si>
    <t>- Space requirement</t>
  </si>
  <si>
    <t>1000 m2/MW_e</t>
  </si>
  <si>
    <t>Nominal investment (total)</t>
  </si>
  <si>
    <t>Variable O&amp;M (total)</t>
  </si>
  <si>
    <t>Fixed O&amp;M (total)</t>
  </si>
  <si>
    <t>Technical lifetime</t>
  </si>
  <si>
    <t>years</t>
  </si>
  <si>
    <t>Forced outage</t>
  </si>
  <si>
    <t>Planned outage</t>
  </si>
  <si>
    <t>weeks per year</t>
  </si>
  <si>
    <t>Actual operational activity</t>
  </si>
  <si>
    <t>reference natural gas price</t>
  </si>
  <si>
    <t>EUR/M Sm3</t>
  </si>
  <si>
    <t>ref</t>
  </si>
  <si>
    <t>Oil output</t>
  </si>
  <si>
    <t>MWh/h</t>
  </si>
  <si>
    <t>reference oil price</t>
  </si>
  <si>
    <t>EUR/bbl</t>
  </si>
  <si>
    <t>Gas output</t>
  </si>
  <si>
    <t>Flared and vented gas</t>
  </si>
  <si>
    <t>CO2 emission factor</t>
  </si>
  <si>
    <t>IPCC 2006 default</t>
  </si>
  <si>
    <t>Est. gas consumption for operation</t>
  </si>
  <si>
    <t>Platform energy demand [MW]</t>
  </si>
  <si>
    <t>For Average Production (incl availability)</t>
  </si>
  <si>
    <t>For Peak Production (no availability)</t>
  </si>
  <si>
    <t>Design (+contingency)</t>
  </si>
  <si>
    <t>Gap</t>
  </si>
  <si>
    <t>Heating Duty</t>
  </si>
  <si>
    <t>Production Unit</t>
  </si>
  <si>
    <t>Living Unit</t>
  </si>
  <si>
    <t>Heat loss</t>
  </si>
  <si>
    <t>Total heat demand</t>
  </si>
  <si>
    <t>Power Duty</t>
  </si>
  <si>
    <t>Total electricity demand</t>
  </si>
  <si>
    <t>For modelling</t>
  </si>
  <si>
    <t>Component</t>
  </si>
  <si>
    <t>Parameter</t>
  </si>
  <si>
    <t>Sub category 1</t>
  </si>
  <si>
    <t>Sub category 2</t>
  </si>
  <si>
    <t>Reservior</t>
  </si>
  <si>
    <t>Well stream</t>
  </si>
  <si>
    <t>M Sm3/h</t>
  </si>
  <si>
    <t>Oil</t>
  </si>
  <si>
    <t>Gas</t>
  </si>
  <si>
    <t>Total</t>
  </si>
  <si>
    <t>oil volume ratio</t>
  </si>
  <si>
    <t>gas volume ratio</t>
  </si>
  <si>
    <t>Duration available for extraction</t>
  </si>
  <si>
    <t>Hydrocarbon content quantity</t>
  </si>
  <si>
    <t>M Sm3</t>
  </si>
  <si>
    <t>Well head</t>
  </si>
  <si>
    <t>energy rate</t>
  </si>
  <si>
    <t>MWh/M Sm3</t>
  </si>
  <si>
    <t>electricity</t>
  </si>
  <si>
    <t>heat</t>
  </si>
  <si>
    <t>Living quarter</t>
  </si>
  <si>
    <t>energy consumption</t>
  </si>
  <si>
    <t>MWh/pp</t>
  </si>
  <si>
    <t>Gas turbine 2015 (in use)</t>
  </si>
  <si>
    <t>fom_cost</t>
  </si>
  <si>
    <t>unit_investment_cost</t>
  </si>
  <si>
    <t>fuel efficiency</t>
  </si>
  <si>
    <t>vom_cost</t>
  </si>
  <si>
    <t>forced_availability_factor</t>
  </si>
  <si>
    <t>Gas turbine 2030 (for future investment)</t>
  </si>
  <si>
    <t>PlatformModule</t>
  </si>
  <si>
    <t>Reservoir</t>
  </si>
  <si>
    <t>ProductionUnit</t>
  </si>
  <si>
    <t>LivingQuarter</t>
  </si>
  <si>
    <t>UtilityUnit</t>
  </si>
  <si>
    <t>UtilityUnit_emission</t>
  </si>
  <si>
    <t>Tables</t>
  </si>
  <si>
    <t>ProductionUnit_process</t>
  </si>
  <si>
    <t>ProductionUnit_well_stream_ts</t>
  </si>
  <si>
    <t>LivingQuarter_ts</t>
  </si>
  <si>
    <t>UtilityUnit_generator</t>
  </si>
  <si>
    <t>UtilityUnit_generator_ts</t>
  </si>
  <si>
    <t>UtilityUnit_flaring</t>
  </si>
  <si>
    <t>UtilityUnit_reserves</t>
  </si>
  <si>
    <t>UtilityUnit_emission_ts</t>
  </si>
  <si>
    <t>Core</t>
  </si>
  <si>
    <t>Downstream</t>
  </si>
  <si>
    <t>Upstream</t>
  </si>
  <si>
    <t>Group</t>
  </si>
  <si>
    <t>Members</t>
  </si>
  <si>
    <t>object_class</t>
  </si>
  <si>
    <t>node</t>
  </si>
  <si>
    <t>unit</t>
  </si>
  <si>
    <t>object_names</t>
  </si>
  <si>
    <t>ReservoirA</t>
  </si>
  <si>
    <t>PlatformA1_well</t>
  </si>
  <si>
    <t>PlatformA1_elec_duty</t>
  </si>
  <si>
    <t>PlatformA1_gas</t>
  </si>
  <si>
    <t>PlatformA1_LivingQuarter</t>
  </si>
  <si>
    <t>PlatformA1_living</t>
  </si>
  <si>
    <t>PlatformA1_OCGT</t>
  </si>
  <si>
    <t>PlatformA1_FlareVent</t>
  </si>
  <si>
    <t>PlatformA1_elec</t>
  </si>
  <si>
    <t>PlatformA1_heat_duty</t>
  </si>
  <si>
    <t>PlatformA1_oil</t>
  </si>
  <si>
    <t>PlatformA1_OCGT_new</t>
  </si>
  <si>
    <t>PlatformA1_elec_reserve</t>
  </si>
  <si>
    <t>CarbonEmission</t>
  </si>
  <si>
    <t>CarbonSink</t>
  </si>
  <si>
    <t>alternative</t>
  </si>
  <si>
    <t>has_state</t>
  </si>
  <si>
    <t>initial_node_state</t>
  </si>
  <si>
    <t>Base</t>
  </si>
  <si>
    <t>relationship</t>
  </si>
  <si>
    <t>parameter</t>
  </si>
  <si>
    <t>value</t>
  </si>
  <si>
    <t>nodal_balance_sense</t>
  </si>
  <si>
    <t>unit__from_node</t>
  </si>
  <si>
    <t>unit__node__node</t>
  </si>
  <si>
    <t>fix_ratio_in_in_unit_flow</t>
  </si>
  <si>
    <t>&gt;=</t>
  </si>
  <si>
    <t>fix_ratio_out_in_unit_flow</t>
  </si>
  <si>
    <t>unit__to_node</t>
  </si>
  <si>
    <t>object_class_1</t>
  </si>
  <si>
    <t>object_name_1</t>
  </si>
  <si>
    <t>object_class_2</t>
  </si>
  <si>
    <t>object_name_2</t>
  </si>
  <si>
    <t>unit_capacity</t>
  </si>
  <si>
    <t>2020-01-01T00:00:00</t>
  </si>
  <si>
    <t>2030-01-01T00:00:00</t>
  </si>
  <si>
    <t>2040-01-01T00:00:00</t>
  </si>
  <si>
    <t>2050-01-01T00:00:00</t>
  </si>
  <si>
    <t>2060-01-01T00:00:00</t>
  </si>
  <si>
    <t>demand</t>
  </si>
  <si>
    <t>fix_ratio_in_out_unit_flow</t>
  </si>
  <si>
    <t>object_name</t>
  </si>
  <si>
    <t>TSdevelopmentPersonnel_1</t>
  </si>
  <si>
    <t>is_active</t>
  </si>
  <si>
    <t>candidate_units</t>
  </si>
  <si>
    <t>number_of_units</t>
  </si>
  <si>
    <t>online_variable_type</t>
  </si>
  <si>
    <t>unit_investment_variable_type</t>
  </si>
  <si>
    <t>units_on_cost</t>
  </si>
  <si>
    <t>unit_investment_lifetime</t>
  </si>
  <si>
    <t>unit_online_variable_type_integer</t>
  </si>
  <si>
    <t>unit_investment_variable_type_integer</t>
  </si>
  <si>
    <t>20Y</t>
  </si>
  <si>
    <t>ContingencyExcl</t>
  </si>
  <si>
    <t>LimitLifetimeGenerator</t>
  </si>
  <si>
    <t>25Y</t>
  </si>
  <si>
    <t>ContingencyReserves</t>
  </si>
  <si>
    <t>fix_units_invested</t>
  </si>
  <si>
    <t>unit_availability_factor</t>
  </si>
  <si>
    <t>2025-01-01T00:00:00</t>
  </si>
  <si>
    <t>2035-01-01T00:00:00</t>
  </si>
  <si>
    <t>2045-01-01T00:00:00</t>
  </si>
  <si>
    <t>2055-01-01T00:00:00</t>
  </si>
  <si>
    <t>user_constraint</t>
  </si>
  <si>
    <t>constraint_sense</t>
  </si>
  <si>
    <t>right_hand_side</t>
  </si>
  <si>
    <t>unit__from_node__user_constraint</t>
  </si>
  <si>
    <t>PlatformA1_flaring</t>
  </si>
  <si>
    <t>unit_flow_coefficient</t>
  </si>
  <si>
    <t>==</t>
  </si>
  <si>
    <t>unit__to_node__user_constraint</t>
  </si>
  <si>
    <t>group</t>
  </si>
  <si>
    <t>members</t>
  </si>
  <si>
    <t>balance_type</t>
  </si>
  <si>
    <t>is_reserve_node</t>
  </si>
  <si>
    <t>balance_type_none</t>
  </si>
  <si>
    <t>tax_in_unit_flow</t>
  </si>
  <si>
    <t>FixCarbonPrice_1</t>
  </si>
  <si>
    <t>TSdevelopmentCarbonPrice_1</t>
  </si>
  <si>
    <t>TSdevelopmentCarbonPrice_2</t>
  </si>
  <si>
    <t>TSdevelopmentCarbonPrice_3</t>
  </si>
  <si>
    <t>2021-01-01T00:00:00</t>
  </si>
  <si>
    <t>2022-01-01T00:00:00</t>
  </si>
  <si>
    <t>2023-01-01T00:00:00</t>
  </si>
  <si>
    <t>2024-01-01T00:00:00</t>
  </si>
  <si>
    <t>2026-01-01T00:00:00</t>
  </si>
  <si>
    <t>2027-01-01T00:00:00</t>
  </si>
  <si>
    <t>2028-01-01T00:00:00</t>
  </si>
  <si>
    <t>2029-01-01T00:00:00</t>
  </si>
  <si>
    <t>2031-01-01T00:00:00</t>
  </si>
  <si>
    <t>2032-01-01T00:00:00</t>
  </si>
  <si>
    <t>2033-01-01T00:00:00</t>
  </si>
  <si>
    <t>2034-01-01T00:00:00</t>
  </si>
  <si>
    <t>2036-01-01T00:00:00</t>
  </si>
  <si>
    <t>2037-01-01T00:00:00</t>
  </si>
  <si>
    <t>2038-01-01T00:00:00</t>
  </si>
  <si>
    <t>2039-01-01T00:00:00</t>
  </si>
  <si>
    <t>2041-01-01T00:00:00</t>
  </si>
  <si>
    <t>2042-01-01T00:00:00</t>
  </si>
  <si>
    <t>2043-01-01T00:00:00</t>
  </si>
  <si>
    <t>2044-01-01T00:00:00</t>
  </si>
  <si>
    <t>2046-01-01T00:00:00</t>
  </si>
  <si>
    <t>2047-01-01T00:00:00</t>
  </si>
  <si>
    <t>2048-01-01T00:00:00</t>
  </si>
  <si>
    <t>2049-01-01T00:00:00</t>
  </si>
  <si>
    <t>2051-01-01T00:00:00</t>
  </si>
  <si>
    <t>2052-01-01T00:00:00</t>
  </si>
  <si>
    <t>2053-01-01T00:00:00</t>
  </si>
  <si>
    <t>2054-01-01T00:00:00</t>
  </si>
  <si>
    <t>2056-01-01T00:00:00</t>
  </si>
  <si>
    <t>2057-01-01T00:00:00</t>
  </si>
  <si>
    <t>2058-01-01T00:00:00</t>
  </si>
  <si>
    <t>2059-01-01T00:00:00</t>
  </si>
  <si>
    <t>connection</t>
  </si>
  <si>
    <t>connection_type</t>
  </si>
  <si>
    <t>connection__node__node</t>
  </si>
  <si>
    <t>PlatformA1_GasPipeline</t>
  </si>
  <si>
    <t>OnshoreGas</t>
  </si>
  <si>
    <t>fix_ratio_out_in_connection_flow</t>
  </si>
  <si>
    <t>connection__from_node</t>
  </si>
  <si>
    <t>connection_capacity</t>
  </si>
  <si>
    <t>connection__from_node__user_constraint</t>
  </si>
  <si>
    <t>PlatformA1_GasPipeline_direction</t>
  </si>
  <si>
    <t>connection_flow_coefficient</t>
  </si>
  <si>
    <t>connection_type_lossless_bidirectional</t>
  </si>
  <si>
    <t>PlatformA1_OilPipeline</t>
  </si>
  <si>
    <t>OnshoreOil</t>
  </si>
  <si>
    <t>PlatformA1_OilPipeline_direction</t>
  </si>
  <si>
    <t>connection__to_node</t>
  </si>
  <si>
    <t>OnshoreGasSupply</t>
  </si>
  <si>
    <t>OnshoreOilSupply</t>
  </si>
  <si>
    <t>node_slack_penalty</t>
  </si>
  <si>
    <t>2023-M£/MW_e</t>
  </si>
  <si>
    <t>2023-M£/MWh_e</t>
  </si>
  <si>
    <t>2023-£/MW_e/y</t>
  </si>
  <si>
    <t>2023-£/unit</t>
  </si>
  <si>
    <t>Available capacity reservoir at EOP</t>
  </si>
  <si>
    <t>min_down_time</t>
  </si>
  <si>
    <t>TSdevelopmentCarbonPrice_4</t>
  </si>
  <si>
    <t>TSdevelopmentCarbonPrice_5</t>
  </si>
  <si>
    <t>TSdevelopmentCarbonPrice_6</t>
  </si>
  <si>
    <t>tonne/MWh of gas</t>
  </si>
  <si>
    <t>tonne/M Sm3 of gas</t>
  </si>
  <si>
    <t>=0.2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</si>
</sst>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"/>
    <numFmt numFmtId="166" formatCode="0.0%"/>
    <numFmt numFmtId="167" formatCode="0.000000000000000%"/>
    <numFmt numFmtId="168" formatCode="#,##0.0"/>
    <numFmt numFmtId="169" formatCode="0.0"/>
    <numFmt numFmtId="170" formatCode="0.000000"/>
    <numFmt numFmtId="171" formatCode="#,##0.0000"/>
    <numFmt numFmtId="172" formatCode="yyyy\-mm\-dd\Thh:mm:ss"/>
  </numFmts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sz val="9"/>
      <color rgb="FF000000"/>
      <name val="Tahoma"/>
      <family val="2"/>
    </font>
    <font>
      <sz val="9"/>
      <color rgb="FF000000"/>
      <name val="Tahoma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FFFFCC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/>
    <xf numFmtId="9" fontId="6" fillId="0" borderId="0" applyBorder="0" applyProtection="0"/>
    <xf numFmtId="0" fontId="2" fillId="0" borderId="0" applyBorder="0" applyProtection="0"/>
    <xf numFmtId="0" fontId="1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1" xfId="2" applyBorder="1" applyAlignment="1" applyProtection="1">
      <alignment vertical="center"/>
    </xf>
    <xf numFmtId="0" fontId="2" fillId="0" borderId="0" xfId="2" applyBorder="1" applyProtection="1"/>
    <xf numFmtId="0" fontId="0" fillId="2" borderId="0" xfId="0" applyFill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9" fontId="0" fillId="0" borderId="0" xfId="1" applyFont="1" applyBorder="1" applyProtection="1"/>
    <xf numFmtId="3" fontId="0" fillId="2" borderId="0" xfId="0" applyNumberFormat="1" applyFill="1"/>
    <xf numFmtId="166" fontId="0" fillId="2" borderId="0" xfId="1" applyNumberFormat="1" applyFont="1" applyFill="1" applyBorder="1" applyProtection="1"/>
    <xf numFmtId="0" fontId="0" fillId="0" borderId="2" xfId="0" applyBorder="1"/>
    <xf numFmtId="0" fontId="2" fillId="0" borderId="2" xfId="2" applyBorder="1" applyProtection="1"/>
    <xf numFmtId="2" fontId="0" fillId="0" borderId="0" xfId="1" applyNumberFormat="1" applyFont="1" applyBorder="1" applyProtection="1"/>
    <xf numFmtId="167" fontId="0" fillId="0" borderId="0" xfId="0" applyNumberFormat="1"/>
    <xf numFmtId="4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1" fontId="0" fillId="2" borderId="0" xfId="0" applyNumberFormat="1" applyFill="1"/>
    <xf numFmtId="2" fontId="0" fillId="0" borderId="0" xfId="0" applyNumberFormat="1"/>
    <xf numFmtId="0" fontId="0" fillId="3" borderId="0" xfId="0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169" fontId="0" fillId="3" borderId="0" xfId="0" applyNumberFormat="1" applyFill="1"/>
    <xf numFmtId="169" fontId="0" fillId="2" borderId="0" xfId="0" applyNumberFormat="1" applyFill="1"/>
    <xf numFmtId="170" fontId="0" fillId="0" borderId="0" xfId="0" applyNumberFormat="1"/>
    <xf numFmtId="170" fontId="0" fillId="2" borderId="0" xfId="0" applyNumberFormat="1" applyFill="1"/>
    <xf numFmtId="2" fontId="0" fillId="2" borderId="0" xfId="0" applyNumberFormat="1" applyFill="1"/>
    <xf numFmtId="171" fontId="0" fillId="0" borderId="0" xfId="0" applyNumberFormat="1"/>
    <xf numFmtId="0" fontId="5" fillId="0" borderId="0" xfId="0" applyFont="1"/>
    <xf numFmtId="0" fontId="0" fillId="0" borderId="1" xfId="0" applyBorder="1"/>
    <xf numFmtId="0" fontId="0" fillId="0" borderId="3" xfId="0" applyBorder="1"/>
    <xf numFmtId="3" fontId="0" fillId="0" borderId="3" xfId="0" applyNumberFormat="1" applyBorder="1"/>
    <xf numFmtId="0" fontId="0" fillId="0" borderId="4" xfId="0" applyBorder="1"/>
    <xf numFmtId="3" fontId="0" fillId="0" borderId="4" xfId="0" applyNumberFormat="1" applyBorder="1"/>
    <xf numFmtId="2" fontId="0" fillId="0" borderId="3" xfId="0" applyNumberFormat="1" applyBorder="1"/>
    <xf numFmtId="0" fontId="0" fillId="0" borderId="0" xfId="0" applyAlignment="1">
      <alignment horizontal="right"/>
    </xf>
    <xf numFmtId="172" fontId="0" fillId="0" borderId="0" xfId="0" applyNumberFormat="1"/>
    <xf numFmtId="11" fontId="0" fillId="0" borderId="0" xfId="0" applyNumberFormat="1"/>
    <xf numFmtId="0" fontId="0" fillId="0" borderId="5" xfId="1" applyNumberFormat="1" applyFont="1" applyBorder="1" applyProtection="1"/>
    <xf numFmtId="9" fontId="0" fillId="0" borderId="6" xfId="1" applyFont="1" applyBorder="1" applyProtection="1"/>
    <xf numFmtId="2" fontId="0" fillId="0" borderId="6" xfId="1" applyNumberFormat="1" applyFont="1" applyBorder="1" applyProtection="1"/>
    <xf numFmtId="3" fontId="0" fillId="0" borderId="6" xfId="0" applyNumberFormat="1" applyBorder="1"/>
    <xf numFmtId="3" fontId="0" fillId="2" borderId="6" xfId="0" applyNumberFormat="1" applyFill="1" applyBorder="1"/>
    <xf numFmtId="4" fontId="0" fillId="0" borderId="6" xfId="0" applyNumberFormat="1" applyBorder="1"/>
    <xf numFmtId="168" fontId="0" fillId="0" borderId="6" xfId="0" applyNumberFormat="1" applyBorder="1"/>
    <xf numFmtId="4" fontId="0" fillId="0" borderId="7" xfId="0" applyNumberFormat="1" applyBorder="1"/>
    <xf numFmtId="2" fontId="1" fillId="0" borderId="0" xfId="3" quotePrefix="1" applyNumberFormat="1"/>
    <xf numFmtId="0" fontId="1" fillId="0" borderId="0" xfId="3"/>
    <xf numFmtId="2" fontId="1" fillId="0" borderId="0" xfId="3" applyNumberFormat="1"/>
    <xf numFmtId="2" fontId="0" fillId="0" borderId="0" xfId="0" applyNumberFormat="1" applyAlignment="1">
      <alignment horizontal="right"/>
    </xf>
    <xf numFmtId="0" fontId="0" fillId="0" borderId="0" xfId="0" quotePrefix="1"/>
  </cellXfs>
  <cellStyles count="5">
    <cellStyle name="Hyperlink" xfId="2" builtinId="8"/>
    <cellStyle name="Hyperlink 2" xfId="4" xr:uid="{FD027DEA-9858-4DB8-8C97-D4831AA2618A}"/>
    <cellStyle name="Normal" xfId="0" builtinId="0"/>
    <cellStyle name="Normal 2" xfId="3" xr:uid="{AD5D44AD-B476-4A0F-AE15-B35CAD20783E}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nstauthority.co.uk/data-centre/nsta-open-data/benchmarking/flaring-and-venting/" TargetMode="External"/><Relationship Id="rId7" Type="http://schemas.openxmlformats.org/officeDocument/2006/relationships/hyperlink" Target="https://www.ipcc-nggip.iges.or.jp/EFDB/find_ef.php?reset=" TargetMode="External"/><Relationship Id="rId2" Type="http://schemas.openxmlformats.org/officeDocument/2006/relationships/hyperlink" Target="https://www.norskpetroleum.no/en/calculator/about-energy-calculator/" TargetMode="External"/><Relationship Id="rId1" Type="http://schemas.openxmlformats.org/officeDocument/2006/relationships/hyperlink" Target="https://services.totalenergies.uk/system/files/atoms/files/elgin_franklin_icop.pdf" TargetMode="External"/><Relationship Id="rId6" Type="http://schemas.openxmlformats.org/officeDocument/2006/relationships/hyperlink" Target="https://www.plinovodi.si/en/other/news/new-natural-gas-price-cb-at-0-3270-eur-sm3/" TargetMode="External"/><Relationship Id="rId5" Type="http://schemas.openxmlformats.org/officeDocument/2006/relationships/hyperlink" Target="https://ens.dk/sites/ens.dk/files/Analyser/technology_data_catalogue_for_el_and_dh.pdf" TargetMode="External"/><Relationship Id="rId4" Type="http://schemas.openxmlformats.org/officeDocument/2006/relationships/hyperlink" Target="https://ens.dk/en/our-services/projections-and-models/technology-data/technology-data-generation-electricity-and" TargetMode="External"/><Relationship Id="rId9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"/>
  <sheetViews>
    <sheetView tabSelected="1" zoomScale="96" zoomScaleNormal="96" workbookViewId="0">
      <selection activeCell="G36" sqref="G36"/>
    </sheetView>
  </sheetViews>
  <sheetFormatPr defaultColWidth="8.5703125" defaultRowHeight="15" x14ac:dyDescent="0.25"/>
  <cols>
    <col min="1" max="1" width="37" customWidth="1"/>
    <col min="2" max="2" width="37.28515625" customWidth="1"/>
    <col min="3" max="3" width="33.5703125" customWidth="1"/>
    <col min="4" max="4" width="24.7109375" customWidth="1"/>
    <col min="5" max="5" width="13.7109375" customWidth="1"/>
    <col min="6" max="6" width="18.85546875" bestFit="1" customWidth="1"/>
    <col min="7" max="7" width="18" bestFit="1" customWidth="1"/>
    <col min="9" max="9" width="14.85546875" customWidth="1"/>
    <col min="10" max="10" width="20.140625" customWidth="1"/>
    <col min="11" max="11" width="2" customWidth="1"/>
    <col min="16" max="16" width="18.7109375" customWidth="1"/>
  </cols>
  <sheetData>
    <row r="1" spans="1:13" x14ac:dyDescent="0.25">
      <c r="A1" s="1" t="s">
        <v>0</v>
      </c>
      <c r="I1" t="s">
        <v>1</v>
      </c>
    </row>
    <row r="2" spans="1:13" x14ac:dyDescent="0.25">
      <c r="A2" t="s">
        <v>2</v>
      </c>
      <c r="B2" t="s">
        <v>3</v>
      </c>
      <c r="C2" t="s">
        <v>4</v>
      </c>
      <c r="D2" t="s">
        <v>5</v>
      </c>
      <c r="E2" t="s">
        <v>4</v>
      </c>
      <c r="I2" s="2" t="s">
        <v>6</v>
      </c>
    </row>
    <row r="3" spans="1:13" x14ac:dyDescent="0.25">
      <c r="A3" t="s">
        <v>7</v>
      </c>
      <c r="B3" s="3">
        <v>90</v>
      </c>
      <c r="C3" t="s">
        <v>8</v>
      </c>
      <c r="I3">
        <v>1</v>
      </c>
      <c r="J3" t="s">
        <v>9</v>
      </c>
      <c r="K3" t="s">
        <v>10</v>
      </c>
      <c r="L3">
        <v>40</v>
      </c>
      <c r="M3" t="s">
        <v>11</v>
      </c>
    </row>
    <row r="4" spans="1:13" x14ac:dyDescent="0.25">
      <c r="A4" t="s">
        <v>12</v>
      </c>
      <c r="B4">
        <v>138</v>
      </c>
      <c r="C4" t="s">
        <v>13</v>
      </c>
      <c r="I4">
        <v>1</v>
      </c>
      <c r="J4" t="s">
        <v>14</v>
      </c>
      <c r="K4" t="s">
        <v>10</v>
      </c>
      <c r="L4">
        <v>0.159</v>
      </c>
      <c r="M4" t="s">
        <v>15</v>
      </c>
    </row>
    <row r="5" spans="1:13" x14ac:dyDescent="0.25">
      <c r="A5" t="s">
        <v>16</v>
      </c>
      <c r="B5">
        <v>15.5</v>
      </c>
      <c r="C5" t="s">
        <v>17</v>
      </c>
      <c r="D5" s="4">
        <f>B5*L8*10^6</f>
        <v>172222.22222222222</v>
      </c>
      <c r="E5" t="s">
        <v>18</v>
      </c>
      <c r="I5">
        <v>1</v>
      </c>
      <c r="J5" t="s">
        <v>19</v>
      </c>
      <c r="K5" t="s">
        <v>10</v>
      </c>
      <c r="L5">
        <v>36000</v>
      </c>
      <c r="M5" t="s">
        <v>20</v>
      </c>
    </row>
    <row r="6" spans="1:13" x14ac:dyDescent="0.25">
      <c r="A6" t="s">
        <v>21</v>
      </c>
      <c r="B6">
        <f>B5</f>
        <v>15.5</v>
      </c>
      <c r="C6" t="s">
        <v>17</v>
      </c>
      <c r="I6">
        <v>1</v>
      </c>
      <c r="J6" t="s">
        <v>20</v>
      </c>
      <c r="K6" t="s">
        <v>10</v>
      </c>
      <c r="L6" s="5">
        <f>1/3.6</f>
        <v>0.27777777777777779</v>
      </c>
      <c r="M6" t="s">
        <v>22</v>
      </c>
    </row>
    <row r="7" spans="1:13" x14ac:dyDescent="0.25">
      <c r="A7" t="s">
        <v>23</v>
      </c>
      <c r="B7">
        <f>B6</f>
        <v>15.5</v>
      </c>
      <c r="C7" t="s">
        <v>17</v>
      </c>
      <c r="I7" t="s">
        <v>24</v>
      </c>
    </row>
    <row r="8" spans="1:13" x14ac:dyDescent="0.25">
      <c r="A8" t="s">
        <v>25</v>
      </c>
      <c r="B8">
        <f>B7</f>
        <v>15.5</v>
      </c>
      <c r="C8" t="s">
        <v>17</v>
      </c>
      <c r="I8">
        <v>1</v>
      </c>
      <c r="J8" t="s">
        <v>9</v>
      </c>
      <c r="K8" t="s">
        <v>10</v>
      </c>
      <c r="L8" s="6">
        <f>L3*L6/1000</f>
        <v>1.1111111111111112E-2</v>
      </c>
      <c r="M8" t="s">
        <v>26</v>
      </c>
    </row>
    <row r="9" spans="1:13" x14ac:dyDescent="0.25">
      <c r="A9" t="s">
        <v>27</v>
      </c>
      <c r="B9">
        <f>B8</f>
        <v>15.5</v>
      </c>
      <c r="C9" t="s">
        <v>17</v>
      </c>
      <c r="I9">
        <v>1</v>
      </c>
      <c r="J9" t="s">
        <v>28</v>
      </c>
      <c r="K9" t="s">
        <v>10</v>
      </c>
      <c r="L9">
        <f>I4*L4*L5*L6/1000</f>
        <v>1.59</v>
      </c>
      <c r="M9" t="s">
        <v>26</v>
      </c>
    </row>
    <row r="10" spans="1:13" x14ac:dyDescent="0.25">
      <c r="A10" t="s">
        <v>29</v>
      </c>
      <c r="B10" s="7">
        <v>175000</v>
      </c>
      <c r="C10" t="s">
        <v>30</v>
      </c>
      <c r="D10">
        <f>B10*L9</f>
        <v>278250</v>
      </c>
      <c r="E10" t="s">
        <v>18</v>
      </c>
      <c r="I10">
        <v>1</v>
      </c>
      <c r="J10" t="s">
        <v>19</v>
      </c>
      <c r="K10" t="s">
        <v>10</v>
      </c>
      <c r="L10">
        <f>L5*L6/1000</f>
        <v>10</v>
      </c>
      <c r="M10" t="s">
        <v>26</v>
      </c>
    </row>
    <row r="11" spans="1:13" x14ac:dyDescent="0.25">
      <c r="A11" t="s">
        <v>31</v>
      </c>
      <c r="B11" s="7">
        <f>B10</f>
        <v>175000</v>
      </c>
      <c r="C11" t="s">
        <v>32</v>
      </c>
    </row>
    <row r="12" spans="1:13" x14ac:dyDescent="0.25">
      <c r="A12" t="s">
        <v>33</v>
      </c>
      <c r="B12" s="8">
        <v>0.9</v>
      </c>
      <c r="I12">
        <v>1</v>
      </c>
      <c r="J12" t="s">
        <v>34</v>
      </c>
      <c r="K12" t="s">
        <v>10</v>
      </c>
      <c r="L12">
        <v>8760</v>
      </c>
      <c r="M12" t="s">
        <v>35</v>
      </c>
    </row>
    <row r="13" spans="1:13" x14ac:dyDescent="0.25">
      <c r="A13" t="s">
        <v>36</v>
      </c>
      <c r="B13" s="7">
        <v>25000</v>
      </c>
      <c r="C13" t="s">
        <v>37</v>
      </c>
      <c r="D13">
        <v>4000</v>
      </c>
      <c r="E13" t="s">
        <v>38</v>
      </c>
      <c r="I13">
        <v>1</v>
      </c>
      <c r="J13" t="s">
        <v>39</v>
      </c>
      <c r="K13" t="s">
        <v>10</v>
      </c>
      <c r="L13">
        <v>24</v>
      </c>
      <c r="M13" t="s">
        <v>35</v>
      </c>
    </row>
    <row r="14" spans="1:13" x14ac:dyDescent="0.25">
      <c r="A14" t="s">
        <v>40</v>
      </c>
      <c r="B14" s="9">
        <v>31</v>
      </c>
      <c r="C14" t="s">
        <v>41</v>
      </c>
    </row>
    <row r="15" spans="1:13" x14ac:dyDescent="0.25">
      <c r="A15" t="s">
        <v>42</v>
      </c>
      <c r="B15" s="9">
        <v>2</v>
      </c>
      <c r="C15" t="s">
        <v>43</v>
      </c>
    </row>
    <row r="16" spans="1:13" x14ac:dyDescent="0.25">
      <c r="A16" t="s">
        <v>44</v>
      </c>
      <c r="B16" s="7">
        <v>120</v>
      </c>
      <c r="C16" t="s">
        <v>41</v>
      </c>
    </row>
    <row r="17" spans="1:15" x14ac:dyDescent="0.25">
      <c r="B17" s="7"/>
    </row>
    <row r="18" spans="1:15" x14ac:dyDescent="0.25">
      <c r="A18" t="s">
        <v>45</v>
      </c>
      <c r="B18" s="7" t="s">
        <v>5</v>
      </c>
      <c r="C18" t="s">
        <v>4</v>
      </c>
      <c r="D18" t="s">
        <v>46</v>
      </c>
    </row>
    <row r="19" spans="1:15" x14ac:dyDescent="0.25">
      <c r="A19" t="s">
        <v>47</v>
      </c>
      <c r="B19" s="10">
        <v>0.03</v>
      </c>
      <c r="C19" t="s">
        <v>48</v>
      </c>
      <c r="D19" s="2" t="s">
        <v>49</v>
      </c>
      <c r="G19" t="s">
        <v>50</v>
      </c>
    </row>
    <row r="20" spans="1:15" x14ac:dyDescent="0.25">
      <c r="A20" s="11" t="s">
        <v>51</v>
      </c>
      <c r="B20" s="39">
        <v>2015</v>
      </c>
      <c r="C20" s="11">
        <v>2020</v>
      </c>
      <c r="D20" s="11">
        <v>2030</v>
      </c>
      <c r="E20" s="11">
        <v>2040</v>
      </c>
      <c r="F20" s="11">
        <v>2050</v>
      </c>
      <c r="G20" s="11"/>
      <c r="H20" s="12" t="s">
        <v>52</v>
      </c>
    </row>
    <row r="21" spans="1:15" x14ac:dyDescent="0.25">
      <c r="A21" t="s">
        <v>53</v>
      </c>
      <c r="B21" s="40">
        <v>0.34</v>
      </c>
      <c r="C21">
        <v>0.34</v>
      </c>
      <c r="D21" s="8">
        <v>0.35</v>
      </c>
      <c r="E21" s="8">
        <v>0.37</v>
      </c>
      <c r="F21" s="8">
        <v>0.38</v>
      </c>
    </row>
    <row r="22" spans="1:15" x14ac:dyDescent="0.25">
      <c r="A22" t="s">
        <v>54</v>
      </c>
      <c r="B22" s="41">
        <v>0.71</v>
      </c>
      <c r="C22">
        <v>0.71</v>
      </c>
      <c r="D22" s="13">
        <v>0.73</v>
      </c>
      <c r="E22" s="13">
        <v>0.8</v>
      </c>
      <c r="F22" s="13">
        <v>0.8</v>
      </c>
      <c r="H22" s="2" t="s">
        <v>55</v>
      </c>
      <c r="K22" s="14"/>
    </row>
    <row r="23" spans="1:15" x14ac:dyDescent="0.25">
      <c r="A23" t="s">
        <v>56</v>
      </c>
      <c r="B23" s="41">
        <v>0.6</v>
      </c>
      <c r="C23">
        <v>0.6</v>
      </c>
      <c r="D23" s="13">
        <v>0.6</v>
      </c>
      <c r="E23" s="13">
        <v>0.6</v>
      </c>
      <c r="F23" s="13">
        <v>0.6</v>
      </c>
      <c r="G23" t="s">
        <v>57</v>
      </c>
      <c r="H23" s="2"/>
      <c r="K23" s="14"/>
    </row>
    <row r="24" spans="1:15" x14ac:dyDescent="0.25">
      <c r="A24" t="s">
        <v>58</v>
      </c>
      <c r="B24" s="41">
        <v>0.04</v>
      </c>
      <c r="C24">
        <v>0.04</v>
      </c>
      <c r="D24" s="13">
        <v>0.04</v>
      </c>
      <c r="E24" s="13">
        <v>0.04</v>
      </c>
      <c r="F24" s="13">
        <v>0.04</v>
      </c>
      <c r="G24" t="s">
        <v>59</v>
      </c>
      <c r="H24" s="2"/>
    </row>
    <row r="25" spans="1:15" x14ac:dyDescent="0.25">
      <c r="A25" t="s">
        <v>60</v>
      </c>
      <c r="B25" s="41">
        <v>0.75</v>
      </c>
      <c r="C25" s="47">
        <v>0.77400000000000002</v>
      </c>
      <c r="D25" s="47">
        <v>0.75336000000000003</v>
      </c>
      <c r="E25" s="47">
        <v>0.72239999999999993</v>
      </c>
      <c r="F25" s="47">
        <v>0.70176000000000005</v>
      </c>
      <c r="G25" t="s">
        <v>280</v>
      </c>
      <c r="H25" s="2"/>
    </row>
    <row r="26" spans="1:15" x14ac:dyDescent="0.25">
      <c r="A26" t="s">
        <v>61</v>
      </c>
      <c r="B26" s="41">
        <v>5.5</v>
      </c>
      <c r="C26" s="49">
        <v>5.858585858585859</v>
      </c>
      <c r="D26" s="49">
        <v>5.7520661157024806</v>
      </c>
      <c r="E26" s="49">
        <v>5.4325068870523419</v>
      </c>
      <c r="F26" s="49">
        <v>4.8999081726354454</v>
      </c>
      <c r="G26" t="s">
        <v>281</v>
      </c>
      <c r="H26" s="2"/>
    </row>
    <row r="27" spans="1:15" x14ac:dyDescent="0.25">
      <c r="A27" t="s">
        <v>62</v>
      </c>
      <c r="B27" s="42">
        <v>20000</v>
      </c>
      <c r="C27" s="48">
        <v>20640.000000000004</v>
      </c>
      <c r="D27" s="48">
        <v>20124</v>
      </c>
      <c r="E27" s="48">
        <v>19195.2</v>
      </c>
      <c r="F27" s="48">
        <v>18576</v>
      </c>
      <c r="G27" t="s">
        <v>282</v>
      </c>
      <c r="H27" s="2"/>
    </row>
    <row r="28" spans="1:15" x14ac:dyDescent="0.25">
      <c r="A28" t="s">
        <v>63</v>
      </c>
      <c r="B28" s="43">
        <v>25</v>
      </c>
      <c r="C28">
        <v>25</v>
      </c>
      <c r="D28" s="7">
        <v>25</v>
      </c>
      <c r="E28" s="9">
        <v>25</v>
      </c>
      <c r="F28" s="7">
        <v>25</v>
      </c>
      <c r="G28" t="s">
        <v>64</v>
      </c>
      <c r="H28" s="2"/>
    </row>
    <row r="29" spans="1:15" x14ac:dyDescent="0.25">
      <c r="A29" t="s">
        <v>65</v>
      </c>
      <c r="B29" s="44">
        <v>0.02</v>
      </c>
      <c r="C29">
        <v>0.02</v>
      </c>
      <c r="D29" s="15">
        <v>0.02</v>
      </c>
      <c r="E29" s="15">
        <v>0.02</v>
      </c>
      <c r="F29" s="15">
        <v>0.02</v>
      </c>
      <c r="H29" s="2"/>
    </row>
    <row r="30" spans="1:15" x14ac:dyDescent="0.25">
      <c r="A30" t="s">
        <v>66</v>
      </c>
      <c r="B30" s="45">
        <v>3</v>
      </c>
      <c r="C30">
        <v>3</v>
      </c>
      <c r="D30" s="16">
        <v>2.8</v>
      </c>
      <c r="E30" s="16">
        <v>2.5</v>
      </c>
      <c r="F30" s="16">
        <v>2.5</v>
      </c>
      <c r="G30" t="s">
        <v>67</v>
      </c>
      <c r="H30" s="2"/>
      <c r="L30" s="17"/>
      <c r="M30" s="17"/>
      <c r="N30" s="17"/>
      <c r="O30" s="17"/>
    </row>
    <row r="31" spans="1:15" x14ac:dyDescent="0.25">
      <c r="A31" t="s">
        <v>66</v>
      </c>
      <c r="B31" s="46">
        <f>B30*24*7/$L$12</f>
        <v>5.7534246575342465E-2</v>
      </c>
      <c r="C31">
        <v>0.06</v>
      </c>
      <c r="D31" s="15">
        <f>D30*24*7/$L$12</f>
        <v>5.3698630136986295E-2</v>
      </c>
      <c r="E31" s="15">
        <f>E30*24*7/$L$12</f>
        <v>4.7945205479452052E-2</v>
      </c>
      <c r="F31" s="15">
        <f>F30*24*7/$L$12</f>
        <v>4.7945205479452052E-2</v>
      </c>
      <c r="H31" s="2"/>
    </row>
    <row r="33" spans="1:18" x14ac:dyDescent="0.25">
      <c r="A33" t="s">
        <v>68</v>
      </c>
      <c r="B33" s="7" t="s">
        <v>5</v>
      </c>
      <c r="C33" t="s">
        <v>4</v>
      </c>
      <c r="D33" t="s">
        <v>69</v>
      </c>
      <c r="E33" s="3">
        <v>400000</v>
      </c>
      <c r="F33" t="s">
        <v>70</v>
      </c>
      <c r="G33" s="2" t="s">
        <v>71</v>
      </c>
    </row>
    <row r="34" spans="1:18" x14ac:dyDescent="0.25">
      <c r="A34" t="s">
        <v>72</v>
      </c>
      <c r="B34" s="7">
        <f>D10*B12/L13</f>
        <v>10434.375</v>
      </c>
      <c r="C34" t="s">
        <v>73</v>
      </c>
      <c r="D34" t="s">
        <v>74</v>
      </c>
      <c r="E34">
        <v>80</v>
      </c>
      <c r="F34" t="s">
        <v>75</v>
      </c>
    </row>
    <row r="35" spans="1:18" x14ac:dyDescent="0.25">
      <c r="A35" t="s">
        <v>76</v>
      </c>
      <c r="B35" s="7">
        <f>D5*B12/L13</f>
        <v>6458.333333333333</v>
      </c>
      <c r="C35" t="s">
        <v>73</v>
      </c>
      <c r="E35" s="18">
        <f>E34/L4*10^6</f>
        <v>503144654.08805031</v>
      </c>
      <c r="F35" t="s">
        <v>70</v>
      </c>
    </row>
    <row r="36" spans="1:18" x14ac:dyDescent="0.25">
      <c r="A36" t="s">
        <v>77</v>
      </c>
      <c r="B36" s="7">
        <f>B35*B19</f>
        <v>193.74999999999997</v>
      </c>
      <c r="C36" t="s">
        <v>73</v>
      </c>
      <c r="D36" t="s">
        <v>78</v>
      </c>
      <c r="E36" s="19">
        <v>0.46</v>
      </c>
      <c r="F36" t="s">
        <v>289</v>
      </c>
      <c r="I36" s="2" t="s">
        <v>79</v>
      </c>
      <c r="J36" s="51" t="s">
        <v>291</v>
      </c>
    </row>
    <row r="37" spans="1:18" x14ac:dyDescent="0.25">
      <c r="A37" t="s">
        <v>80</v>
      </c>
      <c r="B37" s="7">
        <f>B49/B21</f>
        <v>89.370588235294107</v>
      </c>
      <c r="C37" t="s">
        <v>73</v>
      </c>
      <c r="E37" s="3">
        <f>E36*L8*10^6</f>
        <v>5111.1111111111113</v>
      </c>
      <c r="F37" t="s">
        <v>290</v>
      </c>
    </row>
    <row r="39" spans="1:18" x14ac:dyDescent="0.25">
      <c r="A39" s="20" t="s">
        <v>81</v>
      </c>
      <c r="B39" s="20" t="s">
        <v>82</v>
      </c>
      <c r="C39" s="20" t="s">
        <v>83</v>
      </c>
      <c r="D39" s="20" t="s">
        <v>84</v>
      </c>
      <c r="E39" s="20" t="s">
        <v>85</v>
      </c>
    </row>
    <row r="40" spans="1:18" x14ac:dyDescent="0.25">
      <c r="A40" s="20" t="s">
        <v>86</v>
      </c>
      <c r="B40" s="20"/>
      <c r="C40" s="20"/>
      <c r="D40" s="20"/>
      <c r="E40" s="20"/>
    </row>
    <row r="41" spans="1:18" x14ac:dyDescent="0.25">
      <c r="A41" s="20" t="s">
        <v>87</v>
      </c>
      <c r="B41" s="20">
        <v>12.5</v>
      </c>
      <c r="C41" s="20">
        <v>13.9</v>
      </c>
      <c r="D41" s="20">
        <v>14.6</v>
      </c>
      <c r="E41" s="20">
        <v>2.1</v>
      </c>
    </row>
    <row r="42" spans="1:18" x14ac:dyDescent="0.25">
      <c r="A42" s="20" t="s">
        <v>88</v>
      </c>
      <c r="B42" s="20">
        <v>1.7</v>
      </c>
      <c r="C42" s="20">
        <v>1.9</v>
      </c>
      <c r="D42" s="20">
        <v>2.2999999999999998</v>
      </c>
      <c r="E42" s="20">
        <v>0.6</v>
      </c>
    </row>
    <row r="43" spans="1:18" x14ac:dyDescent="0.25">
      <c r="A43" s="20" t="s">
        <v>89</v>
      </c>
      <c r="B43" s="20">
        <v>2</v>
      </c>
      <c r="C43" s="20">
        <v>2</v>
      </c>
      <c r="D43" s="20">
        <v>2</v>
      </c>
      <c r="E43" s="20"/>
      <c r="J43" s="21"/>
      <c r="K43" s="22"/>
      <c r="L43" s="22"/>
      <c r="M43" s="22"/>
      <c r="N43" s="22"/>
      <c r="O43" s="22"/>
      <c r="P43" s="22"/>
      <c r="R43" s="22"/>
    </row>
    <row r="44" spans="1:18" x14ac:dyDescent="0.25">
      <c r="A44" s="20" t="s">
        <v>90</v>
      </c>
      <c r="B44" s="20">
        <v>16.2</v>
      </c>
      <c r="C44" s="20">
        <v>17.8</v>
      </c>
      <c r="D44" s="20">
        <v>18.899999999999999</v>
      </c>
      <c r="E44" s="20">
        <v>2.7</v>
      </c>
      <c r="K44" s="17"/>
      <c r="L44" s="17"/>
      <c r="M44" s="17"/>
      <c r="N44" s="17"/>
      <c r="O44" s="17"/>
      <c r="P44" s="17"/>
      <c r="R44" s="17"/>
    </row>
    <row r="45" spans="1:18" x14ac:dyDescent="0.25">
      <c r="A45" s="20"/>
      <c r="B45" s="20"/>
      <c r="C45" s="20"/>
      <c r="D45" s="20"/>
      <c r="E45" s="20"/>
    </row>
    <row r="46" spans="1:18" x14ac:dyDescent="0.25">
      <c r="A46" s="20" t="s">
        <v>91</v>
      </c>
      <c r="B46" s="20"/>
      <c r="C46" s="20"/>
      <c r="D46" s="20"/>
      <c r="E46" s="20"/>
    </row>
    <row r="47" spans="1:18" x14ac:dyDescent="0.25">
      <c r="A47" s="20" t="s">
        <v>87</v>
      </c>
      <c r="B47" s="23">
        <v>27.02</v>
      </c>
      <c r="C47" s="23">
        <v>31.888000000000002</v>
      </c>
      <c r="D47" s="23">
        <v>33.588000000000001</v>
      </c>
      <c r="E47" s="20">
        <v>6.5679999999999898</v>
      </c>
    </row>
    <row r="48" spans="1:18" x14ac:dyDescent="0.25">
      <c r="A48" s="20" t="s">
        <v>88</v>
      </c>
      <c r="B48" s="23">
        <v>3.3660000000000001</v>
      </c>
      <c r="C48" s="23">
        <v>3.7559999999999998</v>
      </c>
      <c r="D48" s="23">
        <v>3.8879999999999999</v>
      </c>
      <c r="E48" s="20">
        <v>0.52200000000000002</v>
      </c>
    </row>
    <row r="49" spans="1:6" x14ac:dyDescent="0.25">
      <c r="A49" s="20" t="s">
        <v>92</v>
      </c>
      <c r="B49" s="23">
        <v>30.385999999999999</v>
      </c>
      <c r="C49" s="23">
        <v>35.643999999999998</v>
      </c>
      <c r="D49" s="23">
        <v>37.475999999999999</v>
      </c>
      <c r="E49" s="24">
        <v>7.0899999999999901</v>
      </c>
    </row>
    <row r="51" spans="1:6" x14ac:dyDescent="0.25">
      <c r="A51" t="s">
        <v>93</v>
      </c>
    </row>
    <row r="52" spans="1:6" x14ac:dyDescent="0.25">
      <c r="A52" t="s">
        <v>94</v>
      </c>
      <c r="B52" t="s">
        <v>95</v>
      </c>
      <c r="C52" t="s">
        <v>5</v>
      </c>
      <c r="D52" t="s">
        <v>4</v>
      </c>
      <c r="E52" t="s">
        <v>96</v>
      </c>
      <c r="F52" t="s">
        <v>97</v>
      </c>
    </row>
    <row r="53" spans="1:6" x14ac:dyDescent="0.25">
      <c r="A53" t="s">
        <v>98</v>
      </c>
      <c r="B53" t="s">
        <v>99</v>
      </c>
      <c r="C53" s="25">
        <f>B34/L10/10^6</f>
        <v>1.0434375000000001E-3</v>
      </c>
      <c r="D53" t="s">
        <v>100</v>
      </c>
      <c r="E53" t="s">
        <v>101</v>
      </c>
    </row>
    <row r="54" spans="1:6" x14ac:dyDescent="0.25">
      <c r="C54" s="25">
        <f>B35/L8/10^6</f>
        <v>0.58125000000000004</v>
      </c>
      <c r="D54" t="s">
        <v>100</v>
      </c>
      <c r="E54" t="s">
        <v>102</v>
      </c>
    </row>
    <row r="55" spans="1:6" x14ac:dyDescent="0.25">
      <c r="C55" s="26">
        <f>SUM(C53:C54)</f>
        <v>0.58229343750000007</v>
      </c>
      <c r="D55" t="s">
        <v>100</v>
      </c>
      <c r="E55" t="s">
        <v>103</v>
      </c>
    </row>
    <row r="56" spans="1:6" x14ac:dyDescent="0.25">
      <c r="B56" t="s">
        <v>104</v>
      </c>
      <c r="C56" s="26">
        <f>C53/C55</f>
        <v>1.7919444609918002E-3</v>
      </c>
    </row>
    <row r="57" spans="1:6" x14ac:dyDescent="0.25">
      <c r="B57" t="s">
        <v>105</v>
      </c>
      <c r="C57" s="26">
        <f>C54/C55</f>
        <v>0.99820805553900815</v>
      </c>
    </row>
    <row r="58" spans="1:6" x14ac:dyDescent="0.25">
      <c r="B58" t="s">
        <v>106</v>
      </c>
      <c r="C58">
        <v>40</v>
      </c>
      <c r="D58" t="s">
        <v>64</v>
      </c>
    </row>
    <row r="59" spans="1:6" x14ac:dyDescent="0.25">
      <c r="B59" t="s">
        <v>107</v>
      </c>
      <c r="C59" s="18">
        <f>C55*C58*L12</f>
        <v>204035.62050000002</v>
      </c>
      <c r="D59" t="s">
        <v>108</v>
      </c>
    </row>
    <row r="60" spans="1:6" x14ac:dyDescent="0.25">
      <c r="B60" t="s">
        <v>284</v>
      </c>
      <c r="C60" s="18">
        <f>SUM(ProductionUnit_well_stream_ts!B8:B9)*Base!L12*10</f>
        <v>100064.90512500002</v>
      </c>
      <c r="D60" t="s">
        <v>108</v>
      </c>
    </row>
    <row r="61" spans="1:6" x14ac:dyDescent="0.25">
      <c r="A61" t="s">
        <v>109</v>
      </c>
      <c r="B61" t="s">
        <v>110</v>
      </c>
      <c r="C61" s="3">
        <f>B47/C55</f>
        <v>46.402721136626234</v>
      </c>
      <c r="D61" t="s">
        <v>111</v>
      </c>
      <c r="E61" t="s">
        <v>112</v>
      </c>
    </row>
    <row r="62" spans="1:6" x14ac:dyDescent="0.25">
      <c r="C62" s="3">
        <f>SUM(B41,B43)/C55</f>
        <v>24.901534288715041</v>
      </c>
      <c r="D62" t="s">
        <v>111</v>
      </c>
      <c r="E62" t="s">
        <v>113</v>
      </c>
    </row>
    <row r="63" spans="1:6" x14ac:dyDescent="0.25">
      <c r="A63" t="s">
        <v>114</v>
      </c>
      <c r="B63" t="s">
        <v>115</v>
      </c>
      <c r="C63" s="3">
        <f>B48/B3</f>
        <v>3.7400000000000003E-2</v>
      </c>
      <c r="D63" t="s">
        <v>116</v>
      </c>
      <c r="E63" t="s">
        <v>112</v>
      </c>
    </row>
    <row r="64" spans="1:6" x14ac:dyDescent="0.25">
      <c r="C64" s="3">
        <f>B42/B3</f>
        <v>1.8888888888888889E-2</v>
      </c>
      <c r="D64" t="s">
        <v>116</v>
      </c>
      <c r="E64" t="s">
        <v>113</v>
      </c>
    </row>
    <row r="65" spans="1:5" x14ac:dyDescent="0.25">
      <c r="A65" t="s">
        <v>117</v>
      </c>
      <c r="B65" t="s">
        <v>118</v>
      </c>
      <c r="C65" s="3">
        <f>C27/L12</f>
        <v>2.3561643835616444</v>
      </c>
      <c r="D65" t="s">
        <v>282</v>
      </c>
    </row>
    <row r="66" spans="1:5" x14ac:dyDescent="0.25">
      <c r="B66" t="s">
        <v>119</v>
      </c>
      <c r="C66" s="3">
        <f>C25*B14*10^6</f>
        <v>23994000</v>
      </c>
      <c r="D66" t="s">
        <v>283</v>
      </c>
    </row>
    <row r="67" spans="1:5" x14ac:dyDescent="0.25">
      <c r="B67" t="s">
        <v>120</v>
      </c>
      <c r="C67" s="3">
        <f>B21*L8*10^6</f>
        <v>3777.7777777777783</v>
      </c>
      <c r="D67" t="s">
        <v>111</v>
      </c>
      <c r="E67" t="s">
        <v>112</v>
      </c>
    </row>
    <row r="68" spans="1:5" x14ac:dyDescent="0.25">
      <c r="C68" s="3">
        <f>C67*B23</f>
        <v>2266.666666666667</v>
      </c>
      <c r="D68" t="s">
        <v>111</v>
      </c>
      <c r="E68" t="s">
        <v>113</v>
      </c>
    </row>
    <row r="69" spans="1:5" x14ac:dyDescent="0.25">
      <c r="B69" t="s">
        <v>121</v>
      </c>
      <c r="C69" s="27">
        <f>B26</f>
        <v>5.5</v>
      </c>
    </row>
    <row r="70" spans="1:5" x14ac:dyDescent="0.25">
      <c r="B70" t="s">
        <v>122</v>
      </c>
      <c r="C70" s="28">
        <f>1-SUM(B31,B29)</f>
        <v>0.92246575342465753</v>
      </c>
    </row>
    <row r="71" spans="1:5" x14ac:dyDescent="0.25">
      <c r="A71" t="s">
        <v>123</v>
      </c>
      <c r="B71" t="s">
        <v>118</v>
      </c>
      <c r="C71" s="3">
        <f>D27/L12</f>
        <v>2.2972602739726029</v>
      </c>
      <c r="D71" t="s">
        <v>282</v>
      </c>
    </row>
    <row r="72" spans="1:5" x14ac:dyDescent="0.25">
      <c r="B72" t="s">
        <v>119</v>
      </c>
      <c r="C72" s="3">
        <f>D25*B14*10^6</f>
        <v>23354160</v>
      </c>
      <c r="D72" t="s">
        <v>283</v>
      </c>
    </row>
    <row r="73" spans="1:5" x14ac:dyDescent="0.25">
      <c r="B73" t="s">
        <v>120</v>
      </c>
      <c r="C73" s="3">
        <f>E21*L8*10^6</f>
        <v>4111.1111111111113</v>
      </c>
      <c r="D73" t="s">
        <v>111</v>
      </c>
      <c r="E73" t="s">
        <v>112</v>
      </c>
    </row>
    <row r="74" spans="1:5" x14ac:dyDescent="0.25">
      <c r="C74" s="3">
        <f>C73*E23</f>
        <v>2466.6666666666665</v>
      </c>
      <c r="D74" t="s">
        <v>111</v>
      </c>
      <c r="E74" t="s">
        <v>113</v>
      </c>
    </row>
    <row r="75" spans="1:5" x14ac:dyDescent="0.25">
      <c r="B75" t="s">
        <v>121</v>
      </c>
      <c r="C75" s="3">
        <f>D26</f>
        <v>5.7520661157024806</v>
      </c>
    </row>
    <row r="76" spans="1:5" x14ac:dyDescent="0.25">
      <c r="B76" t="s">
        <v>122</v>
      </c>
      <c r="C76" s="28">
        <f>1-SUM(E29,E31)</f>
        <v>0.93205479452054796</v>
      </c>
    </row>
  </sheetData>
  <phoneticPr fontId="10" type="noConversion"/>
  <hyperlinks>
    <hyperlink ref="A1" r:id="rId1" xr:uid="{00000000-0004-0000-0000-000000000000}"/>
    <hyperlink ref="I2" r:id="rId2" xr:uid="{00000000-0004-0000-0000-000001000000}"/>
    <hyperlink ref="D19" r:id="rId3" xr:uid="{00000000-0004-0000-0000-000002000000}"/>
    <hyperlink ref="H20" r:id="rId4" xr:uid="{00000000-0004-0000-0000-000003000000}"/>
    <hyperlink ref="H22" r:id="rId5" location="page=21" xr:uid="{00000000-0004-0000-0000-000004000000}"/>
    <hyperlink ref="G33" r:id="rId6" xr:uid="{00000000-0004-0000-0000-000005000000}"/>
    <hyperlink ref="I36" r:id="rId7" xr:uid="{00000000-0004-0000-0000-000006000000}"/>
  </hyperlinks>
  <pageMargins left="0.7" right="0.7" top="0.75" bottom="0.75" header="0.51180555555555496" footer="0.51180555555555496"/>
  <pageSetup paperSize="9" firstPageNumber="0" orientation="portrait" horizontalDpi="300" verticalDpi="300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"/>
  <sheetViews>
    <sheetView zoomScale="99" zoomScaleNormal="99" workbookViewId="0"/>
  </sheetViews>
  <sheetFormatPr defaultColWidth="8.5703125" defaultRowHeight="15" x14ac:dyDescent="0.25"/>
  <cols>
    <col min="1" max="1" width="16.42578125" customWidth="1"/>
    <col min="2" max="2" width="24.140625" customWidth="1"/>
    <col min="3" max="3" width="21.140625" customWidth="1"/>
    <col min="5" max="5" width="32.5703125" customWidth="1"/>
    <col min="6" max="6" width="24.140625" customWidth="1"/>
    <col min="7" max="7" width="21.140625" customWidth="1"/>
    <col min="8" max="8" width="22.42578125" customWidth="1"/>
    <col min="9" max="9" width="20.140625" customWidth="1"/>
    <col min="10" max="10" width="10.5703125" customWidth="1"/>
    <col min="11" max="11" width="5.85546875" customWidth="1"/>
    <col min="13" max="13" width="17.85546875" customWidth="1"/>
    <col min="16" max="16" width="15.28515625" customWidth="1"/>
  </cols>
  <sheetData>
    <row r="1" spans="1:16" x14ac:dyDescent="0.25">
      <c r="A1" t="s">
        <v>167</v>
      </c>
      <c r="B1" t="s">
        <v>146</v>
      </c>
      <c r="C1" t="s">
        <v>145</v>
      </c>
      <c r="E1" t="s">
        <v>167</v>
      </c>
      <c r="F1" t="s">
        <v>146</v>
      </c>
      <c r="G1" t="s">
        <v>145</v>
      </c>
      <c r="H1" t="s">
        <v>211</v>
      </c>
      <c r="I1" t="s">
        <v>168</v>
      </c>
      <c r="J1" t="s">
        <v>163</v>
      </c>
      <c r="K1" t="s">
        <v>169</v>
      </c>
      <c r="M1" t="s">
        <v>211</v>
      </c>
      <c r="N1" t="s">
        <v>163</v>
      </c>
      <c r="O1" t="s">
        <v>212</v>
      </c>
      <c r="P1" t="s">
        <v>213</v>
      </c>
    </row>
    <row r="2" spans="1:16" x14ac:dyDescent="0.25">
      <c r="A2" t="s">
        <v>171</v>
      </c>
      <c r="B2" t="s">
        <v>155</v>
      </c>
      <c r="C2" t="s">
        <v>151</v>
      </c>
      <c r="E2" t="s">
        <v>214</v>
      </c>
      <c r="F2" t="s">
        <v>155</v>
      </c>
      <c r="G2" t="s">
        <v>151</v>
      </c>
      <c r="H2" t="s">
        <v>215</v>
      </c>
      <c r="I2" t="s">
        <v>216</v>
      </c>
      <c r="J2" t="s">
        <v>166</v>
      </c>
      <c r="K2">
        <v>-1</v>
      </c>
      <c r="M2" t="s">
        <v>215</v>
      </c>
      <c r="N2" t="s">
        <v>166</v>
      </c>
      <c r="O2" t="s">
        <v>217</v>
      </c>
      <c r="P2">
        <v>0</v>
      </c>
    </row>
    <row r="3" spans="1:16" x14ac:dyDescent="0.25">
      <c r="E3" t="s">
        <v>218</v>
      </c>
      <c r="F3" t="s">
        <v>149</v>
      </c>
      <c r="G3" t="s">
        <v>151</v>
      </c>
      <c r="H3" t="s">
        <v>215</v>
      </c>
      <c r="I3" t="s">
        <v>216</v>
      </c>
      <c r="J3" t="s">
        <v>166</v>
      </c>
      <c r="K3">
        <f>Base!B19</f>
        <v>0.03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zoomScale="107" zoomScaleNormal="107" workbookViewId="0"/>
  </sheetViews>
  <sheetFormatPr defaultColWidth="8.5703125" defaultRowHeight="15" x14ac:dyDescent="0.25"/>
  <cols>
    <col min="1" max="1" width="11.5703125" customWidth="1"/>
    <col min="2" max="2" width="15.7109375" customWidth="1"/>
    <col min="3" max="3" width="23.5703125" customWidth="1"/>
    <col min="4" max="4" width="11.5703125" customWidth="1"/>
    <col min="5" max="5" width="23.5703125" customWidth="1"/>
    <col min="6" max="6" width="20.140625" customWidth="1"/>
    <col min="8" max="8" width="18.5703125" customWidth="1"/>
    <col min="9" max="9" width="15.7109375" customWidth="1"/>
    <col min="10" max="10" width="8.140625" customWidth="1"/>
  </cols>
  <sheetData>
    <row r="1" spans="1:10" x14ac:dyDescent="0.25">
      <c r="A1" t="s">
        <v>144</v>
      </c>
      <c r="B1" t="s">
        <v>219</v>
      </c>
      <c r="C1" t="s">
        <v>220</v>
      </c>
      <c r="E1" t="s">
        <v>145</v>
      </c>
      <c r="F1" t="s">
        <v>163</v>
      </c>
      <c r="G1" t="s">
        <v>191</v>
      </c>
      <c r="H1" t="s">
        <v>221</v>
      </c>
      <c r="I1" t="s">
        <v>222</v>
      </c>
      <c r="J1" t="s">
        <v>187</v>
      </c>
    </row>
    <row r="2" spans="1:10" x14ac:dyDescent="0.25">
      <c r="A2" t="s">
        <v>145</v>
      </c>
      <c r="B2" t="s">
        <v>156</v>
      </c>
      <c r="C2" t="s">
        <v>160</v>
      </c>
      <c r="E2" t="s">
        <v>156</v>
      </c>
      <c r="F2" t="s">
        <v>201</v>
      </c>
      <c r="G2" t="b">
        <f>FALSE()</f>
        <v>0</v>
      </c>
    </row>
    <row r="3" spans="1:10" x14ac:dyDescent="0.25">
      <c r="A3" t="s">
        <v>145</v>
      </c>
      <c r="B3" t="s">
        <v>156</v>
      </c>
      <c r="C3" t="s">
        <v>150</v>
      </c>
      <c r="E3" t="s">
        <v>160</v>
      </c>
      <c r="F3" t="s">
        <v>201</v>
      </c>
      <c r="G3" t="b">
        <f>FALSE()</f>
        <v>0</v>
      </c>
    </row>
    <row r="4" spans="1:10" x14ac:dyDescent="0.25">
      <c r="E4" t="s">
        <v>156</v>
      </c>
      <c r="F4" t="s">
        <v>204</v>
      </c>
      <c r="H4" t="s">
        <v>223</v>
      </c>
    </row>
    <row r="5" spans="1:10" x14ac:dyDescent="0.25">
      <c r="E5" t="s">
        <v>160</v>
      </c>
      <c r="F5" t="s">
        <v>204</v>
      </c>
      <c r="I5" t="b">
        <f>TRUE()</f>
        <v>1</v>
      </c>
      <c r="J5">
        <f>Base!E49</f>
        <v>7.0899999999999901</v>
      </c>
    </row>
    <row r="6" spans="1:10" x14ac:dyDescent="0.25">
      <c r="E6" t="s">
        <v>150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"/>
  <sheetViews>
    <sheetView zoomScale="102" zoomScaleNormal="102" workbookViewId="0">
      <selection activeCell="O3" sqref="O3"/>
    </sheetView>
  </sheetViews>
  <sheetFormatPr defaultColWidth="8.5703125" defaultRowHeight="15" x14ac:dyDescent="0.25"/>
  <cols>
    <col min="1" max="1" width="16.42578125" customWidth="1"/>
    <col min="2" max="2" width="21.85546875" customWidth="1"/>
    <col min="3" max="3" width="15.140625" customWidth="1"/>
    <col min="5" max="5" width="17.85546875" customWidth="1"/>
    <col min="6" max="6" width="24.140625" customWidth="1"/>
    <col min="7" max="7" width="15.140625" customWidth="1"/>
    <col min="8" max="9" width="14.85546875" customWidth="1"/>
    <col min="10" max="10" width="14" customWidth="1"/>
    <col min="11" max="11" width="5.85546875" customWidth="1"/>
    <col min="13" max="13" width="15.140625" customWidth="1"/>
    <col min="14" max="14" width="16.28515625" customWidth="1"/>
    <col min="15" max="15" width="16" customWidth="1"/>
    <col min="16" max="16" width="18.5703125" customWidth="1"/>
  </cols>
  <sheetData>
    <row r="1" spans="1:15" x14ac:dyDescent="0.25">
      <c r="A1" t="s">
        <v>167</v>
      </c>
      <c r="B1" t="s">
        <v>146</v>
      </c>
      <c r="C1" t="s">
        <v>145</v>
      </c>
      <c r="E1" t="s">
        <v>167</v>
      </c>
      <c r="F1" t="s">
        <v>146</v>
      </c>
      <c r="G1" t="s">
        <v>145</v>
      </c>
      <c r="H1" t="s">
        <v>145</v>
      </c>
      <c r="I1" t="s">
        <v>168</v>
      </c>
      <c r="J1" t="s">
        <v>163</v>
      </c>
      <c r="K1" t="s">
        <v>169</v>
      </c>
      <c r="M1" t="s">
        <v>145</v>
      </c>
      <c r="N1" t="s">
        <v>163</v>
      </c>
      <c r="O1" t="s">
        <v>224</v>
      </c>
    </row>
    <row r="2" spans="1:15" x14ac:dyDescent="0.25">
      <c r="A2" t="s">
        <v>176</v>
      </c>
      <c r="B2" t="s">
        <v>155</v>
      </c>
      <c r="C2" t="s">
        <v>161</v>
      </c>
      <c r="E2" t="s">
        <v>172</v>
      </c>
      <c r="F2" t="s">
        <v>155</v>
      </c>
      <c r="G2" t="s">
        <v>161</v>
      </c>
      <c r="H2" t="s">
        <v>151</v>
      </c>
      <c r="I2" t="s">
        <v>175</v>
      </c>
      <c r="J2" t="s">
        <v>166</v>
      </c>
      <c r="K2">
        <f>Base!E37</f>
        <v>5111.1111111111113</v>
      </c>
      <c r="M2" t="s">
        <v>161</v>
      </c>
      <c r="N2" t="s">
        <v>225</v>
      </c>
      <c r="O2">
        <v>83.03</v>
      </c>
    </row>
    <row r="3" spans="1:15" x14ac:dyDescent="0.25">
      <c r="A3" t="s">
        <v>176</v>
      </c>
      <c r="B3" t="s">
        <v>154</v>
      </c>
      <c r="C3" t="s">
        <v>161</v>
      </c>
      <c r="E3" t="s">
        <v>172</v>
      </c>
      <c r="F3" t="s">
        <v>154</v>
      </c>
      <c r="G3" t="s">
        <v>161</v>
      </c>
      <c r="H3" t="s">
        <v>151</v>
      </c>
      <c r="I3" t="s">
        <v>175</v>
      </c>
      <c r="J3" t="s">
        <v>166</v>
      </c>
      <c r="K3">
        <f>Base!E37</f>
        <v>5111.1111111111113</v>
      </c>
    </row>
    <row r="4" spans="1:15" x14ac:dyDescent="0.25">
      <c r="A4" t="s">
        <v>176</v>
      </c>
      <c r="B4" t="s">
        <v>159</v>
      </c>
      <c r="C4" t="s">
        <v>161</v>
      </c>
      <c r="E4" t="s">
        <v>172</v>
      </c>
      <c r="F4" t="s">
        <v>159</v>
      </c>
      <c r="G4" t="s">
        <v>161</v>
      </c>
      <c r="H4" t="s">
        <v>151</v>
      </c>
      <c r="I4" t="s">
        <v>175</v>
      </c>
      <c r="J4" t="s">
        <v>202</v>
      </c>
      <c r="K4">
        <f>Base!E37</f>
        <v>5111.1111111111113</v>
      </c>
    </row>
    <row r="5" spans="1:15" x14ac:dyDescent="0.25">
      <c r="A5" t="s">
        <v>171</v>
      </c>
      <c r="B5" t="s">
        <v>162</v>
      </c>
      <c r="C5" t="s">
        <v>161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5"/>
  <sheetViews>
    <sheetView zoomScale="102" zoomScaleNormal="102" workbookViewId="0">
      <selection activeCell="B9" sqref="B9:G45"/>
    </sheetView>
  </sheetViews>
  <sheetFormatPr defaultColWidth="8.5703125" defaultRowHeight="15" x14ac:dyDescent="0.25"/>
  <cols>
    <col min="1" max="1" width="18.7109375" customWidth="1"/>
    <col min="2" max="2" width="28" customWidth="1"/>
    <col min="3" max="4" width="25.7109375" customWidth="1"/>
    <col min="5" max="7" width="28.28515625" bestFit="1" customWidth="1"/>
  </cols>
  <sheetData>
    <row r="1" spans="1:7" x14ac:dyDescent="0.25">
      <c r="A1" t="s">
        <v>144</v>
      </c>
      <c r="B1" t="s">
        <v>145</v>
      </c>
      <c r="C1" t="s">
        <v>145</v>
      </c>
      <c r="D1" t="s">
        <v>145</v>
      </c>
      <c r="E1" t="s">
        <v>145</v>
      </c>
      <c r="F1" t="s">
        <v>145</v>
      </c>
      <c r="G1" t="s">
        <v>145</v>
      </c>
    </row>
    <row r="2" spans="1:7" x14ac:dyDescent="0.25">
      <c r="A2" t="s">
        <v>189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</row>
    <row r="3" spans="1:7" x14ac:dyDescent="0.25">
      <c r="A3" t="s">
        <v>168</v>
      </c>
      <c r="B3" t="s">
        <v>224</v>
      </c>
      <c r="C3" t="s">
        <v>224</v>
      </c>
      <c r="D3" t="s">
        <v>224</v>
      </c>
      <c r="E3" t="s">
        <v>224</v>
      </c>
      <c r="F3" t="s">
        <v>224</v>
      </c>
      <c r="G3" t="s">
        <v>224</v>
      </c>
    </row>
    <row r="4" spans="1:7" x14ac:dyDescent="0.25">
      <c r="A4" t="s">
        <v>163</v>
      </c>
      <c r="B4" t="s">
        <v>226</v>
      </c>
      <c r="C4" t="s">
        <v>227</v>
      </c>
      <c r="D4" t="s">
        <v>228</v>
      </c>
      <c r="E4" t="s">
        <v>286</v>
      </c>
      <c r="F4" t="s">
        <v>287</v>
      </c>
      <c r="G4" t="s">
        <v>288</v>
      </c>
    </row>
    <row r="5" spans="1:7" x14ac:dyDescent="0.25">
      <c r="A5" t="s">
        <v>182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</row>
    <row r="6" spans="1:7" x14ac:dyDescent="0.25">
      <c r="A6" t="s">
        <v>229</v>
      </c>
      <c r="B6" s="36">
        <v>47.96</v>
      </c>
      <c r="C6" s="36">
        <v>47.96</v>
      </c>
      <c r="D6" s="36">
        <v>47.96</v>
      </c>
      <c r="E6" s="36">
        <v>47.96</v>
      </c>
      <c r="F6" s="36">
        <v>47.96</v>
      </c>
      <c r="G6" s="36">
        <v>47.96</v>
      </c>
    </row>
    <row r="7" spans="1:7" x14ac:dyDescent="0.25">
      <c r="A7" t="s">
        <v>230</v>
      </c>
      <c r="B7" s="36">
        <v>52.56</v>
      </c>
      <c r="C7" s="36">
        <v>52.56</v>
      </c>
      <c r="D7" s="36">
        <v>52.56</v>
      </c>
      <c r="E7" s="36">
        <v>52.56</v>
      </c>
      <c r="F7" s="36">
        <v>52.56</v>
      </c>
      <c r="G7" s="36">
        <v>52.56</v>
      </c>
    </row>
    <row r="8" spans="1:7" x14ac:dyDescent="0.25">
      <c r="A8" t="s">
        <v>231</v>
      </c>
      <c r="B8" s="36">
        <v>83.03</v>
      </c>
      <c r="C8" s="36">
        <v>83.03</v>
      </c>
      <c r="D8" s="36">
        <v>83.03</v>
      </c>
      <c r="E8" s="36">
        <v>83.03</v>
      </c>
      <c r="F8" s="36">
        <v>83.03</v>
      </c>
      <c r="G8" s="36">
        <v>83.03</v>
      </c>
    </row>
    <row r="9" spans="1:7" x14ac:dyDescent="0.25">
      <c r="A9" t="s">
        <v>232</v>
      </c>
      <c r="B9" s="50">
        <f>B8*(1+0.01)</f>
        <v>83.860299999999995</v>
      </c>
      <c r="C9" s="50">
        <f>C8*(1+0.025)</f>
        <v>85.10575</v>
      </c>
      <c r="D9" s="50">
        <f>D8*(1+0.05)</f>
        <v>87.1815</v>
      </c>
      <c r="E9" s="19">
        <f>E8*(1+0.075)</f>
        <v>89.257249999999999</v>
      </c>
      <c r="F9" s="19">
        <f>F8*(1+0.1)</f>
        <v>91.333000000000013</v>
      </c>
      <c r="G9" s="19">
        <f>G8*(1+0.15)</f>
        <v>95.484499999999997</v>
      </c>
    </row>
    <row r="10" spans="1:7" x14ac:dyDescent="0.25">
      <c r="A10" t="s">
        <v>207</v>
      </c>
      <c r="B10" s="50">
        <f t="shared" ref="B10:B45" si="0">B9*(1+0.01)</f>
        <v>84.698903000000001</v>
      </c>
      <c r="C10" s="50">
        <f t="shared" ref="C10:C45" si="1">C9*(1+0.025)</f>
        <v>87.233393749999991</v>
      </c>
      <c r="D10" s="50">
        <f t="shared" ref="D10:D45" si="2">D9*(1+0.05)</f>
        <v>91.540575000000004</v>
      </c>
      <c r="E10" s="19">
        <f t="shared" ref="E10:E45" si="3">E9*(1+0.075)</f>
        <v>95.951543749999999</v>
      </c>
      <c r="F10" s="19">
        <f t="shared" ref="F10:F45" si="4">F9*(1+0.1)</f>
        <v>100.46630000000002</v>
      </c>
      <c r="G10" s="19">
        <f t="shared" ref="G10:G45" si="5">G9*(1+0.15)</f>
        <v>109.80717499999999</v>
      </c>
    </row>
    <row r="11" spans="1:7" x14ac:dyDescent="0.25">
      <c r="A11" t="s">
        <v>233</v>
      </c>
      <c r="B11" s="50">
        <f t="shared" si="0"/>
        <v>85.545892030000005</v>
      </c>
      <c r="C11" s="50">
        <f t="shared" si="1"/>
        <v>89.414228593749982</v>
      </c>
      <c r="D11" s="50">
        <f t="shared" si="2"/>
        <v>96.117603750000015</v>
      </c>
      <c r="E11" s="19">
        <f t="shared" si="3"/>
        <v>103.14790953124999</v>
      </c>
      <c r="F11" s="19">
        <f t="shared" si="4"/>
        <v>110.51293000000003</v>
      </c>
      <c r="G11" s="19">
        <f t="shared" si="5"/>
        <v>126.27825124999997</v>
      </c>
    </row>
    <row r="12" spans="1:7" x14ac:dyDescent="0.25">
      <c r="A12" t="s">
        <v>234</v>
      </c>
      <c r="B12" s="50">
        <f t="shared" si="0"/>
        <v>86.401350950299999</v>
      </c>
      <c r="C12" s="50">
        <f t="shared" si="1"/>
        <v>91.649584308593717</v>
      </c>
      <c r="D12" s="50">
        <f t="shared" si="2"/>
        <v>100.92348393750002</v>
      </c>
      <c r="E12" s="19">
        <f t="shared" si="3"/>
        <v>110.88400274609374</v>
      </c>
      <c r="F12" s="19">
        <f t="shared" si="4"/>
        <v>121.56422300000004</v>
      </c>
      <c r="G12" s="19">
        <f t="shared" si="5"/>
        <v>145.21998893749995</v>
      </c>
    </row>
    <row r="13" spans="1:7" x14ac:dyDescent="0.25">
      <c r="A13" t="s">
        <v>235</v>
      </c>
      <c r="B13" s="50">
        <f t="shared" si="0"/>
        <v>87.265364459802996</v>
      </c>
      <c r="C13" s="50">
        <f t="shared" si="1"/>
        <v>93.940823916308545</v>
      </c>
      <c r="D13" s="50">
        <f t="shared" si="2"/>
        <v>105.96965813437502</v>
      </c>
      <c r="E13" s="19">
        <f t="shared" si="3"/>
        <v>119.20030295205076</v>
      </c>
      <c r="F13" s="19">
        <f t="shared" si="4"/>
        <v>133.72064530000006</v>
      </c>
      <c r="G13" s="19">
        <f t="shared" si="5"/>
        <v>167.00298727812492</v>
      </c>
    </row>
    <row r="14" spans="1:7" x14ac:dyDescent="0.25">
      <c r="A14" t="s">
        <v>236</v>
      </c>
      <c r="B14" s="50">
        <f t="shared" si="0"/>
        <v>88.138018104401027</v>
      </c>
      <c r="C14" s="50">
        <f t="shared" si="1"/>
        <v>96.289344514216253</v>
      </c>
      <c r="D14" s="50">
        <f t="shared" si="2"/>
        <v>111.26814104109378</v>
      </c>
      <c r="E14" s="19">
        <f t="shared" si="3"/>
        <v>128.14032567345456</v>
      </c>
      <c r="F14" s="19">
        <f t="shared" si="4"/>
        <v>147.09270983000008</v>
      </c>
      <c r="G14" s="19">
        <f t="shared" si="5"/>
        <v>192.05343536984364</v>
      </c>
    </row>
    <row r="15" spans="1:7" x14ac:dyDescent="0.25">
      <c r="A15" t="s">
        <v>183</v>
      </c>
      <c r="B15" s="50">
        <f t="shared" si="0"/>
        <v>89.019398285445035</v>
      </c>
      <c r="C15" s="50">
        <f t="shared" si="1"/>
        <v>98.696578127071646</v>
      </c>
      <c r="D15" s="50">
        <f t="shared" si="2"/>
        <v>116.83154809314848</v>
      </c>
      <c r="E15" s="19">
        <f t="shared" si="3"/>
        <v>137.75085009896364</v>
      </c>
      <c r="F15" s="19">
        <f t="shared" si="4"/>
        <v>161.80198081300009</v>
      </c>
      <c r="G15" s="19">
        <f t="shared" si="5"/>
        <v>220.86145067532016</v>
      </c>
    </row>
    <row r="16" spans="1:7" x14ac:dyDescent="0.25">
      <c r="A16" t="s">
        <v>237</v>
      </c>
      <c r="B16" s="50">
        <f t="shared" si="0"/>
        <v>89.909592268299491</v>
      </c>
      <c r="C16" s="50">
        <f t="shared" si="1"/>
        <v>101.16399258024843</v>
      </c>
      <c r="D16" s="50">
        <f t="shared" si="2"/>
        <v>122.67312549780591</v>
      </c>
      <c r="E16" s="19">
        <f t="shared" si="3"/>
        <v>148.0821638563859</v>
      </c>
      <c r="F16" s="19">
        <f t="shared" si="4"/>
        <v>177.98217889430012</v>
      </c>
      <c r="G16" s="19">
        <f t="shared" si="5"/>
        <v>253.99066827661815</v>
      </c>
    </row>
    <row r="17" spans="1:7" x14ac:dyDescent="0.25">
      <c r="A17" t="s">
        <v>238</v>
      </c>
      <c r="B17" s="50">
        <f t="shared" si="0"/>
        <v>90.80868819098248</v>
      </c>
      <c r="C17" s="50">
        <f t="shared" si="1"/>
        <v>103.69309239475463</v>
      </c>
      <c r="D17" s="50">
        <f t="shared" si="2"/>
        <v>128.80678177269621</v>
      </c>
      <c r="E17" s="19">
        <f t="shared" si="3"/>
        <v>159.18832614561484</v>
      </c>
      <c r="F17" s="19">
        <f t="shared" si="4"/>
        <v>195.78039678373014</v>
      </c>
      <c r="G17" s="19">
        <f t="shared" si="5"/>
        <v>292.08926851811083</v>
      </c>
    </row>
    <row r="18" spans="1:7" x14ac:dyDescent="0.25">
      <c r="A18" t="s">
        <v>239</v>
      </c>
      <c r="B18" s="50">
        <f t="shared" si="0"/>
        <v>91.716775072892304</v>
      </c>
      <c r="C18" s="50">
        <f t="shared" si="1"/>
        <v>106.28541970462348</v>
      </c>
      <c r="D18" s="50">
        <f t="shared" si="2"/>
        <v>135.24712086133104</v>
      </c>
      <c r="E18" s="19">
        <f t="shared" si="3"/>
        <v>171.12745060653594</v>
      </c>
      <c r="F18" s="19">
        <f t="shared" si="4"/>
        <v>215.35843646210319</v>
      </c>
      <c r="G18" s="19">
        <f t="shared" si="5"/>
        <v>335.90265879582745</v>
      </c>
    </row>
    <row r="19" spans="1:7" x14ac:dyDescent="0.25">
      <c r="A19" t="s">
        <v>240</v>
      </c>
      <c r="B19" s="50">
        <f t="shared" si="0"/>
        <v>92.633942823621226</v>
      </c>
      <c r="C19" s="50">
        <f t="shared" si="1"/>
        <v>108.94255519723906</v>
      </c>
      <c r="D19" s="50">
        <f t="shared" si="2"/>
        <v>142.00947690439759</v>
      </c>
      <c r="E19" s="19">
        <f t="shared" si="3"/>
        <v>183.96200940202613</v>
      </c>
      <c r="F19" s="19">
        <f t="shared" si="4"/>
        <v>236.89428010831352</v>
      </c>
      <c r="G19" s="19">
        <f t="shared" si="5"/>
        <v>386.28805761520152</v>
      </c>
    </row>
    <row r="20" spans="1:7" x14ac:dyDescent="0.25">
      <c r="A20" s="37" t="s">
        <v>208</v>
      </c>
      <c r="B20" s="50">
        <f t="shared" si="0"/>
        <v>93.560282251857444</v>
      </c>
      <c r="C20" s="50">
        <f t="shared" si="1"/>
        <v>111.66611907717002</v>
      </c>
      <c r="D20" s="50">
        <f t="shared" si="2"/>
        <v>149.10995074961747</v>
      </c>
      <c r="E20" s="19">
        <f t="shared" si="3"/>
        <v>197.75916010717808</v>
      </c>
      <c r="F20" s="19">
        <f t="shared" si="4"/>
        <v>260.58370811914489</v>
      </c>
      <c r="G20" s="19">
        <f t="shared" si="5"/>
        <v>444.23126625748171</v>
      </c>
    </row>
    <row r="21" spans="1:7" x14ac:dyDescent="0.25">
      <c r="A21" s="37" t="s">
        <v>241</v>
      </c>
      <c r="B21" s="50">
        <f t="shared" si="0"/>
        <v>94.495885074376019</v>
      </c>
      <c r="C21" s="50">
        <f t="shared" si="1"/>
        <v>114.45777205409927</v>
      </c>
      <c r="D21" s="50">
        <f t="shared" si="2"/>
        <v>156.56544828709835</v>
      </c>
      <c r="E21" s="19">
        <f t="shared" si="3"/>
        <v>212.59109711521643</v>
      </c>
      <c r="F21" s="19">
        <f t="shared" si="4"/>
        <v>286.64207893105942</v>
      </c>
      <c r="G21" s="19">
        <f t="shared" si="5"/>
        <v>510.86595619610392</v>
      </c>
    </row>
    <row r="22" spans="1:7" x14ac:dyDescent="0.25">
      <c r="A22" s="37" t="s">
        <v>242</v>
      </c>
      <c r="B22" s="50">
        <f t="shared" si="0"/>
        <v>95.440843925119779</v>
      </c>
      <c r="C22" s="50">
        <f t="shared" si="1"/>
        <v>117.31921635545174</v>
      </c>
      <c r="D22" s="50">
        <f t="shared" si="2"/>
        <v>164.39372070145328</v>
      </c>
      <c r="E22" s="19">
        <f t="shared" si="3"/>
        <v>228.53542939885764</v>
      </c>
      <c r="F22" s="19">
        <f t="shared" si="4"/>
        <v>315.3062868241654</v>
      </c>
      <c r="G22" s="19">
        <f t="shared" si="5"/>
        <v>587.49584962551944</v>
      </c>
    </row>
    <row r="23" spans="1:7" x14ac:dyDescent="0.25">
      <c r="A23" s="37" t="s">
        <v>243</v>
      </c>
      <c r="B23" s="50">
        <f t="shared" si="0"/>
        <v>96.395252364370975</v>
      </c>
      <c r="C23" s="50">
        <f t="shared" si="1"/>
        <v>120.25219676433802</v>
      </c>
      <c r="D23" s="50">
        <f t="shared" si="2"/>
        <v>172.61340673652595</v>
      </c>
      <c r="E23" s="19">
        <f t="shared" si="3"/>
        <v>245.67558660377196</v>
      </c>
      <c r="F23" s="19">
        <f t="shared" si="4"/>
        <v>346.83691550658199</v>
      </c>
      <c r="G23" s="19">
        <f t="shared" si="5"/>
        <v>675.62022706934727</v>
      </c>
    </row>
    <row r="24" spans="1:7" x14ac:dyDescent="0.25">
      <c r="A24" s="37" t="s">
        <v>244</v>
      </c>
      <c r="B24" s="50">
        <f t="shared" si="0"/>
        <v>97.359204888014688</v>
      </c>
      <c r="C24" s="50">
        <f t="shared" si="1"/>
        <v>123.25850168344647</v>
      </c>
      <c r="D24" s="50">
        <f t="shared" si="2"/>
        <v>181.24407707335226</v>
      </c>
      <c r="E24" s="19">
        <f t="shared" si="3"/>
        <v>264.10125559905487</v>
      </c>
      <c r="F24" s="19">
        <f t="shared" si="4"/>
        <v>381.52060705724023</v>
      </c>
      <c r="G24" s="19">
        <f t="shared" si="5"/>
        <v>776.9632611297493</v>
      </c>
    </row>
    <row r="25" spans="1:7" x14ac:dyDescent="0.25">
      <c r="A25" s="37" t="s">
        <v>184</v>
      </c>
      <c r="B25" s="50">
        <f t="shared" si="0"/>
        <v>98.332796936894837</v>
      </c>
      <c r="C25" s="50">
        <f t="shared" si="1"/>
        <v>126.33996422553263</v>
      </c>
      <c r="D25" s="50">
        <f t="shared" si="2"/>
        <v>190.30628092701988</v>
      </c>
      <c r="E25" s="19">
        <f t="shared" si="3"/>
        <v>283.90884976898394</v>
      </c>
      <c r="F25" s="19">
        <f t="shared" si="4"/>
        <v>419.67266776296429</v>
      </c>
      <c r="G25" s="19">
        <f t="shared" si="5"/>
        <v>893.50775029921158</v>
      </c>
    </row>
    <row r="26" spans="1:7" x14ac:dyDescent="0.25">
      <c r="A26" s="37" t="s">
        <v>245</v>
      </c>
      <c r="B26" s="50">
        <f t="shared" si="0"/>
        <v>99.316124906263781</v>
      </c>
      <c r="C26" s="50">
        <f t="shared" si="1"/>
        <v>129.49846333117094</v>
      </c>
      <c r="D26" s="50">
        <f t="shared" si="2"/>
        <v>199.82159497337088</v>
      </c>
      <c r="E26" s="19">
        <f t="shared" si="3"/>
        <v>305.20201350165775</v>
      </c>
      <c r="F26" s="19">
        <f t="shared" si="4"/>
        <v>461.63993453926076</v>
      </c>
      <c r="G26" s="19">
        <f t="shared" si="5"/>
        <v>1027.5339128440933</v>
      </c>
    </row>
    <row r="27" spans="1:7" x14ac:dyDescent="0.25">
      <c r="A27" s="37" t="s">
        <v>246</v>
      </c>
      <c r="B27" s="50">
        <f t="shared" si="0"/>
        <v>100.30928615532642</v>
      </c>
      <c r="C27" s="50">
        <f t="shared" si="1"/>
        <v>132.73592491445021</v>
      </c>
      <c r="D27" s="50">
        <f t="shared" si="2"/>
        <v>209.81267472203942</v>
      </c>
      <c r="E27" s="19">
        <f t="shared" si="3"/>
        <v>328.09216451428205</v>
      </c>
      <c r="F27" s="19">
        <f t="shared" si="4"/>
        <v>507.8039279931869</v>
      </c>
      <c r="G27" s="19">
        <f t="shared" si="5"/>
        <v>1181.6639997707071</v>
      </c>
    </row>
    <row r="28" spans="1:7" x14ac:dyDescent="0.25">
      <c r="A28" s="37" t="s">
        <v>247</v>
      </c>
      <c r="B28" s="50">
        <f t="shared" si="0"/>
        <v>101.31237901687969</v>
      </c>
      <c r="C28" s="50">
        <f t="shared" si="1"/>
        <v>136.05432303731146</v>
      </c>
      <c r="D28" s="50">
        <f t="shared" si="2"/>
        <v>220.3033084581414</v>
      </c>
      <c r="E28" s="19">
        <f t="shared" si="3"/>
        <v>352.69907685285318</v>
      </c>
      <c r="F28" s="19">
        <f t="shared" si="4"/>
        <v>558.58432079250565</v>
      </c>
      <c r="G28" s="19">
        <f t="shared" si="5"/>
        <v>1358.913599736313</v>
      </c>
    </row>
    <row r="29" spans="1:7" x14ac:dyDescent="0.25">
      <c r="A29" s="37" t="s">
        <v>248</v>
      </c>
      <c r="B29" s="50">
        <f t="shared" si="0"/>
        <v>102.32550280704848</v>
      </c>
      <c r="C29" s="50">
        <f t="shared" si="1"/>
        <v>139.45568111324422</v>
      </c>
      <c r="D29" s="50">
        <f t="shared" si="2"/>
        <v>231.31847388104848</v>
      </c>
      <c r="E29" s="19">
        <f t="shared" si="3"/>
        <v>379.15150761681713</v>
      </c>
      <c r="F29" s="19">
        <f t="shared" si="4"/>
        <v>614.44275287175628</v>
      </c>
      <c r="G29" s="19">
        <f t="shared" si="5"/>
        <v>1562.7506396967599</v>
      </c>
    </row>
    <row r="30" spans="1:7" x14ac:dyDescent="0.25">
      <c r="A30" s="37" t="s">
        <v>209</v>
      </c>
      <c r="B30" s="50">
        <f t="shared" si="0"/>
        <v>103.34875783511896</v>
      </c>
      <c r="C30" s="50">
        <f t="shared" si="1"/>
        <v>142.94207314107533</v>
      </c>
      <c r="D30" s="50">
        <f t="shared" si="2"/>
        <v>242.88439757510091</v>
      </c>
      <c r="E30" s="19">
        <f t="shared" si="3"/>
        <v>407.5878706880784</v>
      </c>
      <c r="F30" s="19">
        <f t="shared" si="4"/>
        <v>675.88702815893191</v>
      </c>
      <c r="G30" s="19">
        <f t="shared" si="5"/>
        <v>1797.1632356512737</v>
      </c>
    </row>
    <row r="31" spans="1:7" x14ac:dyDescent="0.25">
      <c r="A31" s="37" t="s">
        <v>249</v>
      </c>
      <c r="B31" s="50">
        <f t="shared" si="0"/>
        <v>104.38224541347014</v>
      </c>
      <c r="C31" s="50">
        <f t="shared" si="1"/>
        <v>146.51562496960219</v>
      </c>
      <c r="D31" s="50">
        <f t="shared" si="2"/>
        <v>255.02861745385596</v>
      </c>
      <c r="E31" s="19">
        <f t="shared" si="3"/>
        <v>438.15696098968425</v>
      </c>
      <c r="F31" s="19">
        <f t="shared" si="4"/>
        <v>743.47573097482518</v>
      </c>
      <c r="G31" s="19">
        <f t="shared" si="5"/>
        <v>2066.7377209989645</v>
      </c>
    </row>
    <row r="32" spans="1:7" x14ac:dyDescent="0.25">
      <c r="A32" s="37" t="s">
        <v>250</v>
      </c>
      <c r="B32" s="50">
        <f t="shared" si="0"/>
        <v>105.42606786760484</v>
      </c>
      <c r="C32" s="50">
        <f t="shared" si="1"/>
        <v>150.17851559384223</v>
      </c>
      <c r="D32" s="50">
        <f t="shared" si="2"/>
        <v>267.78004832654875</v>
      </c>
      <c r="E32" s="19">
        <f t="shared" si="3"/>
        <v>471.01873306391053</v>
      </c>
      <c r="F32" s="19">
        <f t="shared" si="4"/>
        <v>817.82330407230779</v>
      </c>
      <c r="G32" s="19">
        <f t="shared" si="5"/>
        <v>2376.7483791488089</v>
      </c>
    </row>
    <row r="33" spans="1:7" x14ac:dyDescent="0.25">
      <c r="A33" s="37" t="s">
        <v>251</v>
      </c>
      <c r="B33" s="50">
        <f t="shared" si="0"/>
        <v>106.48032854628089</v>
      </c>
      <c r="C33" s="50">
        <f t="shared" si="1"/>
        <v>153.93297848368829</v>
      </c>
      <c r="D33" s="50">
        <f t="shared" si="2"/>
        <v>281.16905074287621</v>
      </c>
      <c r="E33" s="19">
        <f t="shared" si="3"/>
        <v>506.3451380437038</v>
      </c>
      <c r="F33" s="19">
        <f t="shared" si="4"/>
        <v>899.60563447953859</v>
      </c>
      <c r="G33" s="19">
        <f t="shared" si="5"/>
        <v>2733.2606360211298</v>
      </c>
    </row>
    <row r="34" spans="1:7" x14ac:dyDescent="0.25">
      <c r="A34" s="37" t="s">
        <v>252</v>
      </c>
      <c r="B34" s="50">
        <f t="shared" si="0"/>
        <v>107.5451318317437</v>
      </c>
      <c r="C34" s="50">
        <f t="shared" si="1"/>
        <v>157.78130294578048</v>
      </c>
      <c r="D34" s="50">
        <f t="shared" si="2"/>
        <v>295.22750328002002</v>
      </c>
      <c r="E34" s="19">
        <f t="shared" si="3"/>
        <v>544.32102339698156</v>
      </c>
      <c r="F34" s="19">
        <f t="shared" si="4"/>
        <v>989.56619792749257</v>
      </c>
      <c r="G34" s="19">
        <f t="shared" si="5"/>
        <v>3143.2497314242992</v>
      </c>
    </row>
    <row r="35" spans="1:7" x14ac:dyDescent="0.25">
      <c r="A35" s="37" t="s">
        <v>185</v>
      </c>
      <c r="B35" s="50">
        <f t="shared" si="0"/>
        <v>108.62058315006114</v>
      </c>
      <c r="C35" s="50">
        <f t="shared" si="1"/>
        <v>161.72583551942498</v>
      </c>
      <c r="D35" s="50">
        <f t="shared" si="2"/>
        <v>309.98887844402105</v>
      </c>
      <c r="E35" s="19">
        <f t="shared" si="3"/>
        <v>585.14510015175517</v>
      </c>
      <c r="F35" s="19">
        <f t="shared" si="4"/>
        <v>1088.5228177202418</v>
      </c>
      <c r="G35" s="19">
        <f t="shared" si="5"/>
        <v>3614.7371911379437</v>
      </c>
    </row>
    <row r="36" spans="1:7" x14ac:dyDescent="0.25">
      <c r="A36" s="37" t="s">
        <v>253</v>
      </c>
      <c r="B36" s="50">
        <f t="shared" si="0"/>
        <v>109.70678898156174</v>
      </c>
      <c r="C36" s="50">
        <f t="shared" si="1"/>
        <v>165.76898140741059</v>
      </c>
      <c r="D36" s="50">
        <f t="shared" si="2"/>
        <v>325.48832236622212</v>
      </c>
      <c r="E36" s="19">
        <f t="shared" si="3"/>
        <v>629.0309826631368</v>
      </c>
      <c r="F36" s="19">
        <f t="shared" si="4"/>
        <v>1197.3750994922661</v>
      </c>
      <c r="G36" s="19">
        <f t="shared" si="5"/>
        <v>4156.9477698086348</v>
      </c>
    </row>
    <row r="37" spans="1:7" x14ac:dyDescent="0.25">
      <c r="A37" s="37" t="s">
        <v>254</v>
      </c>
      <c r="B37" s="50">
        <f t="shared" si="0"/>
        <v>110.80385687137736</v>
      </c>
      <c r="C37" s="50">
        <f t="shared" si="1"/>
        <v>169.91320594259585</v>
      </c>
      <c r="D37" s="50">
        <f t="shared" si="2"/>
        <v>341.76273848453326</v>
      </c>
      <c r="E37" s="19">
        <f t="shared" si="3"/>
        <v>676.20830636287201</v>
      </c>
      <c r="F37" s="19">
        <f t="shared" si="4"/>
        <v>1317.1126094414929</v>
      </c>
      <c r="G37" s="19">
        <f t="shared" si="5"/>
        <v>4780.4899352799293</v>
      </c>
    </row>
    <row r="38" spans="1:7" x14ac:dyDescent="0.25">
      <c r="A38" s="37" t="s">
        <v>255</v>
      </c>
      <c r="B38" s="50">
        <f t="shared" si="0"/>
        <v>111.91189544009114</v>
      </c>
      <c r="C38" s="50">
        <f t="shared" si="1"/>
        <v>174.16103609116072</v>
      </c>
      <c r="D38" s="50">
        <f t="shared" si="2"/>
        <v>358.85087540875992</v>
      </c>
      <c r="E38" s="19">
        <f t="shared" si="3"/>
        <v>726.9239293400874</v>
      </c>
      <c r="F38" s="19">
        <f t="shared" si="4"/>
        <v>1448.8238703856423</v>
      </c>
      <c r="G38" s="19">
        <f t="shared" si="5"/>
        <v>5497.5634255719187</v>
      </c>
    </row>
    <row r="39" spans="1:7" x14ac:dyDescent="0.25">
      <c r="A39" s="37" t="s">
        <v>256</v>
      </c>
      <c r="B39" s="50">
        <f t="shared" si="0"/>
        <v>113.03101439449206</v>
      </c>
      <c r="C39" s="50">
        <f t="shared" si="1"/>
        <v>178.51506199343973</v>
      </c>
      <c r="D39" s="50">
        <f t="shared" si="2"/>
        <v>376.79341917919794</v>
      </c>
      <c r="E39" s="19">
        <f t="shared" si="3"/>
        <v>781.44322404059392</v>
      </c>
      <c r="F39" s="19">
        <f t="shared" si="4"/>
        <v>1593.7062574242066</v>
      </c>
      <c r="G39" s="19">
        <f t="shared" si="5"/>
        <v>6322.1979394077061</v>
      </c>
    </row>
    <row r="40" spans="1:7" x14ac:dyDescent="0.25">
      <c r="A40" s="37" t="s">
        <v>210</v>
      </c>
      <c r="B40" s="50">
        <f t="shared" si="0"/>
        <v>114.16132453843699</v>
      </c>
      <c r="C40" s="50">
        <f t="shared" si="1"/>
        <v>182.97793854327571</v>
      </c>
      <c r="D40" s="50">
        <f t="shared" si="2"/>
        <v>395.63309013815785</v>
      </c>
      <c r="E40" s="19">
        <f t="shared" si="3"/>
        <v>840.05146584363843</v>
      </c>
      <c r="F40" s="19">
        <f t="shared" si="4"/>
        <v>1753.0768831666273</v>
      </c>
      <c r="G40" s="19">
        <f t="shared" si="5"/>
        <v>7270.5276303188612</v>
      </c>
    </row>
    <row r="41" spans="1:7" x14ac:dyDescent="0.25">
      <c r="A41" s="37" t="s">
        <v>257</v>
      </c>
      <c r="B41" s="50">
        <f t="shared" si="0"/>
        <v>115.30293778382136</v>
      </c>
      <c r="C41" s="50">
        <f t="shared" si="1"/>
        <v>187.5523870068576</v>
      </c>
      <c r="D41" s="50">
        <f t="shared" si="2"/>
        <v>415.41474464506575</v>
      </c>
      <c r="E41" s="19">
        <f t="shared" si="3"/>
        <v>903.05532578191128</v>
      </c>
      <c r="F41" s="19">
        <f t="shared" si="4"/>
        <v>1928.3845714832903</v>
      </c>
      <c r="G41" s="19">
        <f t="shared" si="5"/>
        <v>8361.1067748666901</v>
      </c>
    </row>
    <row r="42" spans="1:7" x14ac:dyDescent="0.25">
      <c r="A42" s="37" t="s">
        <v>258</v>
      </c>
      <c r="B42" s="50">
        <f t="shared" si="0"/>
        <v>116.45596716165957</v>
      </c>
      <c r="C42" s="50">
        <f t="shared" si="1"/>
        <v>192.24119668202903</v>
      </c>
      <c r="D42" s="50">
        <f t="shared" si="2"/>
        <v>436.18548187731903</v>
      </c>
      <c r="E42" s="19">
        <f t="shared" si="3"/>
        <v>970.78447521555461</v>
      </c>
      <c r="F42" s="19">
        <f t="shared" si="4"/>
        <v>2121.2230286316194</v>
      </c>
      <c r="G42" s="19">
        <f t="shared" si="5"/>
        <v>9615.2727910966933</v>
      </c>
    </row>
    <row r="43" spans="1:7" x14ac:dyDescent="0.25">
      <c r="A43" s="37" t="s">
        <v>259</v>
      </c>
      <c r="B43" s="50">
        <f t="shared" si="0"/>
        <v>117.62052683327617</v>
      </c>
      <c r="C43" s="50">
        <f t="shared" si="1"/>
        <v>197.04722659907975</v>
      </c>
      <c r="D43" s="50">
        <f t="shared" si="2"/>
        <v>457.99475597118499</v>
      </c>
      <c r="E43" s="19">
        <f t="shared" si="3"/>
        <v>1043.5933108567212</v>
      </c>
      <c r="F43" s="19">
        <f t="shared" si="4"/>
        <v>2333.3453314947815</v>
      </c>
      <c r="G43" s="19">
        <f t="shared" si="5"/>
        <v>11057.563709761196</v>
      </c>
    </row>
    <row r="44" spans="1:7" x14ac:dyDescent="0.25">
      <c r="A44" s="37" t="s">
        <v>260</v>
      </c>
      <c r="B44" s="50">
        <f t="shared" si="0"/>
        <v>118.79673210160894</v>
      </c>
      <c r="C44" s="50">
        <f t="shared" si="1"/>
        <v>201.97340726405673</v>
      </c>
      <c r="D44" s="50">
        <f t="shared" si="2"/>
        <v>480.89449376974426</v>
      </c>
      <c r="E44" s="19">
        <f t="shared" si="3"/>
        <v>1121.8628091709752</v>
      </c>
      <c r="F44" s="19">
        <f t="shared" si="4"/>
        <v>2566.6798646442599</v>
      </c>
      <c r="G44" s="19">
        <f t="shared" si="5"/>
        <v>12716.198266225374</v>
      </c>
    </row>
    <row r="45" spans="1:7" x14ac:dyDescent="0.25">
      <c r="A45" s="37" t="s">
        <v>186</v>
      </c>
      <c r="B45" s="50">
        <f t="shared" si="0"/>
        <v>119.98469942262503</v>
      </c>
      <c r="C45" s="50">
        <f t="shared" si="1"/>
        <v>207.02274244565814</v>
      </c>
      <c r="D45" s="50">
        <f t="shared" si="2"/>
        <v>504.93921845823149</v>
      </c>
      <c r="E45" s="19">
        <f t="shared" si="3"/>
        <v>1206.0025198587982</v>
      </c>
      <c r="F45" s="19">
        <f t="shared" si="4"/>
        <v>2823.347851108686</v>
      </c>
      <c r="G45" s="19">
        <f t="shared" si="5"/>
        <v>14623.628006159179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5"/>
  <sheetViews>
    <sheetView topLeftCell="J1" zoomScale="99" zoomScaleNormal="99" workbookViewId="0">
      <selection activeCell="N5" sqref="N5"/>
    </sheetView>
  </sheetViews>
  <sheetFormatPr defaultColWidth="8.5703125" defaultRowHeight="15" x14ac:dyDescent="0.25"/>
  <cols>
    <col min="1" max="2" width="24.140625" customWidth="1"/>
    <col min="3" max="3" width="14.85546875" customWidth="1"/>
    <col min="4" max="6" width="11.5703125" customWidth="1"/>
    <col min="7" max="7" width="5.85546875" customWidth="1"/>
    <col min="8" max="8" width="11.5703125" customWidth="1"/>
    <col min="9" max="9" width="22.85546875" customWidth="1"/>
    <col min="10" max="10" width="24.140625" customWidth="1"/>
    <col min="11" max="11" width="14.85546875" customWidth="1"/>
    <col min="12" max="12" width="19.140625" customWidth="1"/>
    <col min="13" max="13" width="10.5703125" customWidth="1"/>
    <col min="14" max="15" width="19.140625" customWidth="1"/>
    <col min="16" max="16" width="39" customWidth="1"/>
    <col min="17" max="17" width="22.7109375" customWidth="1"/>
    <col min="18" max="18" width="11.5703125" customWidth="1"/>
    <col min="19" max="19" width="32" customWidth="1"/>
    <col min="20" max="20" width="26.7109375" customWidth="1"/>
    <col min="21" max="21" width="10.5703125" customWidth="1"/>
    <col min="22" max="22" width="5.85546875" customWidth="1"/>
    <col min="24" max="24" width="22.85546875" customWidth="1"/>
    <col min="25" max="25" width="10.5703125" customWidth="1"/>
    <col min="26" max="26" width="36.42578125" customWidth="1"/>
  </cols>
  <sheetData>
    <row r="1" spans="1:26" x14ac:dyDescent="0.25">
      <c r="A1" t="s">
        <v>167</v>
      </c>
      <c r="B1" t="s">
        <v>261</v>
      </c>
      <c r="C1" t="s">
        <v>145</v>
      </c>
      <c r="D1" t="s">
        <v>145</v>
      </c>
      <c r="E1" t="s">
        <v>168</v>
      </c>
      <c r="F1" t="s">
        <v>163</v>
      </c>
      <c r="G1" t="s">
        <v>169</v>
      </c>
      <c r="I1" t="s">
        <v>167</v>
      </c>
      <c r="J1" t="s">
        <v>261</v>
      </c>
      <c r="K1" t="s">
        <v>145</v>
      </c>
      <c r="L1" t="s">
        <v>168</v>
      </c>
      <c r="M1" t="s">
        <v>163</v>
      </c>
      <c r="N1" t="s">
        <v>169</v>
      </c>
      <c r="P1" t="s">
        <v>167</v>
      </c>
      <c r="Q1" t="s">
        <v>261</v>
      </c>
      <c r="R1" t="s">
        <v>145</v>
      </c>
      <c r="S1" t="s">
        <v>211</v>
      </c>
      <c r="T1" t="s">
        <v>168</v>
      </c>
      <c r="U1" t="s">
        <v>163</v>
      </c>
      <c r="V1" t="s">
        <v>169</v>
      </c>
      <c r="X1" t="s">
        <v>261</v>
      </c>
      <c r="Y1" t="s">
        <v>163</v>
      </c>
      <c r="Z1" t="s">
        <v>262</v>
      </c>
    </row>
    <row r="2" spans="1:26" x14ac:dyDescent="0.25">
      <c r="A2" t="s">
        <v>263</v>
      </c>
      <c r="B2" t="s">
        <v>264</v>
      </c>
      <c r="C2" t="s">
        <v>151</v>
      </c>
      <c r="D2" t="s">
        <v>265</v>
      </c>
      <c r="E2" t="s">
        <v>266</v>
      </c>
      <c r="F2" t="s">
        <v>166</v>
      </c>
      <c r="G2">
        <v>1</v>
      </c>
      <c r="I2" t="s">
        <v>267</v>
      </c>
      <c r="J2" t="s">
        <v>264</v>
      </c>
      <c r="K2" t="s">
        <v>151</v>
      </c>
      <c r="L2" t="s">
        <v>268</v>
      </c>
      <c r="M2" t="s">
        <v>166</v>
      </c>
      <c r="N2">
        <v>0.6</v>
      </c>
      <c r="P2" t="s">
        <v>269</v>
      </c>
      <c r="Q2" t="s">
        <v>264</v>
      </c>
      <c r="R2" t="s">
        <v>265</v>
      </c>
      <c r="S2" t="s">
        <v>270</v>
      </c>
      <c r="T2" t="s">
        <v>271</v>
      </c>
      <c r="U2" t="s">
        <v>166</v>
      </c>
      <c r="V2">
        <v>1</v>
      </c>
      <c r="X2" t="s">
        <v>264</v>
      </c>
      <c r="Y2" t="s">
        <v>166</v>
      </c>
      <c r="Z2" t="s">
        <v>272</v>
      </c>
    </row>
    <row r="3" spans="1:26" x14ac:dyDescent="0.25">
      <c r="A3" t="s">
        <v>263</v>
      </c>
      <c r="B3" t="s">
        <v>273</v>
      </c>
      <c r="C3" t="s">
        <v>158</v>
      </c>
      <c r="D3" t="s">
        <v>274</v>
      </c>
      <c r="E3" t="s">
        <v>266</v>
      </c>
      <c r="F3" t="s">
        <v>166</v>
      </c>
      <c r="G3">
        <v>1</v>
      </c>
      <c r="I3" t="s">
        <v>267</v>
      </c>
      <c r="J3" t="s">
        <v>273</v>
      </c>
      <c r="K3" t="s">
        <v>158</v>
      </c>
      <c r="L3" t="s">
        <v>268</v>
      </c>
      <c r="M3" t="s">
        <v>166</v>
      </c>
      <c r="N3">
        <v>1.1999999999999999E-3</v>
      </c>
      <c r="P3" t="s">
        <v>269</v>
      </c>
      <c r="Q3" t="s">
        <v>273</v>
      </c>
      <c r="R3" t="s">
        <v>274</v>
      </c>
      <c r="S3" t="s">
        <v>275</v>
      </c>
      <c r="T3" t="s">
        <v>271</v>
      </c>
      <c r="U3" t="s">
        <v>166</v>
      </c>
      <c r="V3">
        <v>1</v>
      </c>
      <c r="X3" t="s">
        <v>273</v>
      </c>
      <c r="Y3" t="s">
        <v>166</v>
      </c>
      <c r="Z3" t="s">
        <v>272</v>
      </c>
    </row>
    <row r="4" spans="1:26" x14ac:dyDescent="0.25">
      <c r="I4" t="s">
        <v>276</v>
      </c>
      <c r="J4" t="s">
        <v>264</v>
      </c>
      <c r="K4" t="s">
        <v>265</v>
      </c>
      <c r="L4" t="s">
        <v>268</v>
      </c>
      <c r="M4" t="s">
        <v>166</v>
      </c>
      <c r="N4">
        <v>0.6</v>
      </c>
    </row>
    <row r="5" spans="1:26" x14ac:dyDescent="0.25">
      <c r="I5" t="s">
        <v>276</v>
      </c>
      <c r="J5" t="s">
        <v>273</v>
      </c>
      <c r="K5" t="s">
        <v>274</v>
      </c>
      <c r="L5" t="s">
        <v>268</v>
      </c>
      <c r="M5" t="s">
        <v>166</v>
      </c>
      <c r="N5">
        <v>1.1999999999999999E-3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9"/>
  <sheetViews>
    <sheetView zoomScale="150" zoomScaleNormal="150" workbookViewId="0"/>
  </sheetViews>
  <sheetFormatPr defaultColWidth="8.5703125" defaultRowHeight="15" x14ac:dyDescent="0.25"/>
  <cols>
    <col min="1" max="1" width="18.7109375" customWidth="1"/>
    <col min="2" max="2" width="16.42578125" customWidth="1"/>
    <col min="3" max="3" width="11" customWidth="1"/>
  </cols>
  <sheetData>
    <row r="1" spans="1:3" x14ac:dyDescent="0.25">
      <c r="A1" t="s">
        <v>144</v>
      </c>
      <c r="B1" t="s">
        <v>145</v>
      </c>
      <c r="C1" t="s">
        <v>145</v>
      </c>
    </row>
    <row r="2" spans="1:3" x14ac:dyDescent="0.25">
      <c r="A2" t="s">
        <v>189</v>
      </c>
      <c r="B2" t="s">
        <v>265</v>
      </c>
      <c r="C2" t="s">
        <v>274</v>
      </c>
    </row>
    <row r="3" spans="1:3" x14ac:dyDescent="0.25">
      <c r="A3" t="s">
        <v>168</v>
      </c>
      <c r="B3" t="s">
        <v>187</v>
      </c>
      <c r="C3" t="s">
        <v>187</v>
      </c>
    </row>
    <row r="4" spans="1:3" x14ac:dyDescent="0.25">
      <c r="A4" t="s">
        <v>163</v>
      </c>
      <c r="B4" t="s">
        <v>166</v>
      </c>
      <c r="C4" t="s">
        <v>166</v>
      </c>
    </row>
    <row r="5" spans="1:3" x14ac:dyDescent="0.25">
      <c r="A5" t="s">
        <v>182</v>
      </c>
      <c r="B5">
        <v>0.8</v>
      </c>
      <c r="C5">
        <v>1.8E-3</v>
      </c>
    </row>
    <row r="6" spans="1:3" x14ac:dyDescent="0.25">
      <c r="A6" t="s">
        <v>183</v>
      </c>
      <c r="B6">
        <v>0.8</v>
      </c>
      <c r="C6">
        <v>1.8E-3</v>
      </c>
    </row>
    <row r="7" spans="1:3" x14ac:dyDescent="0.25">
      <c r="A7" t="s">
        <v>184</v>
      </c>
      <c r="B7">
        <v>0.8</v>
      </c>
      <c r="C7">
        <v>1.8E-3</v>
      </c>
    </row>
    <row r="8" spans="1:3" x14ac:dyDescent="0.25">
      <c r="A8" t="s">
        <v>185</v>
      </c>
      <c r="B8">
        <v>0.8</v>
      </c>
      <c r="C8">
        <v>1.8E-3</v>
      </c>
    </row>
    <row r="9" spans="1:3" x14ac:dyDescent="0.25">
      <c r="A9" t="s">
        <v>186</v>
      </c>
      <c r="B9">
        <v>0.8</v>
      </c>
      <c r="C9">
        <v>1.8E-3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"/>
  <sheetViews>
    <sheetView zoomScale="150" zoomScaleNormal="150" workbookViewId="0"/>
  </sheetViews>
  <sheetFormatPr defaultColWidth="8.5703125" defaultRowHeight="15" x14ac:dyDescent="0.25"/>
  <cols>
    <col min="1" max="1" width="14" customWidth="1"/>
    <col min="2" max="2" width="17.85546875" customWidth="1"/>
    <col min="3" max="3" width="21.140625" customWidth="1"/>
    <col min="4" max="4" width="10.5703125" customWidth="1"/>
    <col min="5" max="5" width="12.5703125" customWidth="1"/>
    <col min="7" max="7" width="18.7109375" customWidth="1"/>
    <col min="8" max="8" width="17.85546875" customWidth="1"/>
    <col min="9" max="9" width="17.28515625" customWidth="1"/>
    <col min="10" max="10" width="17.85546875" customWidth="1"/>
    <col min="11" max="11" width="17.28515625" customWidth="1"/>
  </cols>
  <sheetData>
    <row r="1" spans="1:5" x14ac:dyDescent="0.25">
      <c r="A1" t="s">
        <v>167</v>
      </c>
      <c r="B1" t="s">
        <v>146</v>
      </c>
      <c r="C1" t="s">
        <v>145</v>
      </c>
      <c r="D1" t="s">
        <v>163</v>
      </c>
      <c r="E1" t="s">
        <v>181</v>
      </c>
    </row>
    <row r="2" spans="1:5" x14ac:dyDescent="0.25">
      <c r="A2" t="s">
        <v>176</v>
      </c>
      <c r="B2" t="s">
        <v>277</v>
      </c>
      <c r="C2" t="s">
        <v>265</v>
      </c>
      <c r="D2" t="s">
        <v>166</v>
      </c>
      <c r="E2">
        <v>0.3</v>
      </c>
    </row>
    <row r="3" spans="1:5" x14ac:dyDescent="0.25">
      <c r="A3" t="s">
        <v>176</v>
      </c>
      <c r="B3" t="s">
        <v>278</v>
      </c>
      <c r="C3" t="s">
        <v>274</v>
      </c>
      <c r="D3" t="s">
        <v>166</v>
      </c>
      <c r="E3">
        <v>1E-3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zoomScale="107" zoomScaleNormal="107" workbookViewId="0">
      <selection activeCell="H10" sqref="H10"/>
    </sheetView>
  </sheetViews>
  <sheetFormatPr defaultColWidth="8.5703125" defaultRowHeight="15" x14ac:dyDescent="0.25"/>
  <cols>
    <col min="1" max="1" width="18.7109375" customWidth="1"/>
    <col min="2" max="2" width="17.85546875" customWidth="1"/>
    <col min="3" max="3" width="17.28515625" customWidth="1"/>
  </cols>
  <sheetData>
    <row r="1" spans="1:3" x14ac:dyDescent="0.25">
      <c r="A1" t="s">
        <v>167</v>
      </c>
      <c r="B1" t="s">
        <v>176</v>
      </c>
      <c r="C1" t="s">
        <v>176</v>
      </c>
    </row>
    <row r="2" spans="1:3" x14ac:dyDescent="0.25">
      <c r="A2" t="s">
        <v>177</v>
      </c>
      <c r="B2" t="s">
        <v>146</v>
      </c>
      <c r="C2" t="s">
        <v>146</v>
      </c>
    </row>
    <row r="3" spans="1:3" x14ac:dyDescent="0.25">
      <c r="A3" t="s">
        <v>178</v>
      </c>
      <c r="B3" t="s">
        <v>277</v>
      </c>
      <c r="C3" t="s">
        <v>278</v>
      </c>
    </row>
    <row r="4" spans="1:3" x14ac:dyDescent="0.25">
      <c r="A4" t="s">
        <v>179</v>
      </c>
      <c r="B4" t="s">
        <v>145</v>
      </c>
      <c r="C4" t="s">
        <v>145</v>
      </c>
    </row>
    <row r="5" spans="1:3" x14ac:dyDescent="0.25">
      <c r="A5" t="s">
        <v>180</v>
      </c>
      <c r="B5" t="s">
        <v>265</v>
      </c>
      <c r="C5" t="s">
        <v>274</v>
      </c>
    </row>
    <row r="6" spans="1:3" x14ac:dyDescent="0.25">
      <c r="A6" t="s">
        <v>168</v>
      </c>
      <c r="B6" t="s">
        <v>121</v>
      </c>
      <c r="C6" t="s">
        <v>121</v>
      </c>
    </row>
    <row r="7" spans="1:3" x14ac:dyDescent="0.25">
      <c r="A7" t="s">
        <v>163</v>
      </c>
      <c r="B7" t="s">
        <v>166</v>
      </c>
      <c r="C7" t="s">
        <v>166</v>
      </c>
    </row>
    <row r="8" spans="1:3" x14ac:dyDescent="0.25">
      <c r="A8" t="s">
        <v>182</v>
      </c>
      <c r="B8" s="4">
        <v>153235.05755748009</v>
      </c>
      <c r="C8" s="4">
        <f>Base!E35</f>
        <v>503144654.08805031</v>
      </c>
    </row>
    <row r="9" spans="1:3" x14ac:dyDescent="0.25">
      <c r="A9" t="s">
        <v>207</v>
      </c>
      <c r="B9" s="4">
        <v>466325.30448643101</v>
      </c>
      <c r="C9" s="4">
        <f t="shared" ref="C9:C12" si="0">C8</f>
        <v>503144654.08805031</v>
      </c>
    </row>
    <row r="10" spans="1:3" x14ac:dyDescent="0.25">
      <c r="A10" t="s">
        <v>183</v>
      </c>
      <c r="B10" s="4">
        <v>452531.64772125217</v>
      </c>
      <c r="C10" s="4">
        <f t="shared" si="0"/>
        <v>503144654.08805031</v>
      </c>
    </row>
    <row r="11" spans="1:3" x14ac:dyDescent="0.25">
      <c r="A11" t="s">
        <v>208</v>
      </c>
      <c r="B11" s="4">
        <v>443281.91878865106</v>
      </c>
      <c r="C11" s="4">
        <f t="shared" si="0"/>
        <v>503144654.08805031</v>
      </c>
    </row>
    <row r="12" spans="1:3" x14ac:dyDescent="0.25">
      <c r="A12" t="s">
        <v>184</v>
      </c>
      <c r="B12" s="4">
        <v>441949.46191361878</v>
      </c>
      <c r="C12" s="4">
        <f t="shared" si="0"/>
        <v>503144654.08805031</v>
      </c>
    </row>
    <row r="13" spans="1:3" x14ac:dyDescent="0.25">
      <c r="A13" t="s">
        <v>209</v>
      </c>
      <c r="B13" s="4">
        <v>441805.20056338521</v>
      </c>
      <c r="C13" s="4">
        <f t="shared" ref="C13" si="1">C12</f>
        <v>503144654.08805031</v>
      </c>
    </row>
    <row r="14" spans="1:3" x14ac:dyDescent="0.25">
      <c r="A14" t="s">
        <v>185</v>
      </c>
      <c r="B14" s="4">
        <v>441797.61264709232</v>
      </c>
      <c r="C14" s="4">
        <f t="shared" ref="C14" si="2">C13</f>
        <v>503144654.08805031</v>
      </c>
    </row>
    <row r="15" spans="1:3" x14ac:dyDescent="0.25">
      <c r="A15" t="s">
        <v>210</v>
      </c>
      <c r="B15" s="4">
        <v>441798.91599598486</v>
      </c>
      <c r="C15" s="4">
        <f t="shared" ref="C15" si="3">C14</f>
        <v>503144654.08805031</v>
      </c>
    </row>
    <row r="16" spans="1:3" x14ac:dyDescent="0.25">
      <c r="A16" t="s">
        <v>186</v>
      </c>
      <c r="B16" s="4">
        <v>441799.42197618191</v>
      </c>
      <c r="C16" s="4">
        <f t="shared" ref="C16" si="4">C15</f>
        <v>503144654.08805031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4"/>
  <sheetViews>
    <sheetView zoomScale="150" zoomScaleNormal="150" workbookViewId="0"/>
  </sheetViews>
  <sheetFormatPr defaultColWidth="8.5703125" defaultRowHeight="15" x14ac:dyDescent="0.25"/>
  <cols>
    <col min="1" max="1" width="11.5703125" customWidth="1"/>
    <col min="2" max="2" width="18.7109375" customWidth="1"/>
  </cols>
  <sheetData>
    <row r="1" spans="1:2" x14ac:dyDescent="0.25">
      <c r="A1" t="s">
        <v>145</v>
      </c>
      <c r="B1" t="s">
        <v>279</v>
      </c>
    </row>
    <row r="2" spans="1:2" x14ac:dyDescent="0.25">
      <c r="A2" t="s">
        <v>148</v>
      </c>
      <c r="B2" s="38">
        <v>10000000000</v>
      </c>
    </row>
    <row r="3" spans="1:2" x14ac:dyDescent="0.25">
      <c r="A3" t="s">
        <v>265</v>
      </c>
      <c r="B3" s="38">
        <v>10000000000</v>
      </c>
    </row>
    <row r="4" spans="1:2" x14ac:dyDescent="0.25">
      <c r="A4" t="s">
        <v>274</v>
      </c>
      <c r="B4" s="38">
        <v>10000000000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2"/>
  <sheetViews>
    <sheetView zoomScale="150" zoomScaleNormal="150" workbookViewId="0"/>
  </sheetViews>
  <sheetFormatPr defaultColWidth="8.5703125" defaultRowHeight="15" x14ac:dyDescent="0.25"/>
  <cols>
    <col min="1" max="2" width="15.5703125" customWidth="1"/>
    <col min="3" max="3" width="16.140625" style="29" customWidth="1"/>
    <col min="4" max="4" width="24.42578125" customWidth="1"/>
    <col min="5" max="5" width="31.5703125" customWidth="1"/>
    <col min="6" max="6" width="14.85546875" customWidth="1"/>
    <col min="7" max="7" width="21.140625" customWidth="1"/>
    <col min="8" max="8" width="24.140625" customWidth="1"/>
    <col min="9" max="9" width="16.85546875" customWidth="1"/>
    <col min="10" max="10" width="22.28515625" customWidth="1"/>
    <col min="11" max="11" width="24.85546875" customWidth="1"/>
    <col min="12" max="12" width="23.5703125" customWidth="1"/>
    <col min="13" max="13" width="16.85546875" customWidth="1"/>
    <col min="14" max="14" width="15.28515625" customWidth="1"/>
    <col min="15" max="15" width="20.7109375" customWidth="1"/>
    <col min="16" max="16" width="18.85546875" customWidth="1"/>
    <col min="17" max="17" width="23.5703125" customWidth="1"/>
    <col min="18" max="18" width="21.5703125" customWidth="1"/>
    <col min="19" max="19" width="15.28515625" customWidth="1"/>
    <col min="20" max="20" width="21.85546875" customWidth="1"/>
  </cols>
  <sheetData>
    <row r="1" spans="1:20" x14ac:dyDescent="0.25">
      <c r="A1" t="s">
        <v>124</v>
      </c>
      <c r="B1" t="s">
        <v>125</v>
      </c>
      <c r="C1"/>
      <c r="D1" t="s">
        <v>126</v>
      </c>
      <c r="G1" t="s">
        <v>127</v>
      </c>
      <c r="J1" t="s">
        <v>128</v>
      </c>
      <c r="M1" t="s">
        <v>128</v>
      </c>
      <c r="P1" t="s">
        <v>128</v>
      </c>
      <c r="R1" t="s">
        <v>129</v>
      </c>
    </row>
    <row r="2" spans="1:20" x14ac:dyDescent="0.25">
      <c r="A2" t="s">
        <v>130</v>
      </c>
      <c r="B2" t="s">
        <v>125</v>
      </c>
      <c r="C2"/>
      <c r="D2" t="s">
        <v>131</v>
      </c>
      <c r="E2" t="s">
        <v>132</v>
      </c>
      <c r="G2" t="s">
        <v>127</v>
      </c>
      <c r="H2" t="s">
        <v>133</v>
      </c>
      <c r="J2" t="s">
        <v>134</v>
      </c>
      <c r="K2" t="s">
        <v>135</v>
      </c>
      <c r="M2" t="s">
        <v>136</v>
      </c>
      <c r="P2" t="s">
        <v>137</v>
      </c>
      <c r="R2" t="s">
        <v>129</v>
      </c>
      <c r="S2" t="s">
        <v>138</v>
      </c>
    </row>
    <row r="3" spans="1:20" x14ac:dyDescent="0.25">
      <c r="A3" t="s">
        <v>94</v>
      </c>
      <c r="B3" t="s">
        <v>139</v>
      </c>
      <c r="C3" s="29" t="s">
        <v>140</v>
      </c>
      <c r="D3" t="s">
        <v>141</v>
      </c>
      <c r="E3" t="s">
        <v>139</v>
      </c>
      <c r="F3" t="s">
        <v>140</v>
      </c>
      <c r="G3" t="s">
        <v>141</v>
      </c>
      <c r="H3" t="s">
        <v>139</v>
      </c>
      <c r="I3" t="s">
        <v>140</v>
      </c>
      <c r="J3" t="s">
        <v>141</v>
      </c>
      <c r="K3" t="s">
        <v>139</v>
      </c>
      <c r="L3" t="s">
        <v>140</v>
      </c>
      <c r="M3" t="s">
        <v>141</v>
      </c>
      <c r="N3" t="s">
        <v>139</v>
      </c>
      <c r="O3" t="s">
        <v>140</v>
      </c>
      <c r="P3" t="s">
        <v>142</v>
      </c>
      <c r="Q3" t="s">
        <v>143</v>
      </c>
      <c r="R3" t="s">
        <v>141</v>
      </c>
      <c r="S3" t="s">
        <v>139</v>
      </c>
      <c r="T3" t="s">
        <v>140</v>
      </c>
    </row>
    <row r="4" spans="1:20" x14ac:dyDescent="0.25">
      <c r="A4" t="s">
        <v>144</v>
      </c>
      <c r="B4" t="s">
        <v>145</v>
      </c>
      <c r="C4" s="29" t="s">
        <v>146</v>
      </c>
      <c r="D4" t="s">
        <v>145</v>
      </c>
      <c r="E4" t="s">
        <v>146</v>
      </c>
      <c r="F4" t="s">
        <v>145</v>
      </c>
      <c r="G4" t="s">
        <v>145</v>
      </c>
      <c r="H4" t="s">
        <v>146</v>
      </c>
      <c r="I4" t="s">
        <v>145</v>
      </c>
      <c r="J4" t="s">
        <v>145</v>
      </c>
      <c r="K4" t="s">
        <v>146</v>
      </c>
      <c r="L4" t="s">
        <v>145</v>
      </c>
      <c r="M4" t="s">
        <v>146</v>
      </c>
      <c r="N4" t="s">
        <v>145</v>
      </c>
      <c r="O4" t="s">
        <v>146</v>
      </c>
      <c r="P4" t="s">
        <v>145</v>
      </c>
      <c r="Q4" t="s">
        <v>145</v>
      </c>
      <c r="R4" t="s">
        <v>146</v>
      </c>
      <c r="S4" t="s">
        <v>145</v>
      </c>
      <c r="T4" t="s">
        <v>146</v>
      </c>
    </row>
    <row r="5" spans="1:20" x14ac:dyDescent="0.25">
      <c r="A5" t="s">
        <v>147</v>
      </c>
      <c r="B5" t="s">
        <v>148</v>
      </c>
      <c r="C5" s="29" t="s">
        <v>149</v>
      </c>
      <c r="D5" t="s">
        <v>150</v>
      </c>
      <c r="E5" t="s">
        <v>149</v>
      </c>
      <c r="F5" t="s">
        <v>151</v>
      </c>
      <c r="G5" t="s">
        <v>150</v>
      </c>
      <c r="H5" t="s">
        <v>152</v>
      </c>
      <c r="I5" t="s">
        <v>153</v>
      </c>
      <c r="J5" t="s">
        <v>151</v>
      </c>
      <c r="K5" t="s">
        <v>154</v>
      </c>
      <c r="L5" t="s">
        <v>150</v>
      </c>
      <c r="M5" t="s">
        <v>149</v>
      </c>
      <c r="N5" t="s">
        <v>151</v>
      </c>
      <c r="O5" t="s">
        <v>155</v>
      </c>
      <c r="P5" t="s">
        <v>156</v>
      </c>
      <c r="Q5" t="s">
        <v>150</v>
      </c>
      <c r="S5" t="s">
        <v>151</v>
      </c>
      <c r="T5" t="s">
        <v>155</v>
      </c>
    </row>
    <row r="6" spans="1:20" x14ac:dyDescent="0.25">
      <c r="D6" t="s">
        <v>157</v>
      </c>
      <c r="F6" t="s">
        <v>158</v>
      </c>
      <c r="G6" t="s">
        <v>157</v>
      </c>
      <c r="K6" t="s">
        <v>159</v>
      </c>
      <c r="L6" t="s">
        <v>157</v>
      </c>
      <c r="Q6" t="s">
        <v>160</v>
      </c>
      <c r="T6" t="s">
        <v>154</v>
      </c>
    </row>
    <row r="7" spans="1:20" x14ac:dyDescent="0.25">
      <c r="D7" t="s">
        <v>148</v>
      </c>
      <c r="L7" t="s">
        <v>156</v>
      </c>
      <c r="T7" t="s">
        <v>159</v>
      </c>
    </row>
    <row r="8" spans="1:20" x14ac:dyDescent="0.25">
      <c r="L8" t="s">
        <v>160</v>
      </c>
      <c r="R8" t="s">
        <v>155</v>
      </c>
      <c r="S8" t="s">
        <v>161</v>
      </c>
      <c r="T8" t="s">
        <v>162</v>
      </c>
    </row>
    <row r="9" spans="1:20" x14ac:dyDescent="0.25">
      <c r="R9" t="s">
        <v>154</v>
      </c>
    </row>
    <row r="10" spans="1:20" x14ac:dyDescent="0.25">
      <c r="R10" t="s">
        <v>159</v>
      </c>
    </row>
    <row r="42" ht="27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zoomScale="150" zoomScaleNormal="150" workbookViewId="0">
      <selection activeCell="D2" sqref="D2"/>
    </sheetView>
  </sheetViews>
  <sheetFormatPr defaultColWidth="8.5703125" defaultRowHeight="15" x14ac:dyDescent="0.25"/>
  <cols>
    <col min="1" max="2" width="10.5703125" customWidth="1"/>
    <col min="3" max="3" width="9.28515625" customWidth="1"/>
    <col min="4" max="4" width="17.28515625" customWidth="1"/>
    <col min="5" max="5" width="18.7109375" customWidth="1"/>
    <col min="7" max="7" width="18.7109375" customWidth="1"/>
    <col min="8" max="8" width="16.42578125" customWidth="1"/>
  </cols>
  <sheetData>
    <row r="1" spans="1:4" x14ac:dyDescent="0.25">
      <c r="A1" t="s">
        <v>145</v>
      </c>
      <c r="B1" t="s">
        <v>163</v>
      </c>
      <c r="C1" t="s">
        <v>164</v>
      </c>
      <c r="D1" t="s">
        <v>165</v>
      </c>
    </row>
    <row r="2" spans="1:4" x14ac:dyDescent="0.25">
      <c r="A2" t="s">
        <v>148</v>
      </c>
      <c r="B2" t="s">
        <v>166</v>
      </c>
      <c r="C2" t="b">
        <f>TRUE()</f>
        <v>1</v>
      </c>
      <c r="D2" s="4">
        <f>Base!C59</f>
        <v>204035.62050000002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"/>
  <sheetViews>
    <sheetView zoomScale="99" zoomScaleNormal="99" workbookViewId="0">
      <selection activeCell="K4" sqref="K4"/>
    </sheetView>
  </sheetViews>
  <sheetFormatPr defaultColWidth="8.5703125" defaultRowHeight="15" x14ac:dyDescent="0.25"/>
  <cols>
    <col min="1" max="1" width="16.42578125" customWidth="1"/>
    <col min="2" max="2" width="15.85546875" customWidth="1"/>
    <col min="3" max="3" width="21.140625" customWidth="1"/>
    <col min="5" max="5" width="17.85546875" customWidth="1"/>
    <col min="6" max="6" width="15.85546875" customWidth="1"/>
    <col min="7" max="7" width="22.5703125" customWidth="1"/>
    <col min="8" max="8" width="10.5703125" customWidth="1"/>
    <col min="9" max="9" width="24.85546875" customWidth="1"/>
    <col min="10" max="11" width="10.5703125" customWidth="1"/>
    <col min="13" max="13" width="25.7109375" customWidth="1"/>
    <col min="14" max="14" width="22.5703125" customWidth="1"/>
    <col min="15" max="15" width="21.5703125" customWidth="1"/>
  </cols>
  <sheetData>
    <row r="1" spans="1:15" x14ac:dyDescent="0.25">
      <c r="A1" t="s">
        <v>167</v>
      </c>
      <c r="B1" t="s">
        <v>146</v>
      </c>
      <c r="C1" t="s">
        <v>145</v>
      </c>
      <c r="E1" t="s">
        <v>167</v>
      </c>
      <c r="F1" t="s">
        <v>146</v>
      </c>
      <c r="G1" t="s">
        <v>145</v>
      </c>
      <c r="H1" t="s">
        <v>145</v>
      </c>
      <c r="I1" t="s">
        <v>168</v>
      </c>
      <c r="J1" t="s">
        <v>163</v>
      </c>
      <c r="K1" t="s">
        <v>169</v>
      </c>
      <c r="M1" t="s">
        <v>145</v>
      </c>
      <c r="N1" t="s">
        <v>163</v>
      </c>
      <c r="O1" t="s">
        <v>170</v>
      </c>
    </row>
    <row r="2" spans="1:15" x14ac:dyDescent="0.25">
      <c r="A2" t="s">
        <v>171</v>
      </c>
      <c r="B2" t="s">
        <v>149</v>
      </c>
      <c r="C2" t="s">
        <v>150</v>
      </c>
      <c r="E2" t="s">
        <v>172</v>
      </c>
      <c r="F2" t="s">
        <v>149</v>
      </c>
      <c r="G2" t="s">
        <v>150</v>
      </c>
      <c r="H2" t="s">
        <v>148</v>
      </c>
      <c r="I2" t="s">
        <v>173</v>
      </c>
      <c r="J2" t="s">
        <v>166</v>
      </c>
      <c r="K2">
        <f>Base!C61</f>
        <v>46.402721136626234</v>
      </c>
      <c r="M2" t="s">
        <v>157</v>
      </c>
      <c r="N2" t="s">
        <v>166</v>
      </c>
      <c r="O2" t="s">
        <v>174</v>
      </c>
    </row>
    <row r="3" spans="1:15" x14ac:dyDescent="0.25">
      <c r="A3" t="s">
        <v>171</v>
      </c>
      <c r="B3" t="s">
        <v>149</v>
      </c>
      <c r="C3" t="s">
        <v>157</v>
      </c>
      <c r="E3" t="s">
        <v>172</v>
      </c>
      <c r="F3" t="s">
        <v>149</v>
      </c>
      <c r="G3" t="s">
        <v>157</v>
      </c>
      <c r="H3" t="s">
        <v>148</v>
      </c>
      <c r="I3" t="s">
        <v>173</v>
      </c>
      <c r="J3" t="s">
        <v>166</v>
      </c>
      <c r="K3">
        <f>Base!C62</f>
        <v>24.901534288715041</v>
      </c>
    </row>
    <row r="4" spans="1:15" x14ac:dyDescent="0.25">
      <c r="A4" t="s">
        <v>171</v>
      </c>
      <c r="B4" t="s">
        <v>149</v>
      </c>
      <c r="C4" t="s">
        <v>148</v>
      </c>
      <c r="E4" t="s">
        <v>172</v>
      </c>
      <c r="F4" t="s">
        <v>149</v>
      </c>
      <c r="G4" t="s">
        <v>151</v>
      </c>
      <c r="H4" t="s">
        <v>148</v>
      </c>
      <c r="I4" t="s">
        <v>175</v>
      </c>
      <c r="J4" t="s">
        <v>166</v>
      </c>
      <c r="K4">
        <f>Base!C57</f>
        <v>0.99820805553900815</v>
      </c>
    </row>
    <row r="5" spans="1:15" x14ac:dyDescent="0.25">
      <c r="A5" t="s">
        <v>176</v>
      </c>
      <c r="B5" t="s">
        <v>149</v>
      </c>
      <c r="C5" t="s">
        <v>151</v>
      </c>
      <c r="E5" t="s">
        <v>172</v>
      </c>
      <c r="F5" t="s">
        <v>149</v>
      </c>
      <c r="G5" t="s">
        <v>158</v>
      </c>
      <c r="H5" t="s">
        <v>148</v>
      </c>
      <c r="I5" t="s">
        <v>175</v>
      </c>
      <c r="J5" t="s">
        <v>166</v>
      </c>
      <c r="K5">
        <f>Base!C56</f>
        <v>1.7919444609918002E-3</v>
      </c>
    </row>
    <row r="6" spans="1:15" x14ac:dyDescent="0.25">
      <c r="A6" t="s">
        <v>176</v>
      </c>
      <c r="B6" t="s">
        <v>149</v>
      </c>
      <c r="C6" t="s">
        <v>158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zoomScale="150" zoomScaleNormal="150" workbookViewId="0">
      <selection activeCell="B9" sqref="B9:B12"/>
    </sheetView>
  </sheetViews>
  <sheetFormatPr defaultColWidth="8.5703125" defaultRowHeight="15" x14ac:dyDescent="0.25"/>
  <cols>
    <col min="1" max="1" width="18.7109375" customWidth="1"/>
    <col min="2" max="2" width="16.42578125" customWidth="1"/>
    <col min="4" max="4" width="24.85546875" customWidth="1"/>
    <col min="5" max="5" width="23.5703125" customWidth="1"/>
    <col min="6" max="6" width="24.85546875" customWidth="1"/>
    <col min="7" max="8" width="23.5703125" customWidth="1"/>
    <col min="9" max="9" width="24.85546875" customWidth="1"/>
    <col min="10" max="10" width="17.85546875" customWidth="1"/>
  </cols>
  <sheetData>
    <row r="1" spans="1:2" x14ac:dyDescent="0.25">
      <c r="A1" t="s">
        <v>167</v>
      </c>
      <c r="B1" t="s">
        <v>171</v>
      </c>
    </row>
    <row r="2" spans="1:2" x14ac:dyDescent="0.25">
      <c r="A2" t="s">
        <v>177</v>
      </c>
      <c r="B2" t="s">
        <v>146</v>
      </c>
    </row>
    <row r="3" spans="1:2" x14ac:dyDescent="0.25">
      <c r="A3" t="s">
        <v>178</v>
      </c>
      <c r="B3" t="s">
        <v>149</v>
      </c>
    </row>
    <row r="4" spans="1:2" x14ac:dyDescent="0.25">
      <c r="A4" t="s">
        <v>179</v>
      </c>
      <c r="B4" t="s">
        <v>145</v>
      </c>
    </row>
    <row r="5" spans="1:2" x14ac:dyDescent="0.25">
      <c r="A5" t="s">
        <v>180</v>
      </c>
      <c r="B5" t="s">
        <v>148</v>
      </c>
    </row>
    <row r="6" spans="1:2" x14ac:dyDescent="0.25">
      <c r="A6" t="s">
        <v>168</v>
      </c>
      <c r="B6" t="s">
        <v>181</v>
      </c>
    </row>
    <row r="7" spans="1:2" x14ac:dyDescent="0.25">
      <c r="A7" t="s">
        <v>163</v>
      </c>
      <c r="B7" t="s">
        <v>166</v>
      </c>
    </row>
    <row r="8" spans="1:2" x14ac:dyDescent="0.25">
      <c r="A8" t="s">
        <v>182</v>
      </c>
      <c r="B8">
        <f>Base!C55</f>
        <v>0.58229343750000007</v>
      </c>
    </row>
    <row r="9" spans="1:2" x14ac:dyDescent="0.25">
      <c r="A9" t="s">
        <v>183</v>
      </c>
      <c r="B9">
        <v>0.56000000000000005</v>
      </c>
    </row>
    <row r="10" spans="1:2" x14ac:dyDescent="0.25">
      <c r="A10" t="s">
        <v>184</v>
      </c>
      <c r="B10">
        <v>0.53</v>
      </c>
    </row>
    <row r="11" spans="1:2" x14ac:dyDescent="0.25">
      <c r="A11" t="s">
        <v>185</v>
      </c>
      <c r="B11">
        <v>0.51</v>
      </c>
    </row>
    <row r="12" spans="1:2" x14ac:dyDescent="0.25">
      <c r="A12" t="s">
        <v>186</v>
      </c>
      <c r="B12">
        <v>0.5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"/>
  <sheetViews>
    <sheetView zoomScale="102" zoomScaleNormal="102" workbookViewId="0">
      <selection activeCell="K3" sqref="K3"/>
    </sheetView>
  </sheetViews>
  <sheetFormatPr defaultColWidth="8.5703125" defaultRowHeight="15" x14ac:dyDescent="0.25"/>
  <cols>
    <col min="1" max="1" width="16.42578125" customWidth="1"/>
    <col min="2" max="2" width="24.140625" customWidth="1"/>
    <col min="3" max="3" width="21.140625" customWidth="1"/>
    <col min="5" max="5" width="17.85546875" customWidth="1"/>
    <col min="6" max="6" width="24.140625" customWidth="1"/>
    <col min="7" max="7" width="21.140625" customWidth="1"/>
    <col min="8" max="8" width="16.85546875" customWidth="1"/>
    <col min="9" max="9" width="24.85546875" customWidth="1"/>
    <col min="10" max="10" width="10.5703125" customWidth="1"/>
    <col min="11" max="11" width="11.85546875" customWidth="1"/>
    <col min="13" max="13" width="16.85546875" customWidth="1"/>
    <col min="14" max="14" width="10.5703125" customWidth="1"/>
    <col min="15" max="15" width="8.140625" customWidth="1"/>
  </cols>
  <sheetData>
    <row r="1" spans="1:15" x14ac:dyDescent="0.25">
      <c r="A1" t="s">
        <v>167</v>
      </c>
      <c r="B1" t="s">
        <v>146</v>
      </c>
      <c r="C1" t="s">
        <v>145</v>
      </c>
      <c r="E1" t="s">
        <v>167</v>
      </c>
      <c r="F1" t="s">
        <v>146</v>
      </c>
      <c r="G1" t="s">
        <v>145</v>
      </c>
      <c r="H1" t="s">
        <v>145</v>
      </c>
      <c r="I1" t="s">
        <v>168</v>
      </c>
      <c r="J1" t="s">
        <v>163</v>
      </c>
      <c r="K1" t="s">
        <v>169</v>
      </c>
      <c r="M1" t="s">
        <v>145</v>
      </c>
      <c r="N1" t="s">
        <v>163</v>
      </c>
      <c r="O1" t="s">
        <v>187</v>
      </c>
    </row>
    <row r="2" spans="1:15" x14ac:dyDescent="0.25">
      <c r="A2" t="s">
        <v>171</v>
      </c>
      <c r="B2" t="s">
        <v>152</v>
      </c>
      <c r="C2" t="s">
        <v>150</v>
      </c>
      <c r="E2" t="s">
        <v>172</v>
      </c>
      <c r="F2" t="s">
        <v>152</v>
      </c>
      <c r="G2" t="s">
        <v>150</v>
      </c>
      <c r="H2" t="s">
        <v>153</v>
      </c>
      <c r="I2" t="s">
        <v>188</v>
      </c>
      <c r="J2" t="s">
        <v>166</v>
      </c>
      <c r="K2">
        <f>Base!C63</f>
        <v>3.7400000000000003E-2</v>
      </c>
      <c r="M2" t="s">
        <v>153</v>
      </c>
      <c r="N2" t="s">
        <v>166</v>
      </c>
      <c r="O2">
        <f>Base!B3</f>
        <v>90</v>
      </c>
    </row>
    <row r="3" spans="1:15" x14ac:dyDescent="0.25">
      <c r="A3" t="s">
        <v>171</v>
      </c>
      <c r="B3" t="s">
        <v>152</v>
      </c>
      <c r="C3" t="s">
        <v>157</v>
      </c>
      <c r="E3" t="s">
        <v>172</v>
      </c>
      <c r="F3" t="s">
        <v>152</v>
      </c>
      <c r="G3" t="s">
        <v>157</v>
      </c>
      <c r="H3" t="s">
        <v>153</v>
      </c>
      <c r="I3" t="s">
        <v>188</v>
      </c>
      <c r="J3" t="s">
        <v>166</v>
      </c>
      <c r="K3">
        <f>Base!C64</f>
        <v>1.8888888888888889E-2</v>
      </c>
    </row>
    <row r="4" spans="1:15" x14ac:dyDescent="0.25">
      <c r="A4" t="s">
        <v>176</v>
      </c>
      <c r="B4" t="s">
        <v>152</v>
      </c>
      <c r="C4" t="s">
        <v>153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zoomScale="150" zoomScaleNormal="150" workbookViewId="0"/>
  </sheetViews>
  <sheetFormatPr defaultColWidth="8.5703125" defaultRowHeight="15" x14ac:dyDescent="0.25"/>
  <cols>
    <col min="1" max="1" width="18.7109375" customWidth="1"/>
    <col min="2" max="2" width="26.28515625" customWidth="1"/>
  </cols>
  <sheetData>
    <row r="1" spans="1:2" x14ac:dyDescent="0.25">
      <c r="A1" t="s">
        <v>144</v>
      </c>
      <c r="B1" t="s">
        <v>145</v>
      </c>
    </row>
    <row r="2" spans="1:2" x14ac:dyDescent="0.25">
      <c r="A2" t="s">
        <v>189</v>
      </c>
      <c r="B2" t="s">
        <v>153</v>
      </c>
    </row>
    <row r="3" spans="1:2" x14ac:dyDescent="0.25">
      <c r="A3" t="s">
        <v>168</v>
      </c>
      <c r="B3" t="s">
        <v>187</v>
      </c>
    </row>
    <row r="4" spans="1:2" x14ac:dyDescent="0.25">
      <c r="A4" t="s">
        <v>163</v>
      </c>
      <c r="B4" t="s">
        <v>190</v>
      </c>
    </row>
    <row r="5" spans="1:2" x14ac:dyDescent="0.25">
      <c r="A5" t="s">
        <v>182</v>
      </c>
      <c r="B5">
        <v>90</v>
      </c>
    </row>
    <row r="6" spans="1:2" x14ac:dyDescent="0.25">
      <c r="A6" t="s">
        <v>185</v>
      </c>
      <c r="B6">
        <v>60</v>
      </c>
    </row>
    <row r="7" spans="1:2" x14ac:dyDescent="0.25">
      <c r="A7" t="s">
        <v>186</v>
      </c>
      <c r="B7">
        <v>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3"/>
  <sheetViews>
    <sheetView topLeftCell="M1" zoomScale="95" zoomScaleNormal="95" workbookViewId="0">
      <selection activeCell="AB2" sqref="AB2"/>
    </sheetView>
  </sheetViews>
  <sheetFormatPr defaultColWidth="8.5703125" defaultRowHeight="15" x14ac:dyDescent="0.25"/>
  <cols>
    <col min="1" max="1" width="16.42578125" customWidth="1"/>
    <col min="2" max="2" width="21.85546875" customWidth="1"/>
    <col min="3" max="3" width="23.5703125" customWidth="1"/>
    <col min="4" max="4" width="20.140625" customWidth="1"/>
    <col min="6" max="6" width="12.5703125" customWidth="1"/>
    <col min="7" max="7" width="9.28515625" customWidth="1"/>
    <col min="9" max="9" width="17.85546875" customWidth="1"/>
    <col min="10" max="10" width="21.85546875" customWidth="1"/>
    <col min="11" max="11" width="21.140625" customWidth="1"/>
    <col min="12" max="12" width="14.85546875" customWidth="1"/>
    <col min="13" max="13" width="24.85546875" customWidth="1"/>
    <col min="14" max="14" width="14" customWidth="1"/>
    <col min="15" max="15" width="11.85546875" customWidth="1"/>
    <col min="17" max="17" width="21.85546875" customWidth="1"/>
    <col min="18" max="18" width="14" customWidth="1"/>
    <col min="19" max="19" width="10.5703125" customWidth="1"/>
    <col min="20" max="20" width="15.140625" customWidth="1"/>
    <col min="21" max="21" width="11.85546875" customWidth="1"/>
    <col min="22" max="22" width="16.28515625" customWidth="1"/>
    <col min="23" max="23" width="32.28515625" customWidth="1"/>
    <col min="24" max="24" width="20.42578125" customWidth="1"/>
    <col min="25" max="25" width="36.7109375" customWidth="1"/>
    <col min="26" max="26" width="13.28515625" customWidth="1"/>
    <col min="27" max="27" width="24" customWidth="1"/>
    <col min="28" max="29" width="21.5703125" customWidth="1"/>
  </cols>
  <sheetData>
    <row r="1" spans="1:28" ht="15.75" thickBot="1" x14ac:dyDescent="0.3">
      <c r="A1" s="30" t="s">
        <v>167</v>
      </c>
      <c r="B1" s="30" t="s">
        <v>146</v>
      </c>
      <c r="C1" s="30" t="s">
        <v>145</v>
      </c>
      <c r="D1" s="30" t="s">
        <v>163</v>
      </c>
      <c r="E1" s="30" t="s">
        <v>191</v>
      </c>
      <c r="F1" s="30" t="s">
        <v>181</v>
      </c>
      <c r="G1" s="30" t="s">
        <v>121</v>
      </c>
      <c r="I1" s="30" t="s">
        <v>167</v>
      </c>
      <c r="J1" s="30" t="s">
        <v>146</v>
      </c>
      <c r="K1" s="30" t="s">
        <v>145</v>
      </c>
      <c r="L1" s="30" t="s">
        <v>145</v>
      </c>
      <c r="M1" s="30" t="s">
        <v>168</v>
      </c>
      <c r="N1" s="30" t="s">
        <v>163</v>
      </c>
      <c r="O1" s="30" t="s">
        <v>169</v>
      </c>
      <c r="Q1" s="30" t="s">
        <v>146</v>
      </c>
      <c r="R1" s="30" t="s">
        <v>163</v>
      </c>
      <c r="S1" s="30" t="s">
        <v>191</v>
      </c>
      <c r="T1" s="30" t="s">
        <v>192</v>
      </c>
      <c r="U1" s="30" t="s">
        <v>118</v>
      </c>
      <c r="V1" s="30" t="s">
        <v>193</v>
      </c>
      <c r="W1" s="30" t="s">
        <v>194</v>
      </c>
      <c r="X1" s="30" t="s">
        <v>119</v>
      </c>
      <c r="Y1" s="30" t="s">
        <v>195</v>
      </c>
      <c r="Z1" s="30" t="s">
        <v>196</v>
      </c>
      <c r="AA1" s="30" t="s">
        <v>197</v>
      </c>
      <c r="AB1" s="30" t="s">
        <v>285</v>
      </c>
    </row>
    <row r="2" spans="1:28" x14ac:dyDescent="0.25">
      <c r="A2" t="s">
        <v>171</v>
      </c>
      <c r="B2" t="s">
        <v>154</v>
      </c>
      <c r="C2" t="s">
        <v>151</v>
      </c>
      <c r="I2" t="s">
        <v>172</v>
      </c>
      <c r="J2" t="s">
        <v>154</v>
      </c>
      <c r="K2" t="s">
        <v>150</v>
      </c>
      <c r="L2" t="s">
        <v>151</v>
      </c>
      <c r="M2" t="s">
        <v>175</v>
      </c>
      <c r="N2" t="s">
        <v>166</v>
      </c>
      <c r="O2">
        <f>Base!C67</f>
        <v>3777.7777777777783</v>
      </c>
      <c r="Q2" s="31" t="s">
        <v>154</v>
      </c>
      <c r="R2" s="31" t="s">
        <v>166</v>
      </c>
      <c r="S2" s="31"/>
      <c r="T2" s="32">
        <f>Base!B15</f>
        <v>2</v>
      </c>
      <c r="U2" s="31">
        <f>Base!C65</f>
        <v>2.3561643835616444</v>
      </c>
      <c r="V2" s="31">
        <v>0</v>
      </c>
      <c r="W2" s="31" t="s">
        <v>198</v>
      </c>
      <c r="X2" s="31">
        <f>Base!C66</f>
        <v>23994000</v>
      </c>
      <c r="Y2" s="31" t="s">
        <v>199</v>
      </c>
      <c r="Z2" s="31">
        <f>U2*Base!B14</f>
        <v>73.041095890410972</v>
      </c>
      <c r="AA2" s="31" t="s">
        <v>200</v>
      </c>
      <c r="AB2" s="31"/>
    </row>
    <row r="3" spans="1:28" x14ac:dyDescent="0.25">
      <c r="A3" t="s">
        <v>176</v>
      </c>
      <c r="B3" t="s">
        <v>154</v>
      </c>
      <c r="C3" t="s">
        <v>157</v>
      </c>
      <c r="I3" s="31" t="s">
        <v>172</v>
      </c>
      <c r="J3" s="31" t="s">
        <v>154</v>
      </c>
      <c r="K3" s="31" t="s">
        <v>157</v>
      </c>
      <c r="L3" s="31" t="s">
        <v>151</v>
      </c>
      <c r="M3" s="31" t="s">
        <v>175</v>
      </c>
      <c r="N3" s="31" t="s">
        <v>166</v>
      </c>
      <c r="O3" s="31">
        <f>Base!C68</f>
        <v>2266.666666666667</v>
      </c>
      <c r="Q3" s="33" t="s">
        <v>159</v>
      </c>
      <c r="R3" s="33" t="s">
        <v>166</v>
      </c>
      <c r="S3" s="33" t="b">
        <f>FALSE()</f>
        <v>0</v>
      </c>
      <c r="T3" s="34"/>
      <c r="U3" s="33"/>
      <c r="V3" s="33"/>
      <c r="W3" s="33"/>
      <c r="X3" s="33"/>
      <c r="Y3" s="33"/>
      <c r="Z3" s="33"/>
      <c r="AA3" s="33"/>
      <c r="AB3" s="33"/>
    </row>
    <row r="4" spans="1:28" x14ac:dyDescent="0.25">
      <c r="A4" t="s">
        <v>176</v>
      </c>
      <c r="B4" t="s">
        <v>154</v>
      </c>
      <c r="C4" t="s">
        <v>150</v>
      </c>
      <c r="D4" t="s">
        <v>201</v>
      </c>
      <c r="F4" s="7">
        <f>Base!B14</f>
        <v>31</v>
      </c>
      <c r="G4" s="19">
        <f>Base!C69</f>
        <v>5.5</v>
      </c>
      <c r="I4" s="33" t="s">
        <v>172</v>
      </c>
      <c r="J4" s="33" t="s">
        <v>159</v>
      </c>
      <c r="K4" s="33" t="s">
        <v>150</v>
      </c>
      <c r="L4" s="33" t="s">
        <v>151</v>
      </c>
      <c r="M4" s="33" t="s">
        <v>175</v>
      </c>
      <c r="N4" t="s">
        <v>202</v>
      </c>
      <c r="O4" s="33">
        <f>Base!C73</f>
        <v>4111.1111111111113</v>
      </c>
      <c r="Q4" s="31" t="s">
        <v>159</v>
      </c>
      <c r="R4" s="31" t="s">
        <v>202</v>
      </c>
      <c r="S4" s="31" t="b">
        <f>TRUE()</f>
        <v>1</v>
      </c>
      <c r="T4" s="32">
        <f>T2</f>
        <v>2</v>
      </c>
      <c r="U4" s="31">
        <f>Base!C71</f>
        <v>2.2972602739726029</v>
      </c>
      <c r="V4" s="31">
        <v>0</v>
      </c>
      <c r="W4" s="31" t="s">
        <v>198</v>
      </c>
      <c r="X4" s="31">
        <f>Base!C72</f>
        <v>23354160</v>
      </c>
      <c r="Y4" s="31" t="s">
        <v>199</v>
      </c>
      <c r="Z4" s="31">
        <f>U4*Base!B14</f>
        <v>71.215068493150696</v>
      </c>
      <c r="AA4" s="31" t="s">
        <v>203</v>
      </c>
      <c r="AB4" s="31"/>
    </row>
    <row r="5" spans="1:28" x14ac:dyDescent="0.25">
      <c r="A5" t="s">
        <v>176</v>
      </c>
      <c r="B5" t="s">
        <v>154</v>
      </c>
      <c r="C5" t="s">
        <v>156</v>
      </c>
      <c r="D5" t="s">
        <v>201</v>
      </c>
      <c r="E5" t="b">
        <f>FALSE()</f>
        <v>0</v>
      </c>
      <c r="I5" s="31" t="s">
        <v>172</v>
      </c>
      <c r="J5" s="31" t="s">
        <v>159</v>
      </c>
      <c r="K5" s="31" t="s">
        <v>157</v>
      </c>
      <c r="L5" s="31" t="s">
        <v>151</v>
      </c>
      <c r="M5" s="31" t="s">
        <v>175</v>
      </c>
      <c r="N5" s="31" t="s">
        <v>202</v>
      </c>
      <c r="O5" s="31">
        <f>Base!C74</f>
        <v>2466.6666666666665</v>
      </c>
    </row>
    <row r="6" spans="1:28" x14ac:dyDescent="0.25">
      <c r="A6" t="s">
        <v>176</v>
      </c>
      <c r="B6" t="s">
        <v>154</v>
      </c>
      <c r="C6" t="s">
        <v>160</v>
      </c>
      <c r="D6" t="s">
        <v>201</v>
      </c>
      <c r="E6" t="b">
        <f>FALSE()</f>
        <v>0</v>
      </c>
    </row>
    <row r="7" spans="1:28" x14ac:dyDescent="0.25">
      <c r="A7" t="s">
        <v>176</v>
      </c>
      <c r="B7" t="s">
        <v>154</v>
      </c>
      <c r="C7" t="s">
        <v>156</v>
      </c>
      <c r="D7" t="s">
        <v>204</v>
      </c>
      <c r="F7">
        <v>31</v>
      </c>
      <c r="G7" s="19">
        <v>5.5</v>
      </c>
    </row>
    <row r="8" spans="1:28" x14ac:dyDescent="0.25">
      <c r="A8" s="33" t="s">
        <v>171</v>
      </c>
      <c r="B8" s="33" t="s">
        <v>159</v>
      </c>
      <c r="C8" s="33" t="s">
        <v>151</v>
      </c>
      <c r="D8" s="33"/>
      <c r="E8" s="33"/>
      <c r="F8" s="33"/>
      <c r="G8" s="33"/>
    </row>
    <row r="9" spans="1:28" x14ac:dyDescent="0.25">
      <c r="A9" t="s">
        <v>176</v>
      </c>
      <c r="B9" t="s">
        <v>159</v>
      </c>
      <c r="C9" t="s">
        <v>157</v>
      </c>
    </row>
    <row r="10" spans="1:28" x14ac:dyDescent="0.25">
      <c r="A10" t="s">
        <v>176</v>
      </c>
      <c r="B10" t="s">
        <v>159</v>
      </c>
      <c r="C10" t="s">
        <v>150</v>
      </c>
      <c r="D10" t="s">
        <v>201</v>
      </c>
      <c r="F10" s="7">
        <f>Base!B14</f>
        <v>31</v>
      </c>
      <c r="G10" s="19">
        <f>Base!C75</f>
        <v>5.7520661157024806</v>
      </c>
    </row>
    <row r="11" spans="1:28" x14ac:dyDescent="0.25">
      <c r="A11" t="s">
        <v>176</v>
      </c>
      <c r="B11" t="s">
        <v>159</v>
      </c>
      <c r="C11" t="s">
        <v>156</v>
      </c>
      <c r="D11" t="s">
        <v>201</v>
      </c>
      <c r="E11" t="b">
        <f>FALSE()</f>
        <v>0</v>
      </c>
    </row>
    <row r="12" spans="1:28" x14ac:dyDescent="0.25">
      <c r="A12" t="s">
        <v>176</v>
      </c>
      <c r="B12" t="s">
        <v>159</v>
      </c>
      <c r="C12" t="s">
        <v>160</v>
      </c>
      <c r="D12" t="s">
        <v>201</v>
      </c>
      <c r="E12" t="b">
        <f>FALSE()</f>
        <v>0</v>
      </c>
    </row>
    <row r="13" spans="1:28" x14ac:dyDescent="0.25">
      <c r="A13" s="31" t="s">
        <v>176</v>
      </c>
      <c r="B13" s="31" t="s">
        <v>159</v>
      </c>
      <c r="C13" s="31" t="s">
        <v>156</v>
      </c>
      <c r="D13" s="31" t="s">
        <v>204</v>
      </c>
      <c r="E13" s="31"/>
      <c r="F13" s="31">
        <v>31</v>
      </c>
      <c r="G13" s="35">
        <v>5.0999999999999996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zoomScale="150" zoomScaleNormal="150" workbookViewId="0">
      <selection activeCell="D9" sqref="D9"/>
    </sheetView>
  </sheetViews>
  <sheetFormatPr defaultColWidth="8.5703125" defaultRowHeight="15" x14ac:dyDescent="0.25"/>
  <cols>
    <col min="1" max="1" width="18.7109375" customWidth="1"/>
    <col min="2" max="2" width="17.5703125" customWidth="1"/>
    <col min="3" max="3" width="21.5703125" customWidth="1"/>
    <col min="4" max="4" width="22" customWidth="1"/>
  </cols>
  <sheetData>
    <row r="1" spans="1:4" x14ac:dyDescent="0.25">
      <c r="A1" t="s">
        <v>144</v>
      </c>
      <c r="B1" t="s">
        <v>146</v>
      </c>
      <c r="C1" t="s">
        <v>146</v>
      </c>
      <c r="D1" t="s">
        <v>146</v>
      </c>
    </row>
    <row r="2" spans="1:4" x14ac:dyDescent="0.25">
      <c r="A2" t="s">
        <v>189</v>
      </c>
      <c r="B2" t="s">
        <v>154</v>
      </c>
      <c r="C2" t="s">
        <v>154</v>
      </c>
      <c r="D2" t="s">
        <v>159</v>
      </c>
    </row>
    <row r="3" spans="1:4" x14ac:dyDescent="0.25">
      <c r="A3" t="s">
        <v>168</v>
      </c>
      <c r="B3" t="s">
        <v>205</v>
      </c>
      <c r="C3" t="s">
        <v>206</v>
      </c>
      <c r="D3" t="s">
        <v>205</v>
      </c>
    </row>
    <row r="4" spans="1:4" x14ac:dyDescent="0.25">
      <c r="A4" t="s">
        <v>163</v>
      </c>
      <c r="B4" t="s">
        <v>166</v>
      </c>
      <c r="C4" t="s">
        <v>202</v>
      </c>
      <c r="D4" t="s">
        <v>202</v>
      </c>
    </row>
    <row r="5" spans="1:4" x14ac:dyDescent="0.25">
      <c r="A5" t="s">
        <v>182</v>
      </c>
      <c r="B5">
        <f>UtilityUnit_generator!T2</f>
        <v>2</v>
      </c>
      <c r="C5">
        <v>1</v>
      </c>
      <c r="D5">
        <v>0</v>
      </c>
    </row>
    <row r="6" spans="1:4" x14ac:dyDescent="0.25">
      <c r="A6" t="s">
        <v>207</v>
      </c>
      <c r="C6">
        <v>1</v>
      </c>
      <c r="D6">
        <v>0</v>
      </c>
    </row>
    <row r="7" spans="1:4" x14ac:dyDescent="0.25">
      <c r="A7" t="s">
        <v>183</v>
      </c>
      <c r="C7">
        <v>1</v>
      </c>
      <c r="D7">
        <v>0</v>
      </c>
    </row>
    <row r="8" spans="1:4" x14ac:dyDescent="0.25">
      <c r="A8" t="s">
        <v>208</v>
      </c>
      <c r="C8">
        <v>1</v>
      </c>
      <c r="D8">
        <v>0</v>
      </c>
    </row>
    <row r="9" spans="1:4" x14ac:dyDescent="0.25">
      <c r="A9" t="s">
        <v>184</v>
      </c>
      <c r="C9">
        <v>0</v>
      </c>
    </row>
    <row r="10" spans="1:4" x14ac:dyDescent="0.25">
      <c r="A10" t="s">
        <v>209</v>
      </c>
      <c r="C10">
        <v>0</v>
      </c>
    </row>
    <row r="11" spans="1:4" x14ac:dyDescent="0.25">
      <c r="A11" t="s">
        <v>185</v>
      </c>
      <c r="C11">
        <v>0</v>
      </c>
    </row>
    <row r="12" spans="1:4" x14ac:dyDescent="0.25">
      <c r="A12" t="s">
        <v>210</v>
      </c>
      <c r="C12">
        <v>0</v>
      </c>
    </row>
    <row r="13" spans="1:4" x14ac:dyDescent="0.25">
      <c r="A13" t="s">
        <v>186</v>
      </c>
      <c r="C1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</vt:lpstr>
      <vt:lpstr>Home</vt:lpstr>
      <vt:lpstr>Reservoir</vt:lpstr>
      <vt:lpstr>ProductionUnit_process</vt:lpstr>
      <vt:lpstr>ProductionUnit_well_stream_ts</vt:lpstr>
      <vt:lpstr>LivingQuarter</vt:lpstr>
      <vt:lpstr>LivingQuarter_ts</vt:lpstr>
      <vt:lpstr>UtilityUnit_generator</vt:lpstr>
      <vt:lpstr>UtilityUnit_generator_ts</vt:lpstr>
      <vt:lpstr>UtilityUnit_flaring</vt:lpstr>
      <vt:lpstr>UtilityUnit_reserves</vt:lpstr>
      <vt:lpstr>UtilityUnit_emission</vt:lpstr>
      <vt:lpstr>UtilityUnit_emission_ts</vt:lpstr>
      <vt:lpstr>ExportToShore</vt:lpstr>
      <vt:lpstr>Onshore_demand_ts</vt:lpstr>
      <vt:lpstr>Onshore_supply</vt:lpstr>
      <vt:lpstr>Onshore_supply_ts</vt:lpstr>
      <vt:lpstr>FeasibilityTest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Peecock, Anna</dc:creator>
  <dc:description/>
  <cp:lastModifiedBy>Huang  Jiangyi</cp:lastModifiedBy>
  <cp:revision>4</cp:revision>
  <dcterms:created xsi:type="dcterms:W3CDTF">2023-02-06T11:09:54Z</dcterms:created>
  <dcterms:modified xsi:type="dcterms:W3CDTF">2023-06-16T11:01:23Z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Aberdeen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