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andard_Operating_Procedures\05_HSRR\Reference Files\"/>
    </mc:Choice>
  </mc:AlternateContent>
  <bookViews>
    <workbookView xWindow="0" yWindow="0" windowWidth="28800" windowHeight="12300"/>
  </bookViews>
  <sheets>
    <sheet name="Analysis" sheetId="9" r:id="rId1"/>
  </sheets>
  <definedNames>
    <definedName name="_xlnm.Print_Area" localSheetId="0">Analysis!$A$1:$R$54</definedName>
  </definedNames>
  <calcPr calcId="162913"/>
</workbook>
</file>

<file path=xl/calcChain.xml><?xml version="1.0" encoding="utf-8"?>
<calcChain xmlns="http://schemas.openxmlformats.org/spreadsheetml/2006/main">
  <c r="B22" i="9" l="1"/>
  <c r="B23" i="9" s="1"/>
  <c r="G20" i="9"/>
  <c r="F20" i="9"/>
  <c r="J20" i="9" s="1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J19" i="9" l="1"/>
  <c r="J18" i="9"/>
  <c r="I17" i="9"/>
  <c r="J14" i="9"/>
  <c r="I10" i="9"/>
  <c r="H11" i="9"/>
  <c r="I11" i="9"/>
  <c r="I16" i="9"/>
  <c r="H12" i="9"/>
  <c r="H16" i="9"/>
  <c r="H15" i="9"/>
  <c r="J9" i="9"/>
  <c r="H18" i="9"/>
  <c r="J16" i="9"/>
  <c r="J11" i="9"/>
  <c r="I18" i="9"/>
  <c r="K18" i="9" s="1"/>
  <c r="I13" i="9"/>
  <c r="H20" i="9"/>
  <c r="I20" i="9"/>
  <c r="K20" i="9" s="1"/>
  <c r="J15" i="9"/>
  <c r="H17" i="9"/>
  <c r="J17" i="9"/>
  <c r="K17" i="9" s="1"/>
  <c r="H19" i="9"/>
  <c r="J13" i="9"/>
  <c r="H9" i="9"/>
  <c r="I12" i="9"/>
  <c r="I9" i="9"/>
  <c r="J12" i="9"/>
  <c r="H14" i="9"/>
  <c r="I19" i="9"/>
  <c r="K19" i="9" s="1"/>
  <c r="I15" i="9"/>
  <c r="J10" i="9"/>
  <c r="K10" i="9" s="1"/>
  <c r="I14" i="9"/>
  <c r="K14" i="9" s="1"/>
  <c r="H13" i="9"/>
  <c r="H10" i="9"/>
  <c r="L9" i="9"/>
  <c r="M9" i="9" s="1"/>
  <c r="K16" i="9" l="1"/>
  <c r="K9" i="9"/>
  <c r="K11" i="9"/>
  <c r="K13" i="9"/>
  <c r="K15" i="9"/>
  <c r="K12" i="9"/>
  <c r="F22" i="9"/>
  <c r="G23" i="9"/>
  <c r="I23" i="9"/>
  <c r="I22" i="9"/>
  <c r="H22" i="9"/>
  <c r="H23" i="9"/>
  <c r="F23" i="9"/>
  <c r="G22" i="9"/>
  <c r="D51" i="9" l="1"/>
  <c r="F51" i="9" s="1"/>
  <c r="D53" i="9"/>
  <c r="F53" i="9" s="1"/>
  <c r="C46" i="9"/>
  <c r="C48" i="9" s="1"/>
  <c r="D46" i="9"/>
  <c r="D48" i="9" s="1"/>
  <c r="F48" i="9" s="1"/>
</calcChain>
</file>

<file path=xl/comments1.xml><?xml version="1.0" encoding="utf-8"?>
<comments xmlns="http://schemas.openxmlformats.org/spreadsheetml/2006/main">
  <authors>
    <author>Sam Greenaway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Sam Greenaway:</t>
        </r>
        <r>
          <rPr>
            <sz val="9"/>
            <color indexed="81"/>
            <rFont val="Tahoma"/>
            <family val="2"/>
          </rPr>
          <t xml:space="preserve">
enter lat, long, and heading for all contacts.  Heading should be heading of ship at time of contact, but for straight lines, line azimuth should be sufficient. </t>
        </r>
      </text>
    </comment>
  </commentList>
</comments>
</file>

<file path=xl/sharedStrings.xml><?xml version="1.0" encoding="utf-8"?>
<sst xmlns="http://schemas.openxmlformats.org/spreadsheetml/2006/main" count="53" uniqueCount="50">
  <si>
    <t>MBES Position of Contact</t>
  </si>
  <si>
    <t>Lat</t>
  </si>
  <si>
    <t>Long</t>
  </si>
  <si>
    <t>SSS Contacts</t>
  </si>
  <si>
    <t>Long Diff (m)</t>
  </si>
  <si>
    <t>Lat Diff (m)</t>
  </si>
  <si>
    <t xml:space="preserve">Criteria: 95% Confidence that any future measurement will not give a positional error </t>
  </si>
  <si>
    <t xml:space="preserve">greater than 10 meters. </t>
  </si>
  <si>
    <t>Assuming x and y errors are goverened by the same normal distribution, the</t>
  </si>
  <si>
    <t xml:space="preserve">square of the distance error is governed by Chi-squared statistics. </t>
  </si>
  <si>
    <t>So:</t>
  </si>
  <si>
    <t>value for one degree of freedom and alpha = 0.05, solve for the maximum value</t>
  </si>
  <si>
    <t>for the true value of the standard deviation of the x and y error.</t>
  </si>
  <si>
    <t>Distance Error Limit (meters)</t>
  </si>
  <si>
    <t>The sample estimate of the standard deviation will also be Chi-squared distributed</t>
  </si>
  <si>
    <t>DOF: 2N-1</t>
  </si>
  <si>
    <t>N</t>
  </si>
  <si>
    <t>Chi Squared Statisitcs</t>
  </si>
  <si>
    <t>from:</t>
  </si>
  <si>
    <t>http://people.richland.edu/james/lecture/m170/tbl-chi.html</t>
  </si>
  <si>
    <t>Value of Chi-Sq such that Probability of Chi-sq is greater than Tabulated Value is a</t>
  </si>
  <si>
    <t>df</t>
  </si>
  <si>
    <t>---</t>
  </si>
  <si>
    <t>At a 95% confidence interval the standard deviation range is:</t>
  </si>
  <si>
    <t>best est.</t>
  </si>
  <si>
    <t>x,y StDev</t>
  </si>
  <si>
    <t>And the 95% confidence inteval of the positioning error is:</t>
  </si>
  <si>
    <t>Error</t>
  </si>
  <si>
    <t>Note: FPM method of 1.96*RMS standard deviation</t>
  </si>
  <si>
    <t>Error:</t>
  </si>
  <si>
    <t>95% Confidence</t>
  </si>
  <si>
    <t>Line Hdg</t>
  </si>
  <si>
    <t>Dist. (m)</t>
  </si>
  <si>
    <t>Average:</t>
  </si>
  <si>
    <t>StDev:</t>
  </si>
  <si>
    <t>Across Trk (m)</t>
  </si>
  <si>
    <t>Along Trk (m)</t>
  </si>
  <si>
    <t>Line Hdg (rad.)</t>
  </si>
  <si>
    <t xml:space="preserve">This table is refrenced for calulations, but does not change.  You should not include in print area. </t>
  </si>
  <si>
    <t xml:space="preserve">Figure 3:  Contact position errors in a ship aligned reference frame. </t>
  </si>
  <si>
    <t>Setting the distance error equal to 05 meters and using the Chi-squared</t>
  </si>
  <si>
    <t xml:space="preserve">Figure 2: Contact position errors in a geographic refernece frame.  </t>
  </si>
  <si>
    <t>Insert image overview of Cert area</t>
  </si>
  <si>
    <t>Do not change this table or delete rows!</t>
  </si>
  <si>
    <t xml:space="preserve">Contact Diff to expected </t>
  </si>
  <si>
    <t>Diff select for dynamic range</t>
  </si>
  <si>
    <t>Alternate FPM method of mean radial distance plus 1.96*radial standard deviation</t>
  </si>
  <si>
    <t>NOAA Vessel Sidescan Calibration - XXXmRS</t>
  </si>
  <si>
    <t xml:space="preserve">Fill in the orange cells only, Do not change anything else. </t>
  </si>
  <si>
    <t xml:space="preserve">Side Scan run on DnXXX.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</si>
</sst>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0" applyNumberFormat="0" applyAlignment="0" applyProtection="0"/>
    <xf numFmtId="0" fontId="11" fillId="6" borderId="11" applyNumberFormat="0" applyAlignment="0" applyProtection="0"/>
    <xf numFmtId="0" fontId="12" fillId="6" borderId="10" applyNumberFormat="0" applyAlignment="0" applyProtection="0"/>
    <xf numFmtId="0" fontId="13" fillId="0" borderId="12" applyNumberFormat="0" applyFill="0" applyAlignment="0" applyProtection="0"/>
    <xf numFmtId="0" fontId="14" fillId="7" borderId="13" applyNumberFormat="0" applyAlignment="0" applyProtection="0"/>
    <xf numFmtId="0" fontId="15" fillId="0" borderId="0" applyNumberFormat="0" applyFill="0" applyBorder="0" applyAlignment="0" applyProtection="0"/>
    <xf numFmtId="0" fontId="2" fillId="8" borderId="14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0" fillId="0" borderId="0" xfId="0" applyProtection="1">
      <protection locked="0"/>
    </xf>
    <xf numFmtId="0" fontId="20" fillId="0" borderId="0" xfId="0" applyFont="1" applyProtection="1">
      <protection locked="0"/>
    </xf>
    <xf numFmtId="0" fontId="0" fillId="0" borderId="0" xfId="0" applyProtection="1"/>
    <xf numFmtId="0" fontId="20" fillId="0" borderId="0" xfId="0" applyFont="1" applyProtection="1"/>
    <xf numFmtId="0" fontId="18" fillId="0" borderId="0" xfId="0" applyFont="1" applyProtection="1">
      <protection locked="0"/>
    </xf>
    <xf numFmtId="0" fontId="1" fillId="0" borderId="0" xfId="0" applyFont="1" applyProtection="1">
      <protection locked="0"/>
    </xf>
    <xf numFmtId="49" fontId="20" fillId="34" borderId="21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0" fillId="34" borderId="21" xfId="0" applyFont="1" applyFill="1" applyBorder="1" applyProtection="1">
      <protection locked="0"/>
    </xf>
    <xf numFmtId="164" fontId="20" fillId="0" borderId="0" xfId="0" applyNumberFormat="1" applyFont="1" applyProtection="1">
      <protection locked="0"/>
    </xf>
    <xf numFmtId="0" fontId="0" fillId="33" borderId="0" xfId="0" applyFill="1" applyProtection="1">
      <protection locked="0"/>
    </xf>
    <xf numFmtId="0" fontId="19" fillId="33" borderId="0" xfId="0" applyFont="1" applyFill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20" fillId="35" borderId="0" xfId="0" applyFont="1" applyFill="1" applyProtection="1">
      <protection locked="0"/>
    </xf>
    <xf numFmtId="0" fontId="0" fillId="35" borderId="0" xfId="0" applyFill="1" applyProtection="1">
      <protection locked="0"/>
    </xf>
    <xf numFmtId="0" fontId="20" fillId="35" borderId="0" xfId="0" applyFont="1" applyFill="1" applyAlignment="1" applyProtection="1">
      <alignment horizontal="center"/>
      <protection locked="0"/>
    </xf>
    <xf numFmtId="0" fontId="20" fillId="35" borderId="0" xfId="0" applyFont="1" applyFill="1" applyAlignment="1" applyProtection="1">
      <alignment horizontal="left"/>
      <protection locked="0"/>
    </xf>
    <xf numFmtId="164" fontId="20" fillId="35" borderId="1" xfId="0" applyNumberFormat="1" applyFont="1" applyFill="1" applyBorder="1" applyProtection="1">
      <protection locked="0"/>
    </xf>
    <xf numFmtId="164" fontId="20" fillId="35" borderId="2" xfId="0" applyNumberFormat="1" applyFont="1" applyFill="1" applyBorder="1" applyProtection="1">
      <protection locked="0"/>
    </xf>
    <xf numFmtId="164" fontId="20" fillId="35" borderId="3" xfId="0" applyNumberFormat="1" applyFont="1" applyFill="1" applyBorder="1" applyProtection="1">
      <protection locked="0"/>
    </xf>
    <xf numFmtId="164" fontId="20" fillId="35" borderId="0" xfId="0" applyNumberFormat="1" applyFont="1" applyFill="1" applyBorder="1" applyProtection="1">
      <protection locked="0"/>
    </xf>
    <xf numFmtId="0" fontId="19" fillId="35" borderId="0" xfId="0" applyFont="1" applyFill="1" applyAlignment="1" applyProtection="1">
      <alignment horizontal="center"/>
      <protection locked="0"/>
    </xf>
    <xf numFmtId="0" fontId="20" fillId="35" borderId="0" xfId="0" applyFont="1" applyFill="1" applyBorder="1" applyProtection="1">
      <protection locked="0"/>
    </xf>
    <xf numFmtId="0" fontId="20" fillId="35" borderId="1" xfId="0" applyFont="1" applyFill="1" applyBorder="1" applyProtection="1">
      <protection locked="0"/>
    </xf>
    <xf numFmtId="164" fontId="19" fillId="35" borderId="3" xfId="0" applyNumberFormat="1" applyFont="1" applyFill="1" applyBorder="1" applyProtection="1">
      <protection locked="0"/>
    </xf>
    <xf numFmtId="0" fontId="20" fillId="35" borderId="0" xfId="0" applyFont="1" applyFill="1" applyAlignment="1" applyProtection="1">
      <alignment horizontal="right"/>
      <protection locked="0"/>
    </xf>
    <xf numFmtId="164" fontId="0" fillId="35" borderId="0" xfId="0" applyNumberFormat="1" applyFill="1" applyProtection="1">
      <protection locked="0"/>
    </xf>
    <xf numFmtId="164" fontId="20" fillId="35" borderId="0" xfId="0" applyNumberFormat="1" applyFon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34" borderId="22" xfId="0" applyFill="1" applyBorder="1" applyProtection="1">
      <protection locked="0"/>
    </xf>
    <xf numFmtId="0" fontId="0" fillId="34" borderId="23" xfId="0" applyFill="1" applyBorder="1" applyProtection="1">
      <protection locked="0"/>
    </xf>
    <xf numFmtId="49" fontId="20" fillId="34" borderId="23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21" xfId="0" applyBorder="1" applyAlignment="1" applyProtection="1">
      <alignment horizontal="right" vertical="top" wrapText="1"/>
      <protection locked="0"/>
    </xf>
    <xf numFmtId="0" fontId="23" fillId="0" borderId="0" xfId="0" applyFont="1" applyFill="1" applyBorder="1" applyProtection="1">
      <protection locked="0"/>
    </xf>
    <xf numFmtId="0" fontId="0" fillId="0" borderId="21" xfId="0" applyBorder="1" applyAlignment="1" applyProtection="1">
      <alignment horizontal="center" vertical="top" wrapText="1"/>
      <protection locked="0"/>
    </xf>
    <xf numFmtId="0" fontId="0" fillId="0" borderId="21" xfId="0" applyBorder="1" applyAlignment="1" applyProtection="1">
      <alignment vertical="top" wrapText="1"/>
      <protection locked="0"/>
    </xf>
    <xf numFmtId="0" fontId="0" fillId="35" borderId="0" xfId="0" applyFill="1"/>
    <xf numFmtId="0" fontId="20" fillId="35" borderId="0" xfId="0" applyFont="1" applyFill="1" applyBorder="1"/>
    <xf numFmtId="164" fontId="0" fillId="35" borderId="0" xfId="0" applyNumberFormat="1" applyFill="1"/>
    <xf numFmtId="0" fontId="19" fillId="33" borderId="0" xfId="0" applyFont="1" applyFill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left" vertical="top" wrapText="1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20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Geographic Frame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708616294023413E-2"/>
          <c:y val="0.1281145817037771"/>
          <c:w val="0.87584534741180275"/>
          <c:h val="0.820959482713667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Analysis!$G$9:$G$20</c:f>
              <c:numCache>
                <c:formatCode>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Analysis!$F$9:$F$20</c:f>
              <c:numCache>
                <c:formatCode>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373-9E83-6F276697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0176"/>
        <c:axId val="50545024"/>
      </c:scatterChart>
      <c:valAx>
        <c:axId val="5053017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easting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024"/>
        <c:crosses val="autoZero"/>
        <c:crossBetween val="midCat"/>
        <c:majorUnit val="5"/>
      </c:valAx>
      <c:valAx>
        <c:axId val="5054502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northing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Ship Frame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708616294023413E-2"/>
          <c:y val="0.1281145817037771"/>
          <c:w val="0.87584534741180275"/>
          <c:h val="0.8209594827136673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Analysis!$I$9:$I$20</c:f>
              <c:numCache>
                <c:formatCode>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Analysis!$J$9:$J$20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E-4B01-AC8C-BC766666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3696"/>
        <c:axId val="50576000"/>
      </c:scatterChart>
      <c:valAx>
        <c:axId val="5057369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across track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6000"/>
        <c:crosses val="autoZero"/>
        <c:crossBetween val="midCat"/>
        <c:majorUnit val="5"/>
      </c:valAx>
      <c:valAx>
        <c:axId val="50576000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along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track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742950</xdr:colOff>
          <xdr:row>29</xdr:row>
          <xdr:rowOff>152400</xdr:rowOff>
        </xdr:from>
        <xdr:to>
          <xdr:col>2</xdr:col>
          <xdr:colOff>571500</xdr:colOff>
          <xdr:row>33</xdr:row>
          <xdr:rowOff>19050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9525</xdr:colOff>
      <xdr:row>25</xdr:row>
      <xdr:rowOff>0</xdr:rowOff>
    </xdr:from>
    <xdr:to>
      <xdr:col>12</xdr:col>
      <xdr:colOff>9525</xdr:colOff>
      <xdr:row>40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16</xdr:col>
      <xdr:colOff>876300</xdr:colOff>
      <xdr:row>40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abSelected="1" zoomScaleNormal="100" workbookViewId="0">
      <selection activeCell="F5" sqref="F5"/>
    </sheetView>
  </sheetViews>
  <sheetFormatPr defaultRowHeight="15" x14ac:dyDescent="0.25"/>
  <cols>
    <col min="1" max="1" width="11.85546875" style="1" customWidth="1"/>
    <col min="2" max="3" width="14.7109375" style="1" customWidth="1"/>
    <col min="4" max="4" width="14.28515625" style="1" customWidth="1"/>
    <col min="5" max="5" width="0.85546875" style="1" hidden="1" customWidth="1"/>
    <col min="6" max="6" width="11.5703125" style="1" customWidth="1"/>
    <col min="7" max="7" width="12.85546875" style="1" customWidth="1"/>
    <col min="8" max="8" width="11" style="1" customWidth="1"/>
    <col min="9" max="9" width="14.42578125" style="1" customWidth="1"/>
    <col min="10" max="10" width="15.7109375" style="1" customWidth="1"/>
    <col min="11" max="11" width="12.140625" style="1" customWidth="1"/>
    <col min="12" max="12" width="13.42578125" style="1" customWidth="1"/>
    <col min="13" max="13" width="15" style="1" customWidth="1"/>
    <col min="14" max="14" width="16.85546875" style="1" bestFit="1" customWidth="1"/>
    <col min="15" max="15" width="13.5703125" style="1" customWidth="1"/>
    <col min="16" max="16" width="12.85546875" style="1" customWidth="1"/>
    <col min="17" max="17" width="22.28515625" style="1" customWidth="1"/>
    <col min="18" max="18" width="37.28515625" style="1" customWidth="1"/>
    <col min="19" max="16384" width="9.140625" style="1"/>
  </cols>
  <sheetData>
    <row r="1" spans="1:30" ht="16.5" x14ac:dyDescent="0.25">
      <c r="A1" s="5" t="s">
        <v>47</v>
      </c>
      <c r="N1" s="45" t="s">
        <v>42</v>
      </c>
      <c r="O1" s="45"/>
      <c r="P1" s="45"/>
      <c r="Q1" s="45"/>
      <c r="R1" s="45"/>
      <c r="T1" s="13" t="s">
        <v>43</v>
      </c>
      <c r="U1" s="13"/>
      <c r="V1" s="13"/>
      <c r="W1" s="13"/>
    </row>
    <row r="2" spans="1:30" ht="16.5" x14ac:dyDescent="0.25">
      <c r="A2" s="5" t="s">
        <v>49</v>
      </c>
      <c r="N2" s="45"/>
      <c r="O2" s="45"/>
      <c r="P2" s="45"/>
      <c r="Q2" s="45"/>
      <c r="R2" s="45"/>
      <c r="T2" s="3" t="s">
        <v>38</v>
      </c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x14ac:dyDescent="0.25">
      <c r="A3" s="5"/>
      <c r="G3" s="13" t="s">
        <v>48</v>
      </c>
      <c r="H3" s="13"/>
      <c r="I3" s="13"/>
      <c r="J3" s="13"/>
      <c r="N3" s="45"/>
      <c r="O3" s="45"/>
      <c r="P3" s="45"/>
      <c r="Q3" s="45"/>
      <c r="R3" s="45"/>
      <c r="T3" s="4" t="s">
        <v>17</v>
      </c>
      <c r="U3" s="3"/>
      <c r="V3" s="3"/>
      <c r="W3" s="4" t="s">
        <v>18</v>
      </c>
      <c r="X3" s="4" t="s">
        <v>19</v>
      </c>
      <c r="Y3" s="3"/>
      <c r="Z3" s="3"/>
      <c r="AA3" s="3"/>
      <c r="AB3" s="3"/>
      <c r="AC3" s="3"/>
      <c r="AD3" s="3"/>
    </row>
    <row r="4" spans="1:30" x14ac:dyDescent="0.25">
      <c r="N4" s="45"/>
      <c r="O4" s="45"/>
      <c r="P4" s="45"/>
      <c r="Q4" s="45"/>
      <c r="R4" s="45"/>
      <c r="T4" s="4" t="s">
        <v>20</v>
      </c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6" t="s">
        <v>0</v>
      </c>
      <c r="N5" s="45"/>
      <c r="O5" s="45"/>
      <c r="P5" s="45"/>
      <c r="Q5" s="45"/>
      <c r="R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B6" s="1" t="s">
        <v>1</v>
      </c>
      <c r="C6" s="1" t="s">
        <v>2</v>
      </c>
      <c r="N6" s="45"/>
      <c r="O6" s="45"/>
      <c r="P6" s="45"/>
      <c r="Q6" s="45"/>
      <c r="R6" s="45"/>
      <c r="T6" s="4" t="s">
        <v>21</v>
      </c>
      <c r="U6" s="4">
        <v>0.995</v>
      </c>
      <c r="V6" s="4">
        <v>0.99</v>
      </c>
      <c r="W6" s="4">
        <v>0.97499999999999998</v>
      </c>
      <c r="X6" s="4">
        <v>0.95</v>
      </c>
      <c r="Y6" s="4">
        <v>0.9</v>
      </c>
      <c r="Z6" s="4">
        <v>0.1</v>
      </c>
      <c r="AA6" s="4">
        <v>0.05</v>
      </c>
      <c r="AB6" s="4">
        <v>2.5000000000000001E-2</v>
      </c>
      <c r="AC6" s="4">
        <v>0.01</v>
      </c>
      <c r="AD6" s="4">
        <v>5.0000000000000001E-3</v>
      </c>
    </row>
    <row r="7" spans="1:30" x14ac:dyDescent="0.25">
      <c r="B7" s="32"/>
      <c r="C7" s="32"/>
      <c r="N7" s="45"/>
      <c r="O7" s="45"/>
      <c r="P7" s="45"/>
      <c r="Q7" s="45"/>
      <c r="R7" s="45"/>
      <c r="T7" s="4">
        <v>1</v>
      </c>
      <c r="U7" s="4" t="s">
        <v>22</v>
      </c>
      <c r="V7" s="4" t="s">
        <v>22</v>
      </c>
      <c r="W7" s="4">
        <v>1E-3</v>
      </c>
      <c r="X7" s="4">
        <v>4.0000000000000001E-3</v>
      </c>
      <c r="Y7" s="4">
        <v>1.6E-2</v>
      </c>
      <c r="Z7" s="4">
        <v>2.706</v>
      </c>
      <c r="AA7" s="4">
        <v>3.8410000000000002</v>
      </c>
      <c r="AB7" s="4">
        <v>5.024</v>
      </c>
      <c r="AC7" s="4">
        <v>6.6349999999999998</v>
      </c>
      <c r="AD7" s="4">
        <v>7.8789999999999996</v>
      </c>
    </row>
    <row r="8" spans="1:30" ht="28.5" customHeight="1" x14ac:dyDescent="0.25">
      <c r="A8" s="35" t="s">
        <v>3</v>
      </c>
      <c r="B8" s="36"/>
      <c r="C8" s="36"/>
      <c r="D8" s="37" t="s">
        <v>31</v>
      </c>
      <c r="E8" s="37" t="s">
        <v>37</v>
      </c>
      <c r="F8" s="37" t="s">
        <v>5</v>
      </c>
      <c r="G8" s="37" t="s">
        <v>4</v>
      </c>
      <c r="H8" s="37" t="s">
        <v>32</v>
      </c>
      <c r="I8" s="37" t="s">
        <v>35</v>
      </c>
      <c r="J8" s="37" t="s">
        <v>36</v>
      </c>
      <c r="K8" s="37" t="s">
        <v>32</v>
      </c>
      <c r="L8" s="39" t="s">
        <v>44</v>
      </c>
      <c r="M8" s="40" t="s">
        <v>45</v>
      </c>
      <c r="N8" s="45"/>
      <c r="O8" s="45"/>
      <c r="P8" s="45"/>
      <c r="Q8" s="45"/>
      <c r="R8" s="45"/>
      <c r="T8" s="4">
        <v>2</v>
      </c>
      <c r="U8" s="4">
        <v>0.01</v>
      </c>
      <c r="V8" s="4">
        <v>0.02</v>
      </c>
      <c r="W8" s="4">
        <v>5.0999999999999997E-2</v>
      </c>
      <c r="X8" s="4">
        <v>0.10299999999999999</v>
      </c>
      <c r="Y8" s="4">
        <v>0.21099999999999999</v>
      </c>
      <c r="Z8" s="4">
        <v>4.6050000000000004</v>
      </c>
      <c r="AA8" s="4">
        <v>5.9909999999999997</v>
      </c>
      <c r="AB8" s="4">
        <v>7.3780000000000001</v>
      </c>
      <c r="AC8" s="4">
        <v>9.2100000000000009</v>
      </c>
      <c r="AD8" s="4">
        <v>10.597</v>
      </c>
    </row>
    <row r="9" spans="1:30" x14ac:dyDescent="0.25">
      <c r="A9" s="1">
        <v>1</v>
      </c>
      <c r="B9" s="7"/>
      <c r="C9" s="7"/>
      <c r="D9" s="34"/>
      <c r="E9" s="8">
        <f t="shared" ref="E9:E19" si="0">D9*PI()/180</f>
        <v>0</v>
      </c>
      <c r="F9" s="8" t="e">
        <f t="shared" ref="F9:F19" si="1">IF(B9="",#N/A,(B9-$B$7)*60*1852)</f>
        <v>#N/A</v>
      </c>
      <c r="G9" s="8" t="e">
        <f t="shared" ref="G9:G19" si="2">IF(C9="",#N/A,(C9-$C$7)*COS($B$7*PI()/180)*(60*1852))</f>
        <v>#N/A</v>
      </c>
      <c r="H9" s="8" t="e">
        <f>IF(F9="", #N/A,SQRT(F9^2+G9^2))</f>
        <v>#N/A</v>
      </c>
      <c r="I9" s="8" t="e">
        <f>IF(F9="", #N/A,COS(E9)*G9-SIN(E9)*F9)</f>
        <v>#N/A</v>
      </c>
      <c r="J9" s="9" t="e">
        <f>IF(F9="", #N/A,SIN(E9)*G9+COS(E9)*F9)</f>
        <v>#N/A</v>
      </c>
      <c r="K9" s="8" t="e">
        <f>IF(I9="", #N/A,SQRT(I9^2+J9^2))</f>
        <v>#N/A</v>
      </c>
      <c r="L9" s="31">
        <f>IF(B22&lt;12, 12-B22, 0)</f>
        <v>12</v>
      </c>
      <c r="M9" s="31">
        <f>IF(L9&lt;12,20 -L9,0)</f>
        <v>0</v>
      </c>
      <c r="N9" s="45"/>
      <c r="O9" s="45"/>
      <c r="P9" s="45"/>
      <c r="Q9" s="45"/>
      <c r="R9" s="45"/>
      <c r="T9" s="4">
        <v>3</v>
      </c>
      <c r="U9" s="4">
        <v>7.1999999999999995E-2</v>
      </c>
      <c r="V9" s="4">
        <v>0.115</v>
      </c>
      <c r="W9" s="4">
        <v>0.216</v>
      </c>
      <c r="X9" s="4">
        <v>0.35199999999999998</v>
      </c>
      <c r="Y9" s="4">
        <v>0.58399999999999996</v>
      </c>
      <c r="Z9" s="4">
        <v>6.2510000000000003</v>
      </c>
      <c r="AA9" s="4">
        <v>7.8150000000000004</v>
      </c>
      <c r="AB9" s="4">
        <v>9.3480000000000008</v>
      </c>
      <c r="AC9" s="4">
        <v>11.345000000000001</v>
      </c>
      <c r="AD9" s="4">
        <v>12.837999999999999</v>
      </c>
    </row>
    <row r="10" spans="1:30" x14ac:dyDescent="0.25">
      <c r="A10" s="1">
        <v>2</v>
      </c>
      <c r="B10" s="7"/>
      <c r="C10" s="7"/>
      <c r="D10" s="7"/>
      <c r="E10" s="8">
        <f t="shared" si="0"/>
        <v>0</v>
      </c>
      <c r="F10" s="8" t="e">
        <f t="shared" si="1"/>
        <v>#N/A</v>
      </c>
      <c r="G10" s="8" t="e">
        <f t="shared" si="2"/>
        <v>#N/A</v>
      </c>
      <c r="H10" s="8" t="e">
        <f t="shared" ref="H10:H20" si="3">IF(F10="", #N/A,SQRT(F10^2+G10^2))</f>
        <v>#N/A</v>
      </c>
      <c r="I10" s="8" t="e">
        <f t="shared" ref="I10:I20" si="4">IF(F10="", #N/A,COS(E10)*G10-SIN(E10)*F10)</f>
        <v>#N/A</v>
      </c>
      <c r="J10" s="9" t="e">
        <f t="shared" ref="J10:J20" si="5">IF(F10="", #N/A,SIN(E10)*G10+COS(E10)*F10)</f>
        <v>#N/A</v>
      </c>
      <c r="K10" s="8" t="e">
        <f t="shared" ref="K10:K20" si="6">IF(I10="", #N/A,SQRT(I10^2+J10^2))</f>
        <v>#N/A</v>
      </c>
      <c r="N10" s="45"/>
      <c r="O10" s="45"/>
      <c r="P10" s="45"/>
      <c r="Q10" s="45"/>
      <c r="R10" s="45"/>
      <c r="T10" s="4">
        <v>4</v>
      </c>
      <c r="U10" s="4">
        <v>0.20699999999999999</v>
      </c>
      <c r="V10" s="4">
        <v>0.29699999999999999</v>
      </c>
      <c r="W10" s="4">
        <v>0.48399999999999999</v>
      </c>
      <c r="X10" s="4">
        <v>0.71099999999999997</v>
      </c>
      <c r="Y10" s="4">
        <v>1.0640000000000001</v>
      </c>
      <c r="Z10" s="4">
        <v>7.7789999999999999</v>
      </c>
      <c r="AA10" s="4">
        <v>9.4879999999999995</v>
      </c>
      <c r="AB10" s="4">
        <v>11.143000000000001</v>
      </c>
      <c r="AC10" s="4">
        <v>13.276999999999999</v>
      </c>
      <c r="AD10" s="4">
        <v>14.86</v>
      </c>
    </row>
    <row r="11" spans="1:30" x14ac:dyDescent="0.25">
      <c r="A11" s="1">
        <v>3</v>
      </c>
      <c r="B11" s="7"/>
      <c r="C11" s="7"/>
      <c r="D11" s="7"/>
      <c r="E11" s="8">
        <f t="shared" si="0"/>
        <v>0</v>
      </c>
      <c r="F11" s="8" t="e">
        <f t="shared" si="1"/>
        <v>#N/A</v>
      </c>
      <c r="G11" s="8" t="e">
        <f t="shared" si="2"/>
        <v>#N/A</v>
      </c>
      <c r="H11" s="8" t="e">
        <f t="shared" si="3"/>
        <v>#N/A</v>
      </c>
      <c r="I11" s="8" t="e">
        <f t="shared" si="4"/>
        <v>#N/A</v>
      </c>
      <c r="J11" s="9" t="e">
        <f t="shared" si="5"/>
        <v>#N/A</v>
      </c>
      <c r="K11" s="8" t="e">
        <f t="shared" si="6"/>
        <v>#N/A</v>
      </c>
      <c r="N11" s="45"/>
      <c r="O11" s="45"/>
      <c r="P11" s="45"/>
      <c r="Q11" s="45"/>
      <c r="R11" s="45"/>
      <c r="T11" s="4">
        <v>5</v>
      </c>
      <c r="U11" s="4">
        <v>0.41199999999999998</v>
      </c>
      <c r="V11" s="4">
        <v>0.55400000000000005</v>
      </c>
      <c r="W11" s="4">
        <v>0.83099999999999996</v>
      </c>
      <c r="X11" s="4">
        <v>1.145</v>
      </c>
      <c r="Y11" s="4">
        <v>1.61</v>
      </c>
      <c r="Z11" s="4">
        <v>9.2360000000000007</v>
      </c>
      <c r="AA11" s="4">
        <v>11.07</v>
      </c>
      <c r="AB11" s="4">
        <v>12.833</v>
      </c>
      <c r="AC11" s="4">
        <v>15.086</v>
      </c>
      <c r="AD11" s="4">
        <v>16.75</v>
      </c>
    </row>
    <row r="12" spans="1:30" x14ac:dyDescent="0.25">
      <c r="A12" s="1">
        <v>4</v>
      </c>
      <c r="B12" s="7"/>
      <c r="C12" s="7"/>
      <c r="D12" s="7"/>
      <c r="E12" s="8">
        <f t="shared" si="0"/>
        <v>0</v>
      </c>
      <c r="F12" s="8" t="e">
        <f t="shared" si="1"/>
        <v>#N/A</v>
      </c>
      <c r="G12" s="8" t="e">
        <f t="shared" si="2"/>
        <v>#N/A</v>
      </c>
      <c r="H12" s="8" t="e">
        <f t="shared" si="3"/>
        <v>#N/A</v>
      </c>
      <c r="I12" s="8" t="e">
        <f t="shared" si="4"/>
        <v>#N/A</v>
      </c>
      <c r="J12" s="9" t="e">
        <f t="shared" si="5"/>
        <v>#N/A</v>
      </c>
      <c r="K12" s="8" t="e">
        <f t="shared" si="6"/>
        <v>#N/A</v>
      </c>
      <c r="N12" s="45"/>
      <c r="O12" s="45"/>
      <c r="P12" s="45"/>
      <c r="Q12" s="45"/>
      <c r="R12" s="45"/>
      <c r="T12" s="4">
        <v>6</v>
      </c>
      <c r="U12" s="4">
        <v>0.67600000000000005</v>
      </c>
      <c r="V12" s="4">
        <v>0.872</v>
      </c>
      <c r="W12" s="4">
        <v>1.2370000000000001</v>
      </c>
      <c r="X12" s="4">
        <v>1.635</v>
      </c>
      <c r="Y12" s="4">
        <v>2.2040000000000002</v>
      </c>
      <c r="Z12" s="4">
        <v>10.645</v>
      </c>
      <c r="AA12" s="4">
        <v>12.592000000000001</v>
      </c>
      <c r="AB12" s="4">
        <v>14.449</v>
      </c>
      <c r="AC12" s="4">
        <v>16.812000000000001</v>
      </c>
      <c r="AD12" s="4">
        <v>18.547999999999998</v>
      </c>
    </row>
    <row r="13" spans="1:30" x14ac:dyDescent="0.25">
      <c r="A13" s="1">
        <v>5</v>
      </c>
      <c r="B13" s="7"/>
      <c r="C13" s="7"/>
      <c r="D13" s="7"/>
      <c r="E13" s="8">
        <f t="shared" si="0"/>
        <v>0</v>
      </c>
      <c r="F13" s="8" t="e">
        <f t="shared" si="1"/>
        <v>#N/A</v>
      </c>
      <c r="G13" s="8" t="e">
        <f t="shared" si="2"/>
        <v>#N/A</v>
      </c>
      <c r="H13" s="8" t="e">
        <f t="shared" si="3"/>
        <v>#N/A</v>
      </c>
      <c r="I13" s="8" t="e">
        <f t="shared" si="4"/>
        <v>#N/A</v>
      </c>
      <c r="J13" s="9" t="e">
        <f t="shared" si="5"/>
        <v>#N/A</v>
      </c>
      <c r="K13" s="8" t="e">
        <f t="shared" si="6"/>
        <v>#N/A</v>
      </c>
      <c r="N13" s="45"/>
      <c r="O13" s="45"/>
      <c r="P13" s="45"/>
      <c r="Q13" s="45"/>
      <c r="R13" s="45"/>
      <c r="S13" s="8"/>
      <c r="T13" s="4">
        <v>7</v>
      </c>
      <c r="U13" s="4">
        <v>0.98899999999999999</v>
      </c>
      <c r="V13" s="4">
        <v>1.2390000000000001</v>
      </c>
      <c r="W13" s="4">
        <v>1.69</v>
      </c>
      <c r="X13" s="4">
        <v>2.1669999999999998</v>
      </c>
      <c r="Y13" s="4">
        <v>2.8330000000000002</v>
      </c>
      <c r="Z13" s="4">
        <v>12.016999999999999</v>
      </c>
      <c r="AA13" s="4">
        <v>14.067</v>
      </c>
      <c r="AB13" s="4">
        <v>16.013000000000002</v>
      </c>
      <c r="AC13" s="4">
        <v>18.475000000000001</v>
      </c>
      <c r="AD13" s="4">
        <v>20.277999999999999</v>
      </c>
    </row>
    <row r="14" spans="1:30" x14ac:dyDescent="0.25">
      <c r="A14" s="1">
        <v>6</v>
      </c>
      <c r="B14" s="7"/>
      <c r="C14" s="7"/>
      <c r="D14" s="7"/>
      <c r="E14" s="8">
        <f t="shared" si="0"/>
        <v>0</v>
      </c>
      <c r="F14" s="8" t="e">
        <f t="shared" si="1"/>
        <v>#N/A</v>
      </c>
      <c r="G14" s="8" t="e">
        <f t="shared" si="2"/>
        <v>#N/A</v>
      </c>
      <c r="H14" s="8" t="e">
        <f t="shared" si="3"/>
        <v>#N/A</v>
      </c>
      <c r="I14" s="8" t="e">
        <f t="shared" si="4"/>
        <v>#N/A</v>
      </c>
      <c r="J14" s="9" t="e">
        <f t="shared" si="5"/>
        <v>#N/A</v>
      </c>
      <c r="K14" s="8" t="e">
        <f t="shared" si="6"/>
        <v>#N/A</v>
      </c>
      <c r="N14" s="45"/>
      <c r="O14" s="45"/>
      <c r="P14" s="45"/>
      <c r="Q14" s="45"/>
      <c r="R14" s="45"/>
      <c r="S14" s="8"/>
      <c r="T14" s="4">
        <v>8</v>
      </c>
      <c r="U14" s="4">
        <v>1.3440000000000001</v>
      </c>
      <c r="V14" s="4">
        <v>1.6459999999999999</v>
      </c>
      <c r="W14" s="4">
        <v>2.1800000000000002</v>
      </c>
      <c r="X14" s="4">
        <v>2.7330000000000001</v>
      </c>
      <c r="Y14" s="4">
        <v>3.49</v>
      </c>
      <c r="Z14" s="4">
        <v>13.362</v>
      </c>
      <c r="AA14" s="4">
        <v>15.507</v>
      </c>
      <c r="AB14" s="4">
        <v>17.535</v>
      </c>
      <c r="AC14" s="4">
        <v>20.09</v>
      </c>
      <c r="AD14" s="4">
        <v>21.954999999999998</v>
      </c>
    </row>
    <row r="15" spans="1:30" x14ac:dyDescent="0.25">
      <c r="A15" s="1">
        <v>7</v>
      </c>
      <c r="B15" s="7"/>
      <c r="C15" s="7"/>
      <c r="D15" s="7"/>
      <c r="E15" s="8">
        <f t="shared" si="0"/>
        <v>0</v>
      </c>
      <c r="F15" s="8" t="e">
        <f t="shared" si="1"/>
        <v>#N/A</v>
      </c>
      <c r="G15" s="8" t="e">
        <f t="shared" si="2"/>
        <v>#N/A</v>
      </c>
      <c r="H15" s="8" t="e">
        <f t="shared" si="3"/>
        <v>#N/A</v>
      </c>
      <c r="I15" s="8" t="e">
        <f t="shared" si="4"/>
        <v>#N/A</v>
      </c>
      <c r="J15" s="9" t="e">
        <f t="shared" si="5"/>
        <v>#N/A</v>
      </c>
      <c r="K15" s="8" t="e">
        <f t="shared" si="6"/>
        <v>#N/A</v>
      </c>
      <c r="N15" s="45"/>
      <c r="O15" s="45"/>
      <c r="P15" s="45"/>
      <c r="Q15" s="45"/>
      <c r="R15" s="45"/>
      <c r="S15" s="8"/>
      <c r="T15" s="4">
        <v>9</v>
      </c>
      <c r="U15" s="4">
        <v>1.7350000000000001</v>
      </c>
      <c r="V15" s="4">
        <v>2.0880000000000001</v>
      </c>
      <c r="W15" s="4">
        <v>2.7</v>
      </c>
      <c r="X15" s="4">
        <v>3.3250000000000002</v>
      </c>
      <c r="Y15" s="4">
        <v>4.1680000000000001</v>
      </c>
      <c r="Z15" s="4">
        <v>14.683999999999999</v>
      </c>
      <c r="AA15" s="4">
        <v>16.919</v>
      </c>
      <c r="AB15" s="4">
        <v>19.023</v>
      </c>
      <c r="AC15" s="4">
        <v>21.666</v>
      </c>
      <c r="AD15" s="4">
        <v>23.588999999999999</v>
      </c>
    </row>
    <row r="16" spans="1:30" x14ac:dyDescent="0.25">
      <c r="A16" s="1">
        <v>8</v>
      </c>
      <c r="B16" s="7"/>
      <c r="C16" s="7"/>
      <c r="D16" s="7"/>
      <c r="E16" s="8">
        <f t="shared" si="0"/>
        <v>0</v>
      </c>
      <c r="F16" s="8" t="e">
        <f t="shared" si="1"/>
        <v>#N/A</v>
      </c>
      <c r="G16" s="8" t="e">
        <f t="shared" si="2"/>
        <v>#N/A</v>
      </c>
      <c r="H16" s="8" t="e">
        <f t="shared" si="3"/>
        <v>#N/A</v>
      </c>
      <c r="I16" s="8" t="e">
        <f t="shared" si="4"/>
        <v>#N/A</v>
      </c>
      <c r="J16" s="9" t="e">
        <f t="shared" si="5"/>
        <v>#N/A</v>
      </c>
      <c r="K16" s="8" t="e">
        <f t="shared" si="6"/>
        <v>#N/A</v>
      </c>
      <c r="N16" s="45"/>
      <c r="O16" s="45"/>
      <c r="P16" s="45"/>
      <c r="Q16" s="45"/>
      <c r="R16" s="45"/>
      <c r="S16" s="8"/>
      <c r="T16" s="4">
        <v>10</v>
      </c>
      <c r="U16" s="4">
        <v>2.1560000000000001</v>
      </c>
      <c r="V16" s="4">
        <v>2.5579999999999998</v>
      </c>
      <c r="W16" s="4">
        <v>3.2469999999999999</v>
      </c>
      <c r="X16" s="4">
        <v>3.94</v>
      </c>
      <c r="Y16" s="4">
        <v>4.8650000000000002</v>
      </c>
      <c r="Z16" s="4">
        <v>15.987</v>
      </c>
      <c r="AA16" s="4">
        <v>18.306999999999999</v>
      </c>
      <c r="AB16" s="4">
        <v>20.483000000000001</v>
      </c>
      <c r="AC16" s="4">
        <v>23.209</v>
      </c>
      <c r="AD16" s="4">
        <v>25.187999999999999</v>
      </c>
    </row>
    <row r="17" spans="1:30" x14ac:dyDescent="0.25">
      <c r="A17" s="1">
        <v>9</v>
      </c>
      <c r="B17" s="7"/>
      <c r="C17" s="7"/>
      <c r="D17" s="7"/>
      <c r="E17" s="8">
        <f t="shared" si="0"/>
        <v>0</v>
      </c>
      <c r="F17" s="8" t="e">
        <f t="shared" si="1"/>
        <v>#N/A</v>
      </c>
      <c r="G17" s="8" t="e">
        <f t="shared" si="2"/>
        <v>#N/A</v>
      </c>
      <c r="H17" s="8" t="e">
        <f t="shared" si="3"/>
        <v>#N/A</v>
      </c>
      <c r="I17" s="8" t="e">
        <f t="shared" si="4"/>
        <v>#N/A</v>
      </c>
      <c r="J17" s="9" t="e">
        <f t="shared" si="5"/>
        <v>#N/A</v>
      </c>
      <c r="K17" s="8" t="e">
        <f t="shared" si="6"/>
        <v>#N/A</v>
      </c>
      <c r="N17" s="45"/>
      <c r="O17" s="45"/>
      <c r="P17" s="45"/>
      <c r="Q17" s="45"/>
      <c r="R17" s="45"/>
      <c r="S17" s="8"/>
      <c r="T17" s="4">
        <v>11</v>
      </c>
      <c r="U17" s="4">
        <v>2.6030000000000002</v>
      </c>
      <c r="V17" s="4">
        <v>3.0529999999999999</v>
      </c>
      <c r="W17" s="4">
        <v>3.8159999999999998</v>
      </c>
      <c r="X17" s="4">
        <v>4.5750000000000002</v>
      </c>
      <c r="Y17" s="4">
        <v>5.5780000000000003</v>
      </c>
      <c r="Z17" s="4">
        <v>17.274999999999999</v>
      </c>
      <c r="AA17" s="4">
        <v>19.675000000000001</v>
      </c>
      <c r="AB17" s="4">
        <v>21.92</v>
      </c>
      <c r="AC17" s="4">
        <v>24.725000000000001</v>
      </c>
      <c r="AD17" s="4">
        <v>26.757000000000001</v>
      </c>
    </row>
    <row r="18" spans="1:30" x14ac:dyDescent="0.25">
      <c r="A18" s="1">
        <v>10</v>
      </c>
      <c r="B18" s="7"/>
      <c r="C18" s="7"/>
      <c r="D18" s="7"/>
      <c r="E18" s="8">
        <f t="shared" si="0"/>
        <v>0</v>
      </c>
      <c r="F18" s="8" t="e">
        <f t="shared" si="1"/>
        <v>#N/A</v>
      </c>
      <c r="G18" s="8" t="e">
        <f t="shared" si="2"/>
        <v>#N/A</v>
      </c>
      <c r="H18" s="8" t="e">
        <f t="shared" si="3"/>
        <v>#N/A</v>
      </c>
      <c r="I18" s="8" t="e">
        <f t="shared" si="4"/>
        <v>#N/A</v>
      </c>
      <c r="J18" s="9" t="e">
        <f t="shared" si="5"/>
        <v>#N/A</v>
      </c>
      <c r="K18" s="8" t="e">
        <f t="shared" si="6"/>
        <v>#N/A</v>
      </c>
      <c r="N18" s="45"/>
      <c r="O18" s="45"/>
      <c r="P18" s="45"/>
      <c r="Q18" s="45"/>
      <c r="R18" s="45"/>
      <c r="S18" s="8"/>
      <c r="T18" s="4">
        <v>12</v>
      </c>
      <c r="U18" s="4">
        <v>3.0739999999999998</v>
      </c>
      <c r="V18" s="4">
        <v>3.5710000000000002</v>
      </c>
      <c r="W18" s="4">
        <v>4.4039999999999999</v>
      </c>
      <c r="X18" s="4">
        <v>5.226</v>
      </c>
      <c r="Y18" s="4">
        <v>6.3040000000000003</v>
      </c>
      <c r="Z18" s="4">
        <v>18.548999999999999</v>
      </c>
      <c r="AA18" s="4">
        <v>21.026</v>
      </c>
      <c r="AB18" s="4">
        <v>23.337</v>
      </c>
      <c r="AC18" s="4">
        <v>26.216999999999999</v>
      </c>
      <c r="AD18" s="4">
        <v>28.3</v>
      </c>
    </row>
    <row r="19" spans="1:30" x14ac:dyDescent="0.25">
      <c r="A19" s="1">
        <v>11</v>
      </c>
      <c r="B19" s="7"/>
      <c r="C19" s="7"/>
      <c r="D19" s="7"/>
      <c r="E19" s="8">
        <f t="shared" si="0"/>
        <v>0</v>
      </c>
      <c r="F19" s="8" t="e">
        <f t="shared" si="1"/>
        <v>#N/A</v>
      </c>
      <c r="G19" s="8" t="e">
        <f t="shared" si="2"/>
        <v>#N/A</v>
      </c>
      <c r="H19" s="8" t="e">
        <f t="shared" si="3"/>
        <v>#N/A</v>
      </c>
      <c r="I19" s="8" t="e">
        <f t="shared" si="4"/>
        <v>#N/A</v>
      </c>
      <c r="J19" s="9" t="e">
        <f t="shared" si="5"/>
        <v>#N/A</v>
      </c>
      <c r="K19" s="8" t="e">
        <f t="shared" si="6"/>
        <v>#N/A</v>
      </c>
      <c r="S19" s="8"/>
      <c r="T19" s="4">
        <v>13</v>
      </c>
      <c r="U19" s="4">
        <v>3.5649999999999999</v>
      </c>
      <c r="V19" s="4">
        <v>4.1070000000000002</v>
      </c>
      <c r="W19" s="4">
        <v>5.0090000000000003</v>
      </c>
      <c r="X19" s="4">
        <v>5.8920000000000003</v>
      </c>
      <c r="Y19" s="4">
        <v>7.0419999999999998</v>
      </c>
      <c r="Z19" s="4">
        <v>19.812000000000001</v>
      </c>
      <c r="AA19" s="4">
        <v>22.361999999999998</v>
      </c>
      <c r="AB19" s="4">
        <v>24.736000000000001</v>
      </c>
      <c r="AC19" s="4">
        <v>27.687999999999999</v>
      </c>
      <c r="AD19" s="4">
        <v>29.818999999999999</v>
      </c>
    </row>
    <row r="20" spans="1:30" x14ac:dyDescent="0.25">
      <c r="A20" s="1">
        <v>12</v>
      </c>
      <c r="B20" s="33"/>
      <c r="C20" s="33"/>
      <c r="D20" s="7"/>
      <c r="E20" s="8">
        <f t="shared" ref="E20" si="7">D20*PI()/180</f>
        <v>0</v>
      </c>
      <c r="F20" s="8" t="e">
        <f t="shared" ref="F20" si="8">IF(B20="",#N/A,(B20-$B$7)*60*1852)</f>
        <v>#N/A</v>
      </c>
      <c r="G20" s="8" t="e">
        <f t="shared" ref="G20" si="9">IF(C20="",#N/A,(C20-$C$7)*COS($B$7*PI()/180)*(60*1852))</f>
        <v>#N/A</v>
      </c>
      <c r="H20" s="8" t="e">
        <f t="shared" si="3"/>
        <v>#N/A</v>
      </c>
      <c r="I20" s="8" t="e">
        <f t="shared" si="4"/>
        <v>#N/A</v>
      </c>
      <c r="J20" s="9" t="e">
        <f t="shared" si="5"/>
        <v>#N/A</v>
      </c>
      <c r="K20" s="8" t="e">
        <f t="shared" si="6"/>
        <v>#N/A</v>
      </c>
      <c r="S20" s="8"/>
      <c r="T20" s="4">
        <v>14</v>
      </c>
      <c r="U20" s="4">
        <v>4.0750000000000002</v>
      </c>
      <c r="V20" s="4">
        <v>4.66</v>
      </c>
      <c r="W20" s="4">
        <v>5.6289999999999996</v>
      </c>
      <c r="X20" s="4">
        <v>6.5709999999999997</v>
      </c>
      <c r="Y20" s="4">
        <v>7.79</v>
      </c>
      <c r="Z20" s="4">
        <v>21.064</v>
      </c>
      <c r="AA20" s="4">
        <v>23.684999999999999</v>
      </c>
      <c r="AB20" s="4">
        <v>26.119</v>
      </c>
      <c r="AC20" s="4">
        <v>29.140999999999998</v>
      </c>
      <c r="AD20" s="4">
        <v>31.318999999999999</v>
      </c>
    </row>
    <row r="21" spans="1:30" x14ac:dyDescent="0.25">
      <c r="S21" s="8"/>
      <c r="T21" s="4">
        <v>15</v>
      </c>
      <c r="U21" s="4">
        <v>4.601</v>
      </c>
      <c r="V21" s="4">
        <v>5.2290000000000001</v>
      </c>
      <c r="W21" s="4">
        <v>6.2619999999999996</v>
      </c>
      <c r="X21" s="4">
        <v>7.2610000000000001</v>
      </c>
      <c r="Y21" s="4">
        <v>8.5470000000000006</v>
      </c>
      <c r="Z21" s="4">
        <v>22.306999999999999</v>
      </c>
      <c r="AA21" s="4">
        <v>24.995999999999999</v>
      </c>
      <c r="AB21" s="4">
        <v>27.488</v>
      </c>
      <c r="AC21" s="4">
        <v>30.577999999999999</v>
      </c>
      <c r="AD21" s="4">
        <v>32.801000000000002</v>
      </c>
    </row>
    <row r="22" spans="1:30" x14ac:dyDescent="0.25">
      <c r="A22" s="1" t="s">
        <v>16</v>
      </c>
      <c r="B22" s="38">
        <f>COUNTA(Analysis!$B$9:$B$20)</f>
        <v>0</v>
      </c>
      <c r="D22" s="10" t="s">
        <v>33</v>
      </c>
      <c r="E22" s="10"/>
      <c r="F22" s="8" t="e">
        <f ca="1">AVERAGE(F9:INDIRECT(CONCATENATE("F", M9)))</f>
        <v>#REF!</v>
      </c>
      <c r="G22" s="8" t="e">
        <f ca="1">AVERAGE(G9:INDIRECT(CONCATENATE("G", M9)))</f>
        <v>#REF!</v>
      </c>
      <c r="H22" s="8" t="e">
        <f ca="1">AVERAGE(H9:INDIRECT(CONCATENATE("H", M9)))</f>
        <v>#REF!</v>
      </c>
      <c r="I22" s="8" t="e">
        <f ca="1">AVERAGE(I9:INDIRECT(CONCATENATE("I", M9)))</f>
        <v>#REF!</v>
      </c>
      <c r="S22" s="8"/>
      <c r="T22" s="4">
        <v>16</v>
      </c>
      <c r="U22" s="4">
        <v>5.1420000000000003</v>
      </c>
      <c r="V22" s="4">
        <v>5.8120000000000003</v>
      </c>
      <c r="W22" s="4">
        <v>6.9080000000000004</v>
      </c>
      <c r="X22" s="4">
        <v>7.9619999999999997</v>
      </c>
      <c r="Y22" s="4">
        <v>9.3119999999999994</v>
      </c>
      <c r="Z22" s="4">
        <v>23.542000000000002</v>
      </c>
      <c r="AA22" s="4">
        <v>26.295999999999999</v>
      </c>
      <c r="AB22" s="4">
        <v>28.844999999999999</v>
      </c>
      <c r="AC22" s="4">
        <v>32</v>
      </c>
      <c r="AD22" s="4">
        <v>34.267000000000003</v>
      </c>
    </row>
    <row r="23" spans="1:30" x14ac:dyDescent="0.25">
      <c r="A23" s="1" t="s">
        <v>15</v>
      </c>
      <c r="B23" s="1">
        <f>2*B22-1</f>
        <v>-1</v>
      </c>
      <c r="D23" s="10" t="s">
        <v>34</v>
      </c>
      <c r="E23" s="10"/>
      <c r="F23" s="8" t="e">
        <f ca="1">STDEV(F9:INDIRECT(CONCATENATE("F", M9)))</f>
        <v>#REF!</v>
      </c>
      <c r="G23" s="8" t="e">
        <f ca="1">STDEV(G9:INDIRECT(CONCATENATE("G", M9)))</f>
        <v>#REF!</v>
      </c>
      <c r="H23" s="8" t="e">
        <f ca="1">STDEV(H9:INDIRECT(CONCATENATE("H", M9)))</f>
        <v>#REF!</v>
      </c>
      <c r="I23" s="8" t="e">
        <f ca="1">STDEV(I9:INDIRECT(CONCATENATE("I", M9)))</f>
        <v>#REF!</v>
      </c>
      <c r="S23" s="8"/>
      <c r="T23" s="4">
        <v>17</v>
      </c>
      <c r="U23" s="4">
        <v>5.6970000000000001</v>
      </c>
      <c r="V23" s="4">
        <v>6.4080000000000004</v>
      </c>
      <c r="W23" s="4">
        <v>7.5640000000000001</v>
      </c>
      <c r="X23" s="4">
        <v>8.6720000000000006</v>
      </c>
      <c r="Y23" s="4">
        <v>10.085000000000001</v>
      </c>
      <c r="Z23" s="4">
        <v>24.768999999999998</v>
      </c>
      <c r="AA23" s="4">
        <v>27.587</v>
      </c>
      <c r="AB23" s="4">
        <v>30.190999999999999</v>
      </c>
      <c r="AC23" s="4">
        <v>33.408999999999999</v>
      </c>
      <c r="AD23" s="4">
        <v>35.718000000000004</v>
      </c>
    </row>
    <row r="24" spans="1:30" x14ac:dyDescent="0.25">
      <c r="S24" s="8"/>
      <c r="T24" s="4">
        <v>18</v>
      </c>
      <c r="U24" s="4">
        <v>6.2649999999999997</v>
      </c>
      <c r="V24" s="4">
        <v>7.0149999999999997</v>
      </c>
      <c r="W24" s="4">
        <v>8.2309999999999999</v>
      </c>
      <c r="X24" s="4">
        <v>9.39</v>
      </c>
      <c r="Y24" s="4">
        <v>10.865</v>
      </c>
      <c r="Z24" s="4">
        <v>25.989000000000001</v>
      </c>
      <c r="AA24" s="4">
        <v>28.869</v>
      </c>
      <c r="AB24" s="4">
        <v>31.526</v>
      </c>
      <c r="AC24" s="4">
        <v>34.805</v>
      </c>
      <c r="AD24" s="4">
        <v>37.155999999999999</v>
      </c>
    </row>
    <row r="25" spans="1:30" x14ac:dyDescent="0.25">
      <c r="A25" s="2" t="s">
        <v>6</v>
      </c>
      <c r="T25" s="4">
        <v>19</v>
      </c>
      <c r="U25" s="4">
        <v>6.8440000000000003</v>
      </c>
      <c r="V25" s="4">
        <v>7.633</v>
      </c>
      <c r="W25" s="4">
        <v>8.907</v>
      </c>
      <c r="X25" s="4">
        <v>10.117000000000001</v>
      </c>
      <c r="Y25" s="4">
        <v>11.651</v>
      </c>
      <c r="Z25" s="4">
        <v>27.204000000000001</v>
      </c>
      <c r="AA25" s="4">
        <v>30.143999999999998</v>
      </c>
      <c r="AB25" s="4">
        <v>32.851999999999997</v>
      </c>
      <c r="AC25" s="4">
        <v>36.191000000000003</v>
      </c>
      <c r="AD25" s="4">
        <v>38.582000000000001</v>
      </c>
    </row>
    <row r="26" spans="1:30" x14ac:dyDescent="0.25">
      <c r="A26" s="2" t="s">
        <v>7</v>
      </c>
      <c r="T26" s="4">
        <v>20</v>
      </c>
      <c r="U26" s="4">
        <v>7.4340000000000002</v>
      </c>
      <c r="V26" s="4">
        <v>8.26</v>
      </c>
      <c r="W26" s="4">
        <v>9.5909999999999993</v>
      </c>
      <c r="X26" s="4">
        <v>10.851000000000001</v>
      </c>
      <c r="Y26" s="4">
        <v>12.443</v>
      </c>
      <c r="Z26" s="4">
        <v>28.411999999999999</v>
      </c>
      <c r="AA26" s="4">
        <v>31.41</v>
      </c>
      <c r="AB26" s="4">
        <v>34.17</v>
      </c>
      <c r="AC26" s="4">
        <v>37.566000000000003</v>
      </c>
      <c r="AD26" s="4">
        <v>39.997</v>
      </c>
    </row>
    <row r="27" spans="1:30" x14ac:dyDescent="0.25">
      <c r="T27" s="4">
        <v>21</v>
      </c>
      <c r="U27" s="4">
        <v>8.0340000000000007</v>
      </c>
      <c r="V27" s="4">
        <v>8.8970000000000002</v>
      </c>
      <c r="W27" s="4">
        <v>10.282999999999999</v>
      </c>
      <c r="X27" s="4">
        <v>11.590999999999999</v>
      </c>
      <c r="Y27" s="4">
        <v>13.24</v>
      </c>
      <c r="Z27" s="4">
        <v>29.614999999999998</v>
      </c>
      <c r="AA27" s="4">
        <v>32.670999999999999</v>
      </c>
      <c r="AB27" s="4">
        <v>35.478999999999999</v>
      </c>
      <c r="AC27" s="4">
        <v>38.932000000000002</v>
      </c>
      <c r="AD27" s="4">
        <v>41.401000000000003</v>
      </c>
    </row>
    <row r="28" spans="1:30" x14ac:dyDescent="0.25">
      <c r="A28" s="2" t="s">
        <v>8</v>
      </c>
      <c r="T28" s="4">
        <v>22</v>
      </c>
      <c r="U28" s="4">
        <v>8.6430000000000007</v>
      </c>
      <c r="V28" s="4">
        <v>9.5419999999999998</v>
      </c>
      <c r="W28" s="4">
        <v>10.981999999999999</v>
      </c>
      <c r="X28" s="4">
        <v>12.337999999999999</v>
      </c>
      <c r="Y28" s="4">
        <v>14.041</v>
      </c>
      <c r="Z28" s="4">
        <v>30.812999999999999</v>
      </c>
      <c r="AA28" s="4">
        <v>33.923999999999999</v>
      </c>
      <c r="AB28" s="4">
        <v>36.780999999999999</v>
      </c>
      <c r="AC28" s="4">
        <v>40.289000000000001</v>
      </c>
      <c r="AD28" s="4">
        <v>42.795999999999999</v>
      </c>
    </row>
    <row r="29" spans="1:30" x14ac:dyDescent="0.25">
      <c r="A29" s="2" t="s">
        <v>9</v>
      </c>
      <c r="T29" s="4">
        <v>23</v>
      </c>
      <c r="U29" s="4">
        <v>9.26</v>
      </c>
      <c r="V29" s="4">
        <v>10.196</v>
      </c>
      <c r="W29" s="4">
        <v>11.689</v>
      </c>
      <c r="X29" s="4">
        <v>13.090999999999999</v>
      </c>
      <c r="Y29" s="4">
        <v>14.848000000000001</v>
      </c>
      <c r="Z29" s="4">
        <v>32.006999999999998</v>
      </c>
      <c r="AA29" s="4">
        <v>35.171999999999997</v>
      </c>
      <c r="AB29" s="4">
        <v>38.076000000000001</v>
      </c>
      <c r="AC29" s="4">
        <v>41.637999999999998</v>
      </c>
      <c r="AD29" s="4">
        <v>44.180999999999997</v>
      </c>
    </row>
    <row r="30" spans="1:30" x14ac:dyDescent="0.25">
      <c r="T30" s="4">
        <v>24</v>
      </c>
      <c r="U30" s="4">
        <v>9.8859999999999992</v>
      </c>
      <c r="V30" s="4">
        <v>10.856</v>
      </c>
      <c r="W30" s="4">
        <v>12.401</v>
      </c>
      <c r="X30" s="4">
        <v>13.848000000000001</v>
      </c>
      <c r="Y30" s="4">
        <v>15.659000000000001</v>
      </c>
      <c r="Z30" s="4">
        <v>33.195999999999998</v>
      </c>
      <c r="AA30" s="4">
        <v>36.414999999999999</v>
      </c>
      <c r="AB30" s="4">
        <v>39.363999999999997</v>
      </c>
      <c r="AC30" s="4">
        <v>42.98</v>
      </c>
      <c r="AD30" s="4">
        <v>45.558999999999997</v>
      </c>
    </row>
    <row r="31" spans="1:30" x14ac:dyDescent="0.25">
      <c r="A31" s="2" t="s">
        <v>10</v>
      </c>
      <c r="T31" s="4">
        <v>25</v>
      </c>
      <c r="U31" s="4">
        <v>10.52</v>
      </c>
      <c r="V31" s="4">
        <v>11.523999999999999</v>
      </c>
      <c r="W31" s="4">
        <v>13.12</v>
      </c>
      <c r="X31" s="4">
        <v>14.611000000000001</v>
      </c>
      <c r="Y31" s="4">
        <v>16.472999999999999</v>
      </c>
      <c r="Z31" s="4">
        <v>34.381999999999998</v>
      </c>
      <c r="AA31" s="4">
        <v>37.652000000000001</v>
      </c>
      <c r="AB31" s="4">
        <v>40.646000000000001</v>
      </c>
      <c r="AC31" s="4">
        <v>44.314</v>
      </c>
      <c r="AD31" s="4">
        <v>46.927999999999997</v>
      </c>
    </row>
    <row r="32" spans="1:30" x14ac:dyDescent="0.25">
      <c r="T32" s="4">
        <v>26</v>
      </c>
      <c r="U32" s="4">
        <v>11.16</v>
      </c>
      <c r="V32" s="4">
        <v>12.198</v>
      </c>
      <c r="W32" s="4">
        <v>13.843999999999999</v>
      </c>
      <c r="X32" s="4">
        <v>15.379</v>
      </c>
      <c r="Y32" s="4">
        <v>17.292000000000002</v>
      </c>
      <c r="Z32" s="4">
        <v>35.563000000000002</v>
      </c>
      <c r="AA32" s="4">
        <v>38.884999999999998</v>
      </c>
      <c r="AB32" s="4">
        <v>41.923000000000002</v>
      </c>
      <c r="AC32" s="4">
        <v>45.642000000000003</v>
      </c>
      <c r="AD32" s="4">
        <v>48.29</v>
      </c>
    </row>
    <row r="33" spans="1:30" x14ac:dyDescent="0.25">
      <c r="T33" s="4">
        <v>27</v>
      </c>
      <c r="U33" s="4">
        <v>11.808</v>
      </c>
      <c r="V33" s="4">
        <v>12.879</v>
      </c>
      <c r="W33" s="4">
        <v>14.573</v>
      </c>
      <c r="X33" s="4">
        <v>16.151</v>
      </c>
      <c r="Y33" s="4">
        <v>18.114000000000001</v>
      </c>
      <c r="Z33" s="4">
        <v>36.741</v>
      </c>
      <c r="AA33" s="4">
        <v>40.113</v>
      </c>
      <c r="AB33" s="4">
        <v>43.195</v>
      </c>
      <c r="AC33" s="4">
        <v>46.963000000000001</v>
      </c>
      <c r="AD33" s="4">
        <v>49.645000000000003</v>
      </c>
    </row>
    <row r="34" spans="1:30" x14ac:dyDescent="0.25">
      <c r="T34" s="4">
        <v>28</v>
      </c>
      <c r="U34" s="4">
        <v>12.461</v>
      </c>
      <c r="V34" s="4">
        <v>13.565</v>
      </c>
      <c r="W34" s="4">
        <v>15.308</v>
      </c>
      <c r="X34" s="4">
        <v>16.928000000000001</v>
      </c>
      <c r="Y34" s="4">
        <v>18.939</v>
      </c>
      <c r="Z34" s="4">
        <v>37.915999999999997</v>
      </c>
      <c r="AA34" s="4">
        <v>41.337000000000003</v>
      </c>
      <c r="AB34" s="4">
        <v>44.460999999999999</v>
      </c>
      <c r="AC34" s="4">
        <v>48.277999999999999</v>
      </c>
      <c r="AD34" s="4">
        <v>50.993000000000002</v>
      </c>
    </row>
    <row r="35" spans="1:30" x14ac:dyDescent="0.25">
      <c r="A35" s="2" t="s">
        <v>40</v>
      </c>
      <c r="T35" s="4">
        <v>29</v>
      </c>
      <c r="U35" s="4">
        <v>13.121</v>
      </c>
      <c r="V35" s="4">
        <v>14.256</v>
      </c>
      <c r="W35" s="4">
        <v>16.047000000000001</v>
      </c>
      <c r="X35" s="4">
        <v>17.707999999999998</v>
      </c>
      <c r="Y35" s="4">
        <v>19.768000000000001</v>
      </c>
      <c r="Z35" s="4">
        <v>39.087000000000003</v>
      </c>
      <c r="AA35" s="4">
        <v>42.557000000000002</v>
      </c>
      <c r="AB35" s="4">
        <v>45.722000000000001</v>
      </c>
      <c r="AC35" s="4">
        <v>49.588000000000001</v>
      </c>
      <c r="AD35" s="4">
        <v>52.335999999999999</v>
      </c>
    </row>
    <row r="36" spans="1:30" x14ac:dyDescent="0.25">
      <c r="A36" s="2" t="s">
        <v>11</v>
      </c>
      <c r="T36" s="4">
        <v>30</v>
      </c>
      <c r="U36" s="4">
        <v>13.787000000000001</v>
      </c>
      <c r="V36" s="4">
        <v>14.952999999999999</v>
      </c>
      <c r="W36" s="4">
        <v>16.791</v>
      </c>
      <c r="X36" s="4">
        <v>18.492999999999999</v>
      </c>
      <c r="Y36" s="4">
        <v>20.599</v>
      </c>
      <c r="Z36" s="4">
        <v>40.256</v>
      </c>
      <c r="AA36" s="4">
        <v>43.773000000000003</v>
      </c>
      <c r="AB36" s="4">
        <v>46.978999999999999</v>
      </c>
      <c r="AC36" s="4">
        <v>50.892000000000003</v>
      </c>
      <c r="AD36" s="4">
        <v>53.671999999999997</v>
      </c>
    </row>
    <row r="37" spans="1:30" x14ac:dyDescent="0.25">
      <c r="A37" s="2" t="s">
        <v>12</v>
      </c>
      <c r="T37" s="4">
        <v>40</v>
      </c>
      <c r="U37" s="4">
        <v>20.707000000000001</v>
      </c>
      <c r="V37" s="4">
        <v>22.164000000000001</v>
      </c>
      <c r="W37" s="4">
        <v>24.433</v>
      </c>
      <c r="X37" s="4">
        <v>26.509</v>
      </c>
      <c r="Y37" s="4">
        <v>29.050999999999998</v>
      </c>
      <c r="Z37" s="4">
        <v>51.805</v>
      </c>
      <c r="AA37" s="4">
        <v>55.758000000000003</v>
      </c>
      <c r="AB37" s="4">
        <v>59.341999999999999</v>
      </c>
      <c r="AC37" s="4">
        <v>63.691000000000003</v>
      </c>
      <c r="AD37" s="4">
        <v>66.766000000000005</v>
      </c>
    </row>
    <row r="38" spans="1:30" x14ac:dyDescent="0.25">
      <c r="T38" s="4">
        <v>50</v>
      </c>
      <c r="U38" s="4">
        <v>27.991</v>
      </c>
      <c r="V38" s="4">
        <v>29.707000000000001</v>
      </c>
      <c r="W38" s="4">
        <v>32.356999999999999</v>
      </c>
      <c r="X38" s="4">
        <v>34.764000000000003</v>
      </c>
      <c r="Y38" s="4">
        <v>37.689</v>
      </c>
      <c r="Z38" s="4">
        <v>63.167000000000002</v>
      </c>
      <c r="AA38" s="4">
        <v>67.504999999999995</v>
      </c>
      <c r="AB38" s="4">
        <v>71.42</v>
      </c>
      <c r="AC38" s="4">
        <v>76.153999999999996</v>
      </c>
      <c r="AD38" s="4">
        <v>79.489999999999995</v>
      </c>
    </row>
    <row r="39" spans="1:30" x14ac:dyDescent="0.25">
      <c r="B39" s="2" t="s">
        <v>13</v>
      </c>
      <c r="D39" s="11">
        <v>10</v>
      </c>
      <c r="E39" s="2"/>
      <c r="T39" s="4">
        <v>60</v>
      </c>
      <c r="U39" s="4">
        <v>35.533999999999999</v>
      </c>
      <c r="V39" s="4">
        <v>37.484999999999999</v>
      </c>
      <c r="W39" s="4">
        <v>40.481999999999999</v>
      </c>
      <c r="X39" s="4">
        <v>43.188000000000002</v>
      </c>
      <c r="Y39" s="4">
        <v>46.459000000000003</v>
      </c>
      <c r="Z39" s="4">
        <v>74.397000000000006</v>
      </c>
      <c r="AA39" s="4">
        <v>79.081999999999994</v>
      </c>
      <c r="AB39" s="4">
        <v>83.298000000000002</v>
      </c>
      <c r="AC39" s="4">
        <v>88.379000000000005</v>
      </c>
      <c r="AD39" s="4">
        <v>91.951999999999998</v>
      </c>
    </row>
    <row r="40" spans="1:30" x14ac:dyDescent="0.25">
      <c r="B40" s="2"/>
      <c r="D40" s="12"/>
      <c r="E40" s="12"/>
      <c r="T40" s="4">
        <v>70</v>
      </c>
      <c r="U40" s="4">
        <v>43.274999999999999</v>
      </c>
      <c r="V40" s="4">
        <v>45.442</v>
      </c>
      <c r="W40" s="4">
        <v>48.758000000000003</v>
      </c>
      <c r="X40" s="4">
        <v>51.738999999999997</v>
      </c>
      <c r="Y40" s="4">
        <v>55.329000000000001</v>
      </c>
      <c r="Z40" s="4">
        <v>85.527000000000001</v>
      </c>
      <c r="AA40" s="4">
        <v>90.531000000000006</v>
      </c>
      <c r="AB40" s="4">
        <v>95.022999999999996</v>
      </c>
      <c r="AC40" s="4">
        <v>100.425</v>
      </c>
      <c r="AD40" s="4">
        <v>104.215</v>
      </c>
    </row>
    <row r="41" spans="1:30" x14ac:dyDescent="0.25">
      <c r="T41" s="4">
        <v>80</v>
      </c>
      <c r="U41" s="4">
        <v>51.171999999999997</v>
      </c>
      <c r="V41" s="4">
        <v>53.54</v>
      </c>
      <c r="W41" s="4">
        <v>57.152999999999999</v>
      </c>
      <c r="X41" s="4">
        <v>60.390999999999998</v>
      </c>
      <c r="Y41" s="4">
        <v>64.278000000000006</v>
      </c>
      <c r="Z41" s="4">
        <v>96.578000000000003</v>
      </c>
      <c r="AA41" s="4">
        <v>101.879</v>
      </c>
      <c r="AB41" s="4">
        <v>106.629</v>
      </c>
      <c r="AC41" s="4">
        <v>112.32899999999999</v>
      </c>
      <c r="AD41" s="4">
        <v>116.321</v>
      </c>
    </row>
    <row r="42" spans="1:30" x14ac:dyDescent="0.25">
      <c r="A42" s="2" t="s">
        <v>14</v>
      </c>
      <c r="I42" s="46" t="s">
        <v>41</v>
      </c>
      <c r="J42" s="47"/>
      <c r="K42" s="47"/>
      <c r="L42" s="48"/>
      <c r="N42" s="46" t="s">
        <v>39</v>
      </c>
      <c r="O42" s="47"/>
      <c r="P42" s="47"/>
      <c r="Q42" s="48"/>
      <c r="T42" s="4">
        <v>90</v>
      </c>
      <c r="U42" s="4">
        <v>59.195999999999998</v>
      </c>
      <c r="V42" s="4">
        <v>61.753999999999998</v>
      </c>
      <c r="W42" s="4">
        <v>65.647000000000006</v>
      </c>
      <c r="X42" s="4">
        <v>69.126000000000005</v>
      </c>
      <c r="Y42" s="4">
        <v>73.290999999999997</v>
      </c>
      <c r="Z42" s="4">
        <v>107.565</v>
      </c>
      <c r="AA42" s="4">
        <v>113.145</v>
      </c>
      <c r="AB42" s="4">
        <v>118.136</v>
      </c>
      <c r="AC42" s="4">
        <v>124.116</v>
      </c>
      <c r="AD42" s="4">
        <v>128.29900000000001</v>
      </c>
    </row>
    <row r="43" spans="1:30" x14ac:dyDescent="0.25">
      <c r="I43" s="49"/>
      <c r="J43" s="50"/>
      <c r="K43" s="50"/>
      <c r="L43" s="51"/>
      <c r="N43" s="49"/>
      <c r="O43" s="50"/>
      <c r="P43" s="50"/>
      <c r="Q43" s="51"/>
      <c r="T43" s="4">
        <v>100</v>
      </c>
      <c r="U43" s="4">
        <v>67.328000000000003</v>
      </c>
      <c r="V43" s="4">
        <v>70.064999999999998</v>
      </c>
      <c r="W43" s="4">
        <v>74.221999999999994</v>
      </c>
      <c r="X43" s="4">
        <v>77.929000000000002</v>
      </c>
      <c r="Y43" s="4">
        <v>82.358000000000004</v>
      </c>
      <c r="Z43" s="4">
        <v>118.498</v>
      </c>
      <c r="AA43" s="4">
        <v>124.342</v>
      </c>
      <c r="AB43" s="4">
        <v>129.56100000000001</v>
      </c>
      <c r="AC43" s="4">
        <v>135.80699999999999</v>
      </c>
      <c r="AD43" s="4">
        <v>140.16900000000001</v>
      </c>
    </row>
    <row r="44" spans="1:30" x14ac:dyDescent="0.25">
      <c r="A44" s="16" t="s">
        <v>23</v>
      </c>
      <c r="B44" s="17"/>
      <c r="C44" s="17"/>
      <c r="D44" s="17"/>
      <c r="E44" s="17"/>
      <c r="F44" s="17"/>
      <c r="G44" s="17"/>
      <c r="I44" s="52"/>
      <c r="J44" s="53"/>
      <c r="K44" s="53"/>
      <c r="L44" s="54"/>
      <c r="N44" s="52"/>
      <c r="O44" s="53"/>
      <c r="P44" s="53"/>
      <c r="Q44" s="54"/>
    </row>
    <row r="45" spans="1:30" x14ac:dyDescent="0.25">
      <c r="A45" s="17"/>
      <c r="B45" s="18"/>
      <c r="C45" s="18" t="s">
        <v>24</v>
      </c>
      <c r="D45" s="19" t="s">
        <v>30</v>
      </c>
      <c r="E45" s="19"/>
      <c r="F45" s="17"/>
      <c r="G45" s="17"/>
      <c r="I45" s="55"/>
      <c r="J45" s="56"/>
      <c r="K45" s="56"/>
      <c r="L45" s="57"/>
      <c r="N45" s="55"/>
      <c r="O45" s="56"/>
      <c r="P45" s="56"/>
      <c r="Q45" s="57"/>
    </row>
    <row r="46" spans="1:30" x14ac:dyDescent="0.25">
      <c r="A46" s="16" t="s">
        <v>25</v>
      </c>
      <c r="B46" s="20"/>
      <c r="C46" s="21" t="e">
        <f ca="1">I23</f>
        <v>#REF!</v>
      </c>
      <c r="D46" s="22" t="e">
        <f ca="1">SQRT(($B$23)*I23^2/VLOOKUP(($B$23),T6:AD41,5,FALSE))</f>
        <v>#REF!</v>
      </c>
      <c r="E46" s="23"/>
      <c r="F46" s="24"/>
      <c r="G46" s="17"/>
    </row>
    <row r="47" spans="1:30" x14ac:dyDescent="0.25">
      <c r="A47" s="25" t="s">
        <v>26</v>
      </c>
      <c r="B47" s="17"/>
      <c r="C47" s="17"/>
      <c r="D47" s="17"/>
      <c r="E47" s="17"/>
      <c r="F47" s="17"/>
      <c r="G47" s="17"/>
    </row>
    <row r="48" spans="1:30" x14ac:dyDescent="0.25">
      <c r="A48" s="26" t="s">
        <v>27</v>
      </c>
      <c r="B48" s="21"/>
      <c r="C48" s="21" t="e">
        <f ca="1">SQRT(C46^2*$AA$7)</f>
        <v>#REF!</v>
      </c>
      <c r="D48" s="27" t="e">
        <f ca="1">SQRT(D46^2*$AA$7)</f>
        <v>#REF!</v>
      </c>
      <c r="E48" s="23"/>
      <c r="F48" s="14" t="e">
        <f ca="1">IF(D48&gt;D39,"FAIL","PASS")</f>
        <v>#REF!</v>
      </c>
      <c r="G48" s="17"/>
    </row>
    <row r="49" spans="1:8" x14ac:dyDescent="0.25">
      <c r="A49" s="17"/>
      <c r="B49" s="17"/>
      <c r="C49" s="17"/>
      <c r="D49" s="17"/>
      <c r="E49" s="17"/>
      <c r="F49" s="17"/>
      <c r="G49" s="17"/>
    </row>
    <row r="50" spans="1:8" x14ac:dyDescent="0.25">
      <c r="A50" s="16" t="s">
        <v>28</v>
      </c>
      <c r="B50" s="17"/>
      <c r="C50" s="17"/>
      <c r="D50" s="17"/>
      <c r="E50" s="17"/>
      <c r="F50" s="17"/>
      <c r="G50" s="17"/>
    </row>
    <row r="51" spans="1:8" x14ac:dyDescent="0.25">
      <c r="A51" s="17"/>
      <c r="B51" s="17"/>
      <c r="C51" s="28" t="s">
        <v>29</v>
      </c>
      <c r="D51" s="29" t="e">
        <f ca="1">1.96*SQRT(F23^2+G23^2)</f>
        <v>#REF!</v>
      </c>
      <c r="E51" s="29"/>
      <c r="F51" s="14" t="e">
        <f ca="1">IF(D51&gt;D39,"FAIL","PASS")</f>
        <v>#REF!</v>
      </c>
      <c r="G51" s="30"/>
      <c r="H51" s="15"/>
    </row>
    <row r="52" spans="1:8" x14ac:dyDescent="0.25">
      <c r="A52" s="42" t="s">
        <v>46</v>
      </c>
      <c r="B52" s="41"/>
      <c r="C52" s="41"/>
      <c r="D52" s="41"/>
      <c r="E52" s="41"/>
      <c r="F52" s="41"/>
      <c r="G52" s="41"/>
    </row>
    <row r="53" spans="1:8" x14ac:dyDescent="0.25">
      <c r="A53" s="41"/>
      <c r="B53" s="41"/>
      <c r="C53" s="41" t="s">
        <v>27</v>
      </c>
      <c r="D53" s="43" t="e">
        <f ca="1">H22+1.96*H23</f>
        <v>#REF!</v>
      </c>
      <c r="E53" s="41"/>
      <c r="F53" s="44" t="e">
        <f ca="1">IF(D53&gt;D39,"FAIL","PASS")</f>
        <v>#REF!</v>
      </c>
      <c r="G53" s="41"/>
    </row>
    <row r="54" spans="1:8" x14ac:dyDescent="0.25">
      <c r="A54" s="17"/>
      <c r="B54" s="17"/>
      <c r="C54" s="17"/>
      <c r="D54" s="17"/>
      <c r="E54" s="17"/>
      <c r="F54" s="17"/>
      <c r="G54" s="17"/>
    </row>
    <row r="58" spans="1:8" x14ac:dyDescent="0.25">
      <c r="D58" s="8"/>
    </row>
  </sheetData>
  <sheetProtection selectLockedCells="1"/>
  <mergeCells count="3">
    <mergeCell ref="N1:R18"/>
    <mergeCell ref="I42:L45"/>
    <mergeCell ref="N42:Q45"/>
  </mergeCells>
  <printOptions horizontalCentered="1" verticalCentered="1"/>
  <pageMargins left="0.7" right="0.7" top="0.75" bottom="0.75" header="0.3" footer="0.3"/>
  <pageSetup scale="55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0</xdr:col>
                <xdr:colOff>742950</xdr:colOff>
                <xdr:row>29</xdr:row>
                <xdr:rowOff>152400</xdr:rowOff>
              </from>
              <to>
                <xdr:col>2</xdr:col>
                <xdr:colOff>571500</xdr:colOff>
                <xdr:row>33</xdr:row>
                <xdr:rowOff>19050</xdr:rowOff>
              </to>
            </anchor>
          </objectPr>
        </oleObject>
      </mc:Choice>
      <mc:Fallback>
        <oleObject progId="Equation.3" shapeId="716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Analysis</vt:lpstr>
      <vt:lpstr>Analysis!Print_Area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Survey.User</dc:creator>
  <cp:lastModifiedBy>Joshua.Hiteshew</cp:lastModifiedBy>
  <cp:lastPrinted>2017-09-13T17:56:23Z</cp:lastPrinted>
  <dcterms:created xsi:type="dcterms:W3CDTF">2011-10-06T11:13:18Z</dcterms:created>
  <dcterms:modified xsi:type="dcterms:W3CDTF">2020-08-16T17:28:10Z</dcterms:modified>
</cp:coreProperties>
</file>