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17d1ed6b3ecb6e4/Desktop/fun stuff/Laf/Basketball Analytics/"/>
    </mc:Choice>
  </mc:AlternateContent>
  <xr:revisionPtr revIDLastSave="10574" documentId="8_{801AFBE2-46D6-455C-95C2-0AB7A4020D59}" xr6:coauthVersionLast="47" xr6:coauthVersionMax="47" xr10:uidLastSave="{0813EED5-555B-4C89-B9B2-8E5492ADF08F}"/>
  <bookViews>
    <workbookView xWindow="-110" yWindow="-110" windowWidth="25820" windowHeight="16220" activeTab="4" xr2:uid="{ED0C3138-5DB4-4D1A-BE89-4D7341C02FCC}"/>
  </bookViews>
  <sheets>
    <sheet name="Offensive Rebounds" sheetId="1" r:id="rId1"/>
    <sheet name="Rebound Chart" sheetId="2" r:id="rId2"/>
    <sheet name="Player Efficiency Rating" sheetId="4" r:id="rId3"/>
    <sheet name="Transfers" sheetId="8" r:id="rId4"/>
    <sheet name="Transfers pt.2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B32" i="1"/>
  <c r="E32" i="1"/>
  <c r="D32" i="1"/>
  <c r="C32" i="1"/>
  <c r="AH14" i="9"/>
  <c r="AM79" i="9"/>
  <c r="AM50" i="9"/>
  <c r="AM29" i="9"/>
  <c r="AM44" i="9"/>
  <c r="AM47" i="9"/>
  <c r="AM34" i="9"/>
  <c r="AM42" i="9"/>
  <c r="AM33" i="9"/>
  <c r="AM31" i="9"/>
  <c r="AM69" i="9"/>
  <c r="AM35" i="9"/>
  <c r="AM77" i="9"/>
  <c r="AM46" i="9"/>
  <c r="AM55" i="9"/>
  <c r="AM38" i="9"/>
  <c r="AM71" i="9"/>
  <c r="AM48" i="9"/>
  <c r="AM58" i="9"/>
  <c r="AM61" i="9"/>
  <c r="AM73" i="9"/>
  <c r="AM57" i="9"/>
  <c r="AM39" i="9"/>
  <c r="AM75" i="9"/>
  <c r="AM74" i="9"/>
  <c r="AM78" i="9"/>
  <c r="AM37" i="9"/>
  <c r="AM65" i="9"/>
  <c r="AM66" i="9"/>
  <c r="AM32" i="9"/>
  <c r="AM36" i="9"/>
  <c r="AM70" i="9"/>
  <c r="AM52" i="9"/>
  <c r="AM45" i="9"/>
  <c r="AM67" i="9"/>
  <c r="AM54" i="9"/>
  <c r="AM53" i="9"/>
  <c r="AM49" i="9"/>
  <c r="AM76" i="9"/>
  <c r="AM43" i="9"/>
  <c r="AM51" i="9"/>
  <c r="AM68" i="9"/>
  <c r="AM63" i="9"/>
  <c r="AM40" i="9"/>
  <c r="AM62" i="9"/>
  <c r="AM41" i="9"/>
  <c r="AM72" i="9"/>
  <c r="AM60" i="9"/>
  <c r="AM64" i="9"/>
  <c r="AM28" i="9"/>
  <c r="AM59" i="9"/>
  <c r="AM56" i="9"/>
  <c r="AM30" i="9"/>
  <c r="AK93" i="9"/>
  <c r="AK107" i="9"/>
  <c r="AK118" i="9"/>
  <c r="AK106" i="9"/>
  <c r="AK113" i="9"/>
  <c r="AK132" i="9"/>
  <c r="AK130" i="9"/>
  <c r="AK99" i="9"/>
  <c r="AK122" i="9"/>
  <c r="AK87" i="9"/>
  <c r="AK120" i="9"/>
  <c r="AK105" i="9"/>
  <c r="AK84" i="9"/>
  <c r="AK86" i="9"/>
  <c r="AK131" i="9"/>
  <c r="AK92" i="9"/>
  <c r="AK121" i="9"/>
  <c r="AK89" i="9"/>
  <c r="AK119" i="9"/>
  <c r="AK123" i="9"/>
  <c r="AK108" i="9"/>
  <c r="AK97" i="9"/>
  <c r="AK94" i="9"/>
  <c r="AK91" i="9"/>
  <c r="AK116" i="9"/>
  <c r="AK85" i="9"/>
  <c r="AK83" i="9"/>
  <c r="AK127" i="9"/>
  <c r="AK124" i="9"/>
  <c r="AK98" i="9"/>
  <c r="AK88" i="9"/>
  <c r="AK104" i="9"/>
  <c r="AK126" i="9"/>
  <c r="AK96" i="9"/>
  <c r="AK129" i="9"/>
  <c r="AK82" i="9"/>
  <c r="AK114" i="9"/>
  <c r="AK125" i="9"/>
  <c r="AK111" i="9"/>
  <c r="AK110" i="9"/>
  <c r="AK95" i="9"/>
  <c r="AK90" i="9"/>
  <c r="AK117" i="9"/>
  <c r="AK103" i="9"/>
  <c r="AK115" i="9"/>
  <c r="AK128" i="9"/>
  <c r="AK101" i="9"/>
  <c r="AK102" i="9"/>
  <c r="AK109" i="9"/>
  <c r="AK100" i="9"/>
  <c r="AK112" i="9"/>
  <c r="AH21" i="9"/>
  <c r="AH15" i="9"/>
  <c r="AH12" i="9"/>
  <c r="AH10" i="9"/>
  <c r="AH25" i="9"/>
  <c r="AH23" i="9"/>
  <c r="AH3" i="9"/>
  <c r="AH11" i="9"/>
  <c r="AH5" i="9"/>
  <c r="AH24" i="9"/>
  <c r="AH4" i="9"/>
  <c r="AH22" i="9"/>
  <c r="AH19" i="9"/>
  <c r="AH20" i="9"/>
  <c r="AH6" i="9"/>
  <c r="AH8" i="9"/>
  <c r="AH13" i="9"/>
  <c r="AH16" i="9"/>
  <c r="AH9" i="9"/>
  <c r="AH7" i="9"/>
  <c r="AH2" i="9"/>
  <c r="AH18" i="9"/>
  <c r="AH17" i="9"/>
  <c r="AD30" i="8"/>
  <c r="AD55" i="8"/>
  <c r="AD81" i="8"/>
  <c r="AD28" i="8"/>
  <c r="AD8" i="8"/>
  <c r="AD6" i="8"/>
  <c r="AD22" i="8"/>
  <c r="AD43" i="8"/>
  <c r="AD66" i="8"/>
  <c r="AD42" i="8"/>
  <c r="AD47" i="8"/>
  <c r="AD34" i="8"/>
  <c r="AD104" i="8"/>
  <c r="AD120" i="8"/>
  <c r="AD4" i="8"/>
  <c r="AD119" i="8"/>
  <c r="AD11" i="8"/>
  <c r="AD52" i="8"/>
  <c r="AD61" i="8"/>
  <c r="AD95" i="8"/>
  <c r="AD116" i="8"/>
  <c r="AD64" i="8"/>
  <c r="AD78" i="8"/>
  <c r="AD45" i="8"/>
  <c r="AD19" i="8"/>
  <c r="AD33" i="8"/>
  <c r="AD122" i="8"/>
  <c r="AD103" i="8"/>
  <c r="AD57" i="8"/>
  <c r="AD44" i="8"/>
  <c r="AD18" i="8"/>
  <c r="AD25" i="8"/>
  <c r="AD114" i="8"/>
  <c r="AD29" i="8"/>
  <c r="AD100" i="8"/>
  <c r="AD48" i="8"/>
  <c r="AD56" i="8"/>
  <c r="AD111" i="8"/>
  <c r="AD72" i="8"/>
  <c r="AD110" i="8"/>
  <c r="AD86" i="8"/>
  <c r="AD94" i="8"/>
  <c r="AD23" i="8"/>
  <c r="AD2" i="8"/>
  <c r="AD121" i="8"/>
  <c r="AD24" i="8"/>
  <c r="AD106" i="8"/>
  <c r="AD65" i="8"/>
  <c r="AD73" i="8"/>
  <c r="AD7" i="8"/>
  <c r="AD17" i="8"/>
  <c r="AD53" i="8"/>
  <c r="AD74" i="8"/>
  <c r="AD83" i="8"/>
  <c r="AD97" i="8"/>
  <c r="AD76" i="8"/>
  <c r="AD63" i="8"/>
  <c r="AD13" i="8"/>
  <c r="AD79" i="8"/>
  <c r="AD105" i="8"/>
  <c r="AD101" i="8"/>
  <c r="AD84" i="8"/>
  <c r="AD118" i="8"/>
  <c r="AD93" i="8"/>
  <c r="AD117" i="8"/>
  <c r="AD60" i="8"/>
  <c r="AD77" i="8"/>
  <c r="AD67" i="8"/>
  <c r="AD98" i="8"/>
  <c r="AD39" i="8"/>
  <c r="AD58" i="8"/>
  <c r="AD107" i="8"/>
  <c r="AD102" i="8"/>
  <c r="AD82" i="8"/>
  <c r="AD108" i="8"/>
  <c r="AD113" i="8"/>
  <c r="AD20" i="8"/>
  <c r="AD88" i="8"/>
  <c r="AD112" i="8"/>
  <c r="AD26" i="8"/>
  <c r="AD85" i="8"/>
  <c r="AD37" i="8"/>
  <c r="AD27" i="8"/>
  <c r="AD54" i="8"/>
  <c r="AD32" i="8"/>
  <c r="AD89" i="8"/>
  <c r="AD75" i="8"/>
  <c r="AD49" i="8"/>
  <c r="AD62" i="8"/>
  <c r="AD35" i="8"/>
  <c r="AD12" i="8"/>
  <c r="AD40" i="8"/>
  <c r="AD96" i="8"/>
  <c r="AD41" i="8"/>
  <c r="AD115" i="8"/>
  <c r="AD70" i="8"/>
  <c r="AD16" i="8"/>
  <c r="AD91" i="8"/>
  <c r="AD59" i="8"/>
  <c r="AD5" i="8"/>
  <c r="AD92" i="8"/>
  <c r="AD99" i="8"/>
  <c r="AD46" i="8"/>
  <c r="AD31" i="8"/>
  <c r="AD50" i="8"/>
  <c r="AD125" i="8"/>
  <c r="AD68" i="8"/>
  <c r="AD9" i="8"/>
  <c r="AD87" i="8"/>
  <c r="AD15" i="8"/>
  <c r="AD124" i="8"/>
  <c r="AD14" i="8"/>
  <c r="AD51" i="8"/>
  <c r="AD80" i="8"/>
  <c r="AD3" i="8"/>
  <c r="AD10" i="8"/>
  <c r="AD123" i="8"/>
  <c r="AD38" i="8"/>
  <c r="AD109" i="8"/>
  <c r="AD69" i="8"/>
  <c r="AD71" i="8"/>
  <c r="AD36" i="8"/>
  <c r="AD90" i="8"/>
  <c r="AD21" i="8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3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F3" i="4"/>
  <c r="BG3" i="4"/>
  <c r="BH3" i="4"/>
  <c r="BI3" i="4"/>
  <c r="BJ3" i="4"/>
  <c r="BK3" i="4"/>
  <c r="BL3" i="4"/>
  <c r="BM3" i="4"/>
  <c r="BN3" i="4"/>
  <c r="BO3" i="4"/>
  <c r="BP3" i="4"/>
  <c r="BQ3" i="4"/>
  <c r="BE3" i="4"/>
  <c r="AY16" i="4"/>
  <c r="AX16" i="4"/>
  <c r="AW16" i="4"/>
  <c r="AZ16" i="4" s="1"/>
  <c r="AV16" i="4"/>
  <c r="AU16" i="4"/>
  <c r="AT16" i="4"/>
  <c r="AS16" i="4"/>
  <c r="AR16" i="4"/>
  <c r="AQ16" i="4"/>
  <c r="AP16" i="4"/>
  <c r="AO16" i="4"/>
  <c r="AN16" i="4"/>
  <c r="AM16" i="4"/>
  <c r="AY15" i="4"/>
  <c r="AT15" i="4"/>
  <c r="AX15" i="4"/>
  <c r="AW15" i="4"/>
  <c r="AV15" i="4"/>
  <c r="AU15" i="4"/>
  <c r="AS15" i="4"/>
  <c r="AR15" i="4"/>
  <c r="AQ15" i="4"/>
  <c r="AP15" i="4"/>
  <c r="AO15" i="4"/>
  <c r="AN15" i="4"/>
  <c r="AM15" i="4"/>
  <c r="AY13" i="4"/>
  <c r="AX13" i="4"/>
  <c r="AW13" i="4"/>
  <c r="AV13" i="4"/>
  <c r="AU13" i="4"/>
  <c r="AZ13" i="4" s="1"/>
  <c r="AT13" i="4"/>
  <c r="AS13" i="4"/>
  <c r="AR13" i="4"/>
  <c r="AQ13" i="4"/>
  <c r="AP13" i="4"/>
  <c r="AO13" i="4"/>
  <c r="AN13" i="4"/>
  <c r="AM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Y8" i="4"/>
  <c r="AX8" i="4"/>
  <c r="AW8" i="4"/>
  <c r="AV8" i="4"/>
  <c r="AU8" i="4"/>
  <c r="AT8" i="4"/>
  <c r="AS8" i="4"/>
  <c r="AR8" i="4"/>
  <c r="AQ8" i="4"/>
  <c r="AP8" i="4"/>
  <c r="AO8" i="4"/>
  <c r="AZ8" i="4" s="1"/>
  <c r="AN8" i="4"/>
  <c r="AM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Y6" i="4"/>
  <c r="AZ6" i="4" s="1"/>
  <c r="AV6" i="4"/>
  <c r="AU6" i="4"/>
  <c r="AT6" i="4"/>
  <c r="AS6" i="4"/>
  <c r="AR6" i="4"/>
  <c r="AQ6" i="4"/>
  <c r="AP6" i="4"/>
  <c r="AO6" i="4"/>
  <c r="AN6" i="4"/>
  <c r="AM6" i="4"/>
  <c r="AY5" i="4"/>
  <c r="AX5" i="4"/>
  <c r="AW5" i="4"/>
  <c r="AV5" i="4"/>
  <c r="AU5" i="4"/>
  <c r="AT5" i="4"/>
  <c r="AS5" i="4"/>
  <c r="AR5" i="4"/>
  <c r="AQ5" i="4"/>
  <c r="AO5" i="4"/>
  <c r="AP5" i="4"/>
  <c r="AN5" i="4"/>
  <c r="AM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Y3" i="4"/>
  <c r="AX3" i="4"/>
  <c r="AW3" i="4"/>
  <c r="AV3" i="4"/>
  <c r="AU3" i="4"/>
  <c r="AT3" i="4"/>
  <c r="AS3" i="4"/>
  <c r="AR3" i="4"/>
  <c r="AZ4" i="4"/>
  <c r="AQ3" i="4"/>
  <c r="AP3" i="4"/>
  <c r="AO3" i="4"/>
  <c r="AN3" i="4"/>
  <c r="AM3" i="4"/>
  <c r="AZ5" i="4"/>
  <c r="AZ14" i="4"/>
  <c r="AH11" i="4"/>
  <c r="AH3" i="4"/>
  <c r="AH4" i="4"/>
  <c r="AH5" i="4"/>
  <c r="AH6" i="4"/>
  <c r="AH7" i="4"/>
  <c r="AH8" i="4"/>
  <c r="AH9" i="4"/>
  <c r="AH10" i="4"/>
  <c r="AH12" i="4"/>
  <c r="AH1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AZ15" i="4" l="1"/>
  <c r="AZ12" i="4"/>
  <c r="AZ11" i="4"/>
  <c r="AZ10" i="4"/>
  <c r="AZ9" i="4"/>
  <c r="AZ7" i="4"/>
  <c r="BR7" i="4"/>
  <c r="BR13" i="4"/>
  <c r="BR5" i="4"/>
  <c r="BR12" i="4"/>
  <c r="BR11" i="4"/>
  <c r="BR4" i="4"/>
  <c r="BR9" i="4"/>
  <c r="BR10" i="4"/>
  <c r="BR16" i="4"/>
  <c r="BR8" i="4"/>
  <c r="BR15" i="4"/>
  <c r="BR14" i="4"/>
  <c r="BR6" i="4"/>
  <c r="BR3" i="4"/>
  <c r="AZ3" i="4"/>
</calcChain>
</file>

<file path=xl/sharedStrings.xml><?xml version="1.0" encoding="utf-8"?>
<sst xmlns="http://schemas.openxmlformats.org/spreadsheetml/2006/main" count="2460" uniqueCount="780">
  <si>
    <t>Practice</t>
  </si>
  <si>
    <t>Player</t>
  </si>
  <si>
    <t>PTS</t>
  </si>
  <si>
    <t>FD</t>
  </si>
  <si>
    <t>FTM</t>
  </si>
  <si>
    <t>Dictionary</t>
  </si>
  <si>
    <t>Description</t>
  </si>
  <si>
    <t>Misha</t>
  </si>
  <si>
    <t>(no video for 8/30 and 9/3</t>
  </si>
  <si>
    <t>Date of Practice</t>
  </si>
  <si>
    <t>Ryan</t>
  </si>
  <si>
    <t>Player that recorded offensive rebound</t>
  </si>
  <si>
    <t>Andrew</t>
  </si>
  <si>
    <t>Points scored as a result of offensive rebound</t>
  </si>
  <si>
    <t>Fouls drawn as a result of offensive rebound</t>
  </si>
  <si>
    <t>Free throws made as a result of offensive rebound</t>
  </si>
  <si>
    <t>Mark</t>
  </si>
  <si>
    <t>Devin Hines</t>
  </si>
  <si>
    <t>Devin Hirshman</t>
  </si>
  <si>
    <t>Fola</t>
  </si>
  <si>
    <t>Malik</t>
  </si>
  <si>
    <t>Chris</t>
  </si>
  <si>
    <t>Justin</t>
  </si>
  <si>
    <t>Alex</t>
  </si>
  <si>
    <t>Caleb</t>
  </si>
  <si>
    <t>Offensive</t>
  </si>
  <si>
    <t>Defensive</t>
  </si>
  <si>
    <t>Location</t>
  </si>
  <si>
    <t>Data Dictionary</t>
  </si>
  <si>
    <t>Date of practice</t>
  </si>
  <si>
    <t>Player that recorded the rebound</t>
  </si>
  <si>
    <t>Defensive rebound</t>
  </si>
  <si>
    <t>Offensive rebound</t>
  </si>
  <si>
    <t>Luka</t>
  </si>
  <si>
    <t>Left Corner</t>
  </si>
  <si>
    <t>Left Wing</t>
  </si>
  <si>
    <t>Left Block</t>
  </si>
  <si>
    <t>Right Wing</t>
  </si>
  <si>
    <t>Right Block</t>
  </si>
  <si>
    <t>Left Elbow</t>
  </si>
  <si>
    <t>Right Elbow</t>
  </si>
  <si>
    <t>Left Midrange</t>
  </si>
  <si>
    <t>Right Midrange</t>
  </si>
  <si>
    <t>Right Corner</t>
  </si>
  <si>
    <t>Free Throw Line</t>
  </si>
  <si>
    <t>Where the rebound was secured (see pic for options)</t>
  </si>
  <si>
    <t>Key</t>
  </si>
  <si>
    <t>LC</t>
  </si>
  <si>
    <t>LM</t>
  </si>
  <si>
    <t>LB</t>
  </si>
  <si>
    <t xml:space="preserve">LE </t>
  </si>
  <si>
    <t>FTL</t>
  </si>
  <si>
    <t>TK2</t>
  </si>
  <si>
    <t>RE</t>
  </si>
  <si>
    <t>RM</t>
  </si>
  <si>
    <t>RB</t>
  </si>
  <si>
    <t>RW</t>
  </si>
  <si>
    <t>RC</t>
  </si>
  <si>
    <t>LW</t>
  </si>
  <si>
    <t>TK3</t>
  </si>
  <si>
    <t>Top of the Key (3pts)</t>
  </si>
  <si>
    <t>Top of the Key (2pts)</t>
  </si>
  <si>
    <t>Paint</t>
  </si>
  <si>
    <t>LE</t>
  </si>
  <si>
    <t>FT</t>
  </si>
  <si>
    <t>TO</t>
  </si>
  <si>
    <t>OR</t>
  </si>
  <si>
    <t>Number</t>
  </si>
  <si>
    <t>FGM</t>
  </si>
  <si>
    <t>FG</t>
  </si>
  <si>
    <t>3P</t>
  </si>
  <si>
    <t>Steals</t>
  </si>
  <si>
    <t>Josh</t>
  </si>
  <si>
    <t>TJ</t>
  </si>
  <si>
    <t>DR</t>
  </si>
  <si>
    <t>Minutes</t>
  </si>
  <si>
    <t>Assists</t>
  </si>
  <si>
    <t>Fouls</t>
  </si>
  <si>
    <t>Blocks</t>
  </si>
  <si>
    <t>PER</t>
  </si>
  <si>
    <t>Devin</t>
  </si>
  <si>
    <t>Season Stats</t>
  </si>
  <si>
    <t>Offensive Season Stats</t>
  </si>
  <si>
    <t>Defensive Season Stats</t>
  </si>
  <si>
    <t>Conference Stats</t>
  </si>
  <si>
    <t>Offensive Conference Stats</t>
  </si>
  <si>
    <t>Defensive Conference Stats</t>
  </si>
  <si>
    <t>Wins Stats</t>
  </si>
  <si>
    <t>Wins Offensive Stats</t>
  </si>
  <si>
    <t>Wins Defensive Stats</t>
  </si>
  <si>
    <t>Player Efficiency</t>
  </si>
  <si>
    <t>Losses Stats</t>
  </si>
  <si>
    <t>Losses Offensive Stats</t>
  </si>
  <si>
    <t>Losses Defensive Stats</t>
  </si>
  <si>
    <t>First Name</t>
  </si>
  <si>
    <t>Last Name</t>
  </si>
  <si>
    <t>HT</t>
  </si>
  <si>
    <t>Year</t>
  </si>
  <si>
    <t>School</t>
  </si>
  <si>
    <t>Conference</t>
  </si>
  <si>
    <t>WS</t>
  </si>
  <si>
    <t>OFF WS</t>
  </si>
  <si>
    <t>DEF WS</t>
  </si>
  <si>
    <t>OFF RTG</t>
  </si>
  <si>
    <t>DEF RTG</t>
  </si>
  <si>
    <t>GP</t>
  </si>
  <si>
    <t>Matthew</t>
  </si>
  <si>
    <t>Koffi</t>
  </si>
  <si>
    <t>Hermann</t>
  </si>
  <si>
    <t>Robinson</t>
  </si>
  <si>
    <t>Juan</t>
  </si>
  <si>
    <t>Crawford Jr.</t>
  </si>
  <si>
    <t>NEC</t>
  </si>
  <si>
    <t>Victor</t>
  </si>
  <si>
    <t>Payne</t>
  </si>
  <si>
    <t>Chidube</t>
  </si>
  <si>
    <t>Ekwommadu</t>
  </si>
  <si>
    <t>Troy</t>
  </si>
  <si>
    <t>McKoy Jr.</t>
  </si>
  <si>
    <t>Qadir</t>
  </si>
  <si>
    <t>Martin</t>
  </si>
  <si>
    <t>James</t>
  </si>
  <si>
    <t>Jones</t>
  </si>
  <si>
    <t>Deng</t>
  </si>
  <si>
    <t>Garang</t>
  </si>
  <si>
    <t>Saint Francis</t>
  </si>
  <si>
    <t>Stonehill</t>
  </si>
  <si>
    <t>Chicago St.</t>
  </si>
  <si>
    <t>FDU</t>
  </si>
  <si>
    <t>Mercyhurst</t>
  </si>
  <si>
    <t>Central Conn. St.</t>
  </si>
  <si>
    <t>Le Moyne</t>
  </si>
  <si>
    <t>Terrence</t>
  </si>
  <si>
    <t>Brown</t>
  </si>
  <si>
    <t>Bates IV</t>
  </si>
  <si>
    <t>Rosenberger</t>
  </si>
  <si>
    <t>Daemar</t>
  </si>
  <si>
    <t>Kelly</t>
  </si>
  <si>
    <t>Tre'shawn</t>
  </si>
  <si>
    <t>Sheppard</t>
  </si>
  <si>
    <t>Jason</t>
  </si>
  <si>
    <t>Steele</t>
  </si>
  <si>
    <t>Thomas</t>
  </si>
  <si>
    <t>LIU</t>
  </si>
  <si>
    <t>Position</t>
  </si>
  <si>
    <t>G</t>
  </si>
  <si>
    <t>F</t>
  </si>
  <si>
    <t>TOV/G</t>
  </si>
  <si>
    <t>BLK/G</t>
  </si>
  <si>
    <t>STL/G</t>
  </si>
  <si>
    <t>AST/G</t>
  </si>
  <si>
    <t>REB/G</t>
  </si>
  <si>
    <t>PTS/G</t>
  </si>
  <si>
    <t>FG%</t>
  </si>
  <si>
    <t>3P%</t>
  </si>
  <si>
    <t>FT%</t>
  </si>
  <si>
    <t>TS%</t>
  </si>
  <si>
    <t>EFG%</t>
  </si>
  <si>
    <t>NET RTG</t>
  </si>
  <si>
    <t>Dorian</t>
  </si>
  <si>
    <t>Jayce</t>
  </si>
  <si>
    <t>Depron</t>
  </si>
  <si>
    <t>Raphael</t>
  </si>
  <si>
    <t>Dumon</t>
  </si>
  <si>
    <t>Warren</t>
  </si>
  <si>
    <t>Yeh</t>
  </si>
  <si>
    <t>Tamarion</t>
  </si>
  <si>
    <t>Hoover</t>
  </si>
  <si>
    <t>SWAC</t>
  </si>
  <si>
    <t>Jackson St.</t>
  </si>
  <si>
    <t>Southern U.</t>
  </si>
  <si>
    <t>Ark.-Pine Bluff</t>
  </si>
  <si>
    <t>Alabama A&amp;M</t>
  </si>
  <si>
    <t>Chilaydrien</t>
  </si>
  <si>
    <t>Newton</t>
  </si>
  <si>
    <t>Jordan</t>
  </si>
  <si>
    <t>Johnson</t>
  </si>
  <si>
    <t>Kameron</t>
  </si>
  <si>
    <t>Foman</t>
  </si>
  <si>
    <t>Chauncey</t>
  </si>
  <si>
    <t>Gibson</t>
  </si>
  <si>
    <t>Jayme</t>
  </si>
  <si>
    <t>Mitchell Jr.</t>
  </si>
  <si>
    <t>Quincy</t>
  </si>
  <si>
    <t>McGriff</t>
  </si>
  <si>
    <t>Smith</t>
  </si>
  <si>
    <t>Grambling</t>
  </si>
  <si>
    <t>Alcorn</t>
  </si>
  <si>
    <t>Prairie View</t>
  </si>
  <si>
    <t>Jayden</t>
  </si>
  <si>
    <t>Kyrell</t>
  </si>
  <si>
    <t>Shaw</t>
  </si>
  <si>
    <t>Florian</t>
  </si>
  <si>
    <t>Tenebay</t>
  </si>
  <si>
    <t>South Carolina St.</t>
  </si>
  <si>
    <t>UMES</t>
  </si>
  <si>
    <t>MEAC</t>
  </si>
  <si>
    <t>Mitchell</t>
  </si>
  <si>
    <t>Taylor</t>
  </si>
  <si>
    <t>John</t>
  </si>
  <si>
    <t>Seay-Oliver</t>
  </si>
  <si>
    <t>Leaks</t>
  </si>
  <si>
    <t>Dean</t>
  </si>
  <si>
    <t>Shepherd</t>
  </si>
  <si>
    <t>Aa'reyon</t>
  </si>
  <si>
    <t>Munir-Jones</t>
  </si>
  <si>
    <t>Camaren</t>
  </si>
  <si>
    <t>Sparrow</t>
  </si>
  <si>
    <t>Jamal</t>
  </si>
  <si>
    <t>Miles</t>
  </si>
  <si>
    <t>Dramane</t>
  </si>
  <si>
    <t>Camara</t>
  </si>
  <si>
    <t>Norfolk St.</t>
  </si>
  <si>
    <t>Delaware St.</t>
  </si>
  <si>
    <t>Coppin St.</t>
  </si>
  <si>
    <t>OVC</t>
  </si>
  <si>
    <t>Jadis</t>
  </si>
  <si>
    <t>Cham</t>
  </si>
  <si>
    <t>Okey</t>
  </si>
  <si>
    <t>Lindenwood</t>
  </si>
  <si>
    <t>SIUE</t>
  </si>
  <si>
    <t>Kyle</t>
  </si>
  <si>
    <t>Layton</t>
  </si>
  <si>
    <t>Pickett</t>
  </si>
  <si>
    <t>Marqueas</t>
  </si>
  <si>
    <t>Bell</t>
  </si>
  <si>
    <t>Isaiah</t>
  </si>
  <si>
    <t>Lewis</t>
  </si>
  <si>
    <t>Damarion</t>
  </si>
  <si>
    <t>Walkup</t>
  </si>
  <si>
    <t>Trent</t>
  </si>
  <si>
    <t>Knute</t>
  </si>
  <si>
    <t>Wood</t>
  </si>
  <si>
    <t>Ruffin</t>
  </si>
  <si>
    <t>Jerone</t>
  </si>
  <si>
    <t>Morton</t>
  </si>
  <si>
    <t>Thompson</t>
  </si>
  <si>
    <t>Grant</t>
  </si>
  <si>
    <t>Strong</t>
  </si>
  <si>
    <t>Tennessee Tech</t>
  </si>
  <si>
    <t>Southeast Mo. St.</t>
  </si>
  <si>
    <t>Little Rock</t>
  </si>
  <si>
    <t>Morehead St.</t>
  </si>
  <si>
    <t>Tennessee St.</t>
  </si>
  <si>
    <t>Western Ill.</t>
  </si>
  <si>
    <t>Braeden</t>
  </si>
  <si>
    <t>Speed</t>
  </si>
  <si>
    <t>Azmar</t>
  </si>
  <si>
    <t>Abdullah</t>
  </si>
  <si>
    <t>David</t>
  </si>
  <si>
    <t>Burnett</t>
  </si>
  <si>
    <t>Wyatt</t>
  </si>
  <si>
    <t>Nausadis</t>
  </si>
  <si>
    <t>Ahayere</t>
  </si>
  <si>
    <t>Kevin</t>
  </si>
  <si>
    <t>McCarthy</t>
  </si>
  <si>
    <t>Jacen</t>
  </si>
  <si>
    <t>Holloway</t>
  </si>
  <si>
    <t>Max</t>
  </si>
  <si>
    <t>Green</t>
  </si>
  <si>
    <t>Stevie</t>
  </si>
  <si>
    <t>Clark</t>
  </si>
  <si>
    <t>Aidan</t>
  </si>
  <si>
    <t>Richard</t>
  </si>
  <si>
    <t>Julen</t>
  </si>
  <si>
    <t>Iturbe</t>
  </si>
  <si>
    <t>Loyola Maryland</t>
  </si>
  <si>
    <t>Patriot</t>
  </si>
  <si>
    <t>Boston U.</t>
  </si>
  <si>
    <t>Navy</t>
  </si>
  <si>
    <t>American</t>
  </si>
  <si>
    <t>Colgate</t>
  </si>
  <si>
    <t>Army West Point</t>
  </si>
  <si>
    <t>Holy Cross</t>
  </si>
  <si>
    <t>DeAndre</t>
  </si>
  <si>
    <t>Williams</t>
  </si>
  <si>
    <t>Khalil</t>
  </si>
  <si>
    <t>Jalen</t>
  </si>
  <si>
    <t>Cox</t>
  </si>
  <si>
    <t>Kendall</t>
  </si>
  <si>
    <t>Joshua</t>
  </si>
  <si>
    <t>Ingram</t>
  </si>
  <si>
    <t>Kyrone</t>
  </si>
  <si>
    <t>Alexander</t>
  </si>
  <si>
    <t>Brandon</t>
  </si>
  <si>
    <t>McCreesh</t>
  </si>
  <si>
    <t>Jacob</t>
  </si>
  <si>
    <t>Theodosiou</t>
  </si>
  <si>
    <t>Spencer</t>
  </si>
  <si>
    <t>Joyner</t>
  </si>
  <si>
    <t>Scovens</t>
  </si>
  <si>
    <t>Stiemke</t>
  </si>
  <si>
    <t>Michael</t>
  </si>
  <si>
    <t>McNair</t>
  </si>
  <si>
    <t>Jack</t>
  </si>
  <si>
    <t>Medalie</t>
  </si>
  <si>
    <t>Cooper</t>
  </si>
  <si>
    <t>Wright</t>
  </si>
  <si>
    <t>Greg</t>
  </si>
  <si>
    <t>Joe</t>
  </si>
  <si>
    <t>Nugent</t>
  </si>
  <si>
    <t>Parker</t>
  </si>
  <si>
    <t>Gabe</t>
  </si>
  <si>
    <t>Lehigh</t>
  </si>
  <si>
    <t>Bucknell</t>
  </si>
  <si>
    <t>America East</t>
  </si>
  <si>
    <t>Somerville</t>
  </si>
  <si>
    <t>Walt</t>
  </si>
  <si>
    <t>Andrews Jr.</t>
  </si>
  <si>
    <t>Quentin</t>
  </si>
  <si>
    <t>Duncan</t>
  </si>
  <si>
    <t>Badru</t>
  </si>
  <si>
    <t>Rogers</t>
  </si>
  <si>
    <t>UMass Lowell</t>
  </si>
  <si>
    <t>NJIT</t>
  </si>
  <si>
    <t>New Hampshire</t>
  </si>
  <si>
    <t>Logan</t>
  </si>
  <si>
    <t>Carey</t>
  </si>
  <si>
    <t>Evan</t>
  </si>
  <si>
    <t>Ashe</t>
  </si>
  <si>
    <t>Ace</t>
  </si>
  <si>
    <t>Valentine</t>
  </si>
  <si>
    <t>Jake</t>
  </si>
  <si>
    <t>Goldberg</t>
  </si>
  <si>
    <t>Davide</t>
  </si>
  <si>
    <t>Poser</t>
  </si>
  <si>
    <t>Sims</t>
  </si>
  <si>
    <t>Ashton</t>
  </si>
  <si>
    <t>Reese</t>
  </si>
  <si>
    <t>Daylon</t>
  </si>
  <si>
    <t>Dickerson</t>
  </si>
  <si>
    <t>Maine</t>
  </si>
  <si>
    <t>Binghamton</t>
  </si>
  <si>
    <t>UMBC</t>
  </si>
  <si>
    <t>Tye</t>
  </si>
  <si>
    <t>Dorset</t>
  </si>
  <si>
    <t>Flash</t>
  </si>
  <si>
    <t>Burton</t>
  </si>
  <si>
    <t>Adam</t>
  </si>
  <si>
    <t>Njie Jr.</t>
  </si>
  <si>
    <t>JoJo</t>
  </si>
  <si>
    <t>Wallace</t>
  </si>
  <si>
    <t>Menard</t>
  </si>
  <si>
    <t>Trey</t>
  </si>
  <si>
    <t>Wilson</t>
  </si>
  <si>
    <t>Nyle</t>
  </si>
  <si>
    <t>Ralph-Beyer</t>
  </si>
  <si>
    <t>Michigan</t>
  </si>
  <si>
    <t>Galvin</t>
  </si>
  <si>
    <t>Doty</t>
  </si>
  <si>
    <t>Jaden</t>
  </si>
  <si>
    <t>Zimmerman</t>
  </si>
  <si>
    <t>van der Plas</t>
  </si>
  <si>
    <t>Fallou</t>
  </si>
  <si>
    <t>Gueye</t>
  </si>
  <si>
    <t>Parby</t>
  </si>
  <si>
    <t>Kabamba</t>
  </si>
  <si>
    <t>MAAC</t>
  </si>
  <si>
    <t>Merrimack</t>
  </si>
  <si>
    <t>Rider</t>
  </si>
  <si>
    <t>Iona</t>
  </si>
  <si>
    <t>Mount St. Mary's</t>
  </si>
  <si>
    <t>Saint Peter's</t>
  </si>
  <si>
    <t>Sacred Heart</t>
  </si>
  <si>
    <t>Siena</t>
  </si>
  <si>
    <t>Quinnipiac</t>
  </si>
  <si>
    <t>Canisius</t>
  </si>
  <si>
    <t>Marist</t>
  </si>
  <si>
    <t>Winters</t>
  </si>
  <si>
    <t>Pascarelli</t>
  </si>
  <si>
    <t>William</t>
  </si>
  <si>
    <t>Scott Jr.</t>
  </si>
  <si>
    <t>Elijah</t>
  </si>
  <si>
    <t>Perkins</t>
  </si>
  <si>
    <t>Matt</t>
  </si>
  <si>
    <t>Curtis</t>
  </si>
  <si>
    <t>Patrick</t>
  </si>
  <si>
    <t>Haigh</t>
  </si>
  <si>
    <t>Armoni</t>
  </si>
  <si>
    <t>Zeigler</t>
  </si>
  <si>
    <t>Khaden</t>
  </si>
  <si>
    <t>Bennett</t>
  </si>
  <si>
    <t>Palesse</t>
  </si>
  <si>
    <t>Comeh</t>
  </si>
  <si>
    <t>Emuobor</t>
  </si>
  <si>
    <t>Page</t>
  </si>
  <si>
    <t>Carmelo</t>
  </si>
  <si>
    <t>Pacheco</t>
  </si>
  <si>
    <t>Makuei</t>
  </si>
  <si>
    <t>Riek</t>
  </si>
  <si>
    <t>Travis</t>
  </si>
  <si>
    <t>Roberts</t>
  </si>
  <si>
    <t>Ife</t>
  </si>
  <si>
    <t>West-Ingram</t>
  </si>
  <si>
    <t>Fairfield</t>
  </si>
  <si>
    <t>Niagara</t>
  </si>
  <si>
    <t>AST/TO</t>
  </si>
  <si>
    <t>AST%</t>
  </si>
  <si>
    <t>USG%</t>
  </si>
  <si>
    <t>ORB%</t>
  </si>
  <si>
    <t>DRB%</t>
  </si>
  <si>
    <t>PF/G</t>
  </si>
  <si>
    <t>Sanders</t>
  </si>
  <si>
    <t>Cam</t>
  </si>
  <si>
    <t xml:space="preserve">Jakai </t>
  </si>
  <si>
    <t>Freshman</t>
  </si>
  <si>
    <t>Sophomore</t>
  </si>
  <si>
    <t>Hailey</t>
  </si>
  <si>
    <t>Kahlil</t>
  </si>
  <si>
    <t>Singelton</t>
  </si>
  <si>
    <t>Lemond</t>
  </si>
  <si>
    <t>Bobby</t>
  </si>
  <si>
    <t>McMillian</t>
  </si>
  <si>
    <t xml:space="preserve">Aaron </t>
  </si>
  <si>
    <t>Ralph</t>
  </si>
  <si>
    <t>Martino Jr.</t>
  </si>
  <si>
    <t xml:space="preserve">Colin </t>
  </si>
  <si>
    <t>Team Transferred From</t>
  </si>
  <si>
    <t>Division</t>
  </si>
  <si>
    <t>Team Transferred To</t>
  </si>
  <si>
    <t>Allen</t>
  </si>
  <si>
    <t>VMI</t>
  </si>
  <si>
    <t>Monmouth</t>
  </si>
  <si>
    <t>Ga. Southern</t>
  </si>
  <si>
    <t>St. Thomas Aquinas</t>
  </si>
  <si>
    <t>James Madison</t>
  </si>
  <si>
    <t>Saint Rose</t>
  </si>
  <si>
    <t>Wagner</t>
  </si>
  <si>
    <t>Jonathan</t>
  </si>
  <si>
    <t>Nick</t>
  </si>
  <si>
    <t>Bass</t>
  </si>
  <si>
    <t>UIW</t>
  </si>
  <si>
    <t>Bethune-Cookman</t>
  </si>
  <si>
    <t>Eastern Ill.</t>
  </si>
  <si>
    <t>Milwaukee</t>
  </si>
  <si>
    <t>Mercer</t>
  </si>
  <si>
    <t>Texas Southern</t>
  </si>
  <si>
    <t>Florida A&amp;M</t>
  </si>
  <si>
    <t>Mississippi Val.</t>
  </si>
  <si>
    <t>Alabama St.</t>
  </si>
  <si>
    <t>Davis</t>
  </si>
  <si>
    <t>Daniel</t>
  </si>
  <si>
    <t>Brian</t>
  </si>
  <si>
    <t>Jaylin</t>
  </si>
  <si>
    <t>Justus</t>
  </si>
  <si>
    <t>Jackson</t>
  </si>
  <si>
    <t>Christian</t>
  </si>
  <si>
    <t>New Mexico St.</t>
  </si>
  <si>
    <t>Murray St.</t>
  </si>
  <si>
    <t>UT Martin</t>
  </si>
  <si>
    <t>Southern Ind.</t>
  </si>
  <si>
    <t>RJ</t>
  </si>
  <si>
    <t>Kelechi</t>
  </si>
  <si>
    <t>Longwood</t>
  </si>
  <si>
    <t>Buffalo</t>
  </si>
  <si>
    <t>East Carolina</t>
  </si>
  <si>
    <t>Morgan St.</t>
  </si>
  <si>
    <t>Austin Peay</t>
  </si>
  <si>
    <t>CAA</t>
  </si>
  <si>
    <t>Big South</t>
  </si>
  <si>
    <t>MAC</t>
  </si>
  <si>
    <t>ASUN</t>
  </si>
  <si>
    <t>ACC</t>
  </si>
  <si>
    <t>CUSA</t>
  </si>
  <si>
    <t>AAC</t>
  </si>
  <si>
    <t>Howard</t>
  </si>
  <si>
    <t>N.C. Central</t>
  </si>
  <si>
    <t>WAC</t>
  </si>
  <si>
    <t>Big 12</t>
  </si>
  <si>
    <t>Missouri Valley</t>
  </si>
  <si>
    <t>Big East</t>
  </si>
  <si>
    <t>Big Sky</t>
  </si>
  <si>
    <t>Sun Belt</t>
  </si>
  <si>
    <t>Horizon</t>
  </si>
  <si>
    <t>Southland</t>
  </si>
  <si>
    <t>Big West</t>
  </si>
  <si>
    <t>Southern</t>
  </si>
  <si>
    <t>SIAC</t>
  </si>
  <si>
    <t>A-10</t>
  </si>
  <si>
    <t>SAC</t>
  </si>
  <si>
    <t>PSAC</t>
  </si>
  <si>
    <t>ECC</t>
  </si>
  <si>
    <t>NE-10</t>
  </si>
  <si>
    <t>Rouzan</t>
  </si>
  <si>
    <t>Louis</t>
  </si>
  <si>
    <t>Marcus</t>
  </si>
  <si>
    <t>Wofford</t>
  </si>
  <si>
    <t>Valparaiso</t>
  </si>
  <si>
    <t>CIAA</t>
  </si>
  <si>
    <t>Manhattan</t>
  </si>
  <si>
    <t>Tyler</t>
  </si>
  <si>
    <t>Bryce</t>
  </si>
  <si>
    <t>Rhode Island</t>
  </si>
  <si>
    <t>Saint Louis</t>
  </si>
  <si>
    <t>Syracuse</t>
  </si>
  <si>
    <t>USC Upstate</t>
  </si>
  <si>
    <t>Bowling Green</t>
  </si>
  <si>
    <t>UAlbany</t>
  </si>
  <si>
    <t>Bryant</t>
  </si>
  <si>
    <t>Spinelli</t>
  </si>
  <si>
    <t>Dwayne</t>
  </si>
  <si>
    <t>Haid</t>
  </si>
  <si>
    <t>Valentino</t>
  </si>
  <si>
    <t>Pinedo</t>
  </si>
  <si>
    <t>Saxby</t>
  </si>
  <si>
    <t>Sutherland</t>
  </si>
  <si>
    <t>Zek</t>
  </si>
  <si>
    <t>Tekin</t>
  </si>
  <si>
    <t>Greene</t>
  </si>
  <si>
    <t>UT Arlington</t>
  </si>
  <si>
    <t>Mountain East</t>
  </si>
  <si>
    <t>Hampton</t>
  </si>
  <si>
    <t>NSIC</t>
  </si>
  <si>
    <t>Tankersley</t>
  </si>
  <si>
    <t>Marcel</t>
  </si>
  <si>
    <t>Moore</t>
  </si>
  <si>
    <t>Doctor</t>
  </si>
  <si>
    <t>Bradley</t>
  </si>
  <si>
    <t>Amboree</t>
  </si>
  <si>
    <t>Detroit Mercy</t>
  </si>
  <si>
    <t>Omaha</t>
  </si>
  <si>
    <t>Summit</t>
  </si>
  <si>
    <t>North Texas</t>
  </si>
  <si>
    <t>Nicholls</t>
  </si>
  <si>
    <t>Oral Roberts</t>
  </si>
  <si>
    <t>Johnathan</t>
  </si>
  <si>
    <t>Lawson</t>
  </si>
  <si>
    <t>Aaron</t>
  </si>
  <si>
    <t>Nkrumah</t>
  </si>
  <si>
    <t>Reggie</t>
  </si>
  <si>
    <t>Julius</t>
  </si>
  <si>
    <t>Rollins</t>
  </si>
  <si>
    <t>Stephen</t>
  </si>
  <si>
    <t>Olowoniyi</t>
  </si>
  <si>
    <t>Zion</t>
  </si>
  <si>
    <t>Fruster</t>
  </si>
  <si>
    <t xml:space="preserve">Jayland </t>
  </si>
  <si>
    <t>Randall</t>
  </si>
  <si>
    <t>Weston</t>
  </si>
  <si>
    <t>Creighton</t>
  </si>
  <si>
    <t>Worcester St.</t>
  </si>
  <si>
    <t>MASCAC</t>
  </si>
  <si>
    <t>Kent St.</t>
  </si>
  <si>
    <t>UVA Wise</t>
  </si>
  <si>
    <t>Moore Jr.</t>
  </si>
  <si>
    <t>Toby</t>
  </si>
  <si>
    <t>Nnadozie</t>
  </si>
  <si>
    <t>Ketron</t>
  </si>
  <si>
    <t>Kaseem</t>
  </si>
  <si>
    <t>Watson</t>
  </si>
  <si>
    <t>Dunn</t>
  </si>
  <si>
    <t>Dionte</t>
  </si>
  <si>
    <t>Winston-Salem</t>
  </si>
  <si>
    <t>CSU Bakersfield</t>
  </si>
  <si>
    <t>Sunshine State</t>
  </si>
  <si>
    <t>Okworogo</t>
  </si>
  <si>
    <t>Kareem</t>
  </si>
  <si>
    <t>Pierce</t>
  </si>
  <si>
    <t>Shirk</t>
  </si>
  <si>
    <t>DePaul</t>
  </si>
  <si>
    <t>Harper II</t>
  </si>
  <si>
    <t>Ola</t>
  </si>
  <si>
    <t>Ajiboye</t>
  </si>
  <si>
    <t>Ronald</t>
  </si>
  <si>
    <t>Jessamy</t>
  </si>
  <si>
    <t>Olafioye</t>
  </si>
  <si>
    <t>Obadiah</t>
  </si>
  <si>
    <t>Steven</t>
  </si>
  <si>
    <t>Clay</t>
  </si>
  <si>
    <t>Declan</t>
  </si>
  <si>
    <t>Dillon</t>
  </si>
  <si>
    <t>Breazeale</t>
  </si>
  <si>
    <t>Lamine</t>
  </si>
  <si>
    <t>Niang</t>
  </si>
  <si>
    <t>Massal</t>
  </si>
  <si>
    <t>Diouf</t>
  </si>
  <si>
    <t>Horiuk</t>
  </si>
  <si>
    <t>Darrion</t>
  </si>
  <si>
    <t>Baker</t>
  </si>
  <si>
    <t>Daoust</t>
  </si>
  <si>
    <t>Kiyron</t>
  </si>
  <si>
    <t>Powell</t>
  </si>
  <si>
    <t>Kam</t>
  </si>
  <si>
    <t>O'Connor</t>
  </si>
  <si>
    <t>Nokes</t>
  </si>
  <si>
    <t>Clayton St.</t>
  </si>
  <si>
    <t>Peach Belt</t>
  </si>
  <si>
    <t>Kansas City</t>
  </si>
  <si>
    <t>Arkansas St.</t>
  </si>
  <si>
    <t>UIC</t>
  </si>
  <si>
    <t>CSUN</t>
  </si>
  <si>
    <t>UTSA</t>
  </si>
  <si>
    <t>UTRGV</t>
  </si>
  <si>
    <t>Akron</t>
  </si>
  <si>
    <t>Messiah</t>
  </si>
  <si>
    <t>UNC Pembroke</t>
  </si>
  <si>
    <t>Carolinas</t>
  </si>
  <si>
    <t>Winona St.</t>
  </si>
  <si>
    <t>Bolton Jr.</t>
  </si>
  <si>
    <t>Jackson-Posey</t>
  </si>
  <si>
    <t>Zaakir</t>
  </si>
  <si>
    <t>PJ</t>
  </si>
  <si>
    <t>Edwards</t>
  </si>
  <si>
    <t xml:space="preserve">Shaqir </t>
  </si>
  <si>
    <t>O'Neal</t>
  </si>
  <si>
    <t>Dionjahe</t>
  </si>
  <si>
    <t>Saliou</t>
  </si>
  <si>
    <t>Seye</t>
  </si>
  <si>
    <t>Mack</t>
  </si>
  <si>
    <t>Keointe</t>
  </si>
  <si>
    <t>Cornelius</t>
  </si>
  <si>
    <t>Hutchinson</t>
  </si>
  <si>
    <t>Onanina</t>
  </si>
  <si>
    <t>Anderson</t>
  </si>
  <si>
    <t>Dylan</t>
  </si>
  <si>
    <t>Canoville</t>
  </si>
  <si>
    <t>Shawn</t>
  </si>
  <si>
    <t>Fulcher</t>
  </si>
  <si>
    <t>Braster</t>
  </si>
  <si>
    <t>Kendal</t>
  </si>
  <si>
    <t>EJay</t>
  </si>
  <si>
    <t>Greer</t>
  </si>
  <si>
    <t>Jerome</t>
  </si>
  <si>
    <t>Beya</t>
  </si>
  <si>
    <t>Spears</t>
  </si>
  <si>
    <t>Nemo</t>
  </si>
  <si>
    <t>Charleston So.</t>
  </si>
  <si>
    <t>McNeese</t>
  </si>
  <si>
    <t>Eastern Ky.</t>
  </si>
  <si>
    <t>St. Thomas (TX)</t>
  </si>
  <si>
    <t>SCAC</t>
  </si>
  <si>
    <t>Southeastern La.</t>
  </si>
  <si>
    <t>Palm Beach Atl.</t>
  </si>
  <si>
    <t>Texas St.</t>
  </si>
  <si>
    <t>UCF</t>
  </si>
  <si>
    <t>LeMoyne-Owen</t>
  </si>
  <si>
    <t>Saint Augustine's</t>
  </si>
  <si>
    <t>Koroma</t>
  </si>
  <si>
    <t>CJ</t>
  </si>
  <si>
    <t>Delancy</t>
  </si>
  <si>
    <t>Frazier</t>
  </si>
  <si>
    <t>Xinyi</t>
  </si>
  <si>
    <t>Li</t>
  </si>
  <si>
    <t>Freds</t>
  </si>
  <si>
    <t>Pauls Bagatskis</t>
  </si>
  <si>
    <t>Notre Dame (OH)</t>
  </si>
  <si>
    <t>Achile</t>
  </si>
  <si>
    <t>Spadone</t>
  </si>
  <si>
    <t>Quinn</t>
  </si>
  <si>
    <t>Nielsen</t>
  </si>
  <si>
    <t>Davidson</t>
  </si>
  <si>
    <t>Wyoming</t>
  </si>
  <si>
    <t>Mountain West</t>
  </si>
  <si>
    <t>Rice</t>
  </si>
  <si>
    <t>The Citadel</t>
  </si>
  <si>
    <t>Justice</t>
  </si>
  <si>
    <t>Shoats</t>
  </si>
  <si>
    <t>Paul</t>
  </si>
  <si>
    <t>McMillan IV</t>
  </si>
  <si>
    <t>Dinkins</t>
  </si>
  <si>
    <t>Anthony</t>
  </si>
  <si>
    <t>Benard</t>
  </si>
  <si>
    <t>Prophet</t>
  </si>
  <si>
    <t>Griffin</t>
  </si>
  <si>
    <t>Barrouk</t>
  </si>
  <si>
    <t>Eaton</t>
  </si>
  <si>
    <t>Jahari</t>
  </si>
  <si>
    <t>Williamson</t>
  </si>
  <si>
    <t>Deon</t>
  </si>
  <si>
    <t>Perry</t>
  </si>
  <si>
    <t>Josiah</t>
  </si>
  <si>
    <t>Luke</t>
  </si>
  <si>
    <t>Jungers</t>
  </si>
  <si>
    <t>Mabrey</t>
  </si>
  <si>
    <t>Peter</t>
  </si>
  <si>
    <t>Patterson</t>
  </si>
  <si>
    <t>Reid</t>
  </si>
  <si>
    <t>Ducharme</t>
  </si>
  <si>
    <t>Winborne</t>
  </si>
  <si>
    <t>Jaquel</t>
  </si>
  <si>
    <t>Morris</t>
  </si>
  <si>
    <t xml:space="preserve">Eric </t>
  </si>
  <si>
    <t>Morgan Jr.</t>
  </si>
  <si>
    <t>Noah</t>
  </si>
  <si>
    <t>Best</t>
  </si>
  <si>
    <t>Henderson Jr.</t>
  </si>
  <si>
    <t>Delaney</t>
  </si>
  <si>
    <t>Amaan</t>
  </si>
  <si>
    <t>Sandhu</t>
  </si>
  <si>
    <t>Lock Haven</t>
  </si>
  <si>
    <t>Franklin Pierce</t>
  </si>
  <si>
    <t>Central Michigan</t>
  </si>
  <si>
    <t>George Mason</t>
  </si>
  <si>
    <t>Adelphi</t>
  </si>
  <si>
    <t>Southern Utah</t>
  </si>
  <si>
    <t>Houston Christian</t>
  </si>
  <si>
    <t>Cal Poly</t>
  </si>
  <si>
    <t>Hofstra</t>
  </si>
  <si>
    <t>Miami (OH)</t>
  </si>
  <si>
    <t>Xavier</t>
  </si>
  <si>
    <t>Jacksonville St.</t>
  </si>
  <si>
    <t>Saint Joseph's</t>
  </si>
  <si>
    <t>Dist. Columbia</t>
  </si>
  <si>
    <t>Fordham</t>
  </si>
  <si>
    <t>Rhode Island Col.</t>
  </si>
  <si>
    <t>LEC</t>
  </si>
  <si>
    <t>Barry</t>
  </si>
  <si>
    <t>Evans</t>
  </si>
  <si>
    <t>McComb III</t>
  </si>
  <si>
    <t>Louie</t>
  </si>
  <si>
    <t>Killian</t>
  </si>
  <si>
    <t>Gribben</t>
  </si>
  <si>
    <t>Saunders</t>
  </si>
  <si>
    <t>Ridvan</t>
  </si>
  <si>
    <t>Tutic</t>
  </si>
  <si>
    <t>Sultan</t>
  </si>
  <si>
    <t>Adewale</t>
  </si>
  <si>
    <t>Shy</t>
  </si>
  <si>
    <t>Odom</t>
  </si>
  <si>
    <t>Dominic</t>
  </si>
  <si>
    <t>Capriotti</t>
  </si>
  <si>
    <t>Domenic</t>
  </si>
  <si>
    <t>Malvey</t>
  </si>
  <si>
    <t>St. Bonaventure</t>
  </si>
  <si>
    <t>Weber St.</t>
  </si>
  <si>
    <t>Miami (FL)</t>
  </si>
  <si>
    <t>William &amp; Mary</t>
  </si>
  <si>
    <t>Vermont</t>
  </si>
  <si>
    <t>MAC Commonwealth</t>
  </si>
  <si>
    <t>Junior</t>
  </si>
  <si>
    <t>AST/TOV</t>
  </si>
  <si>
    <t>Conference Then</t>
  </si>
  <si>
    <t>Conference Now</t>
  </si>
  <si>
    <t>Division2</t>
  </si>
  <si>
    <t>Height</t>
  </si>
  <si>
    <t>C</t>
  </si>
  <si>
    <t>FGA/G</t>
  </si>
  <si>
    <t>3PA/G</t>
  </si>
  <si>
    <t>FTA/G</t>
  </si>
  <si>
    <t>HKM%</t>
  </si>
  <si>
    <t>PLUS/MINUS</t>
  </si>
  <si>
    <t>Three pointers made</t>
  </si>
  <si>
    <t>Field goals made</t>
  </si>
  <si>
    <t>Field goals missed</t>
  </si>
  <si>
    <t>Free throws made</t>
  </si>
  <si>
    <t>Free throws missed</t>
  </si>
  <si>
    <t>Offensive rebounds</t>
  </si>
  <si>
    <t>Defensive rebounds</t>
  </si>
  <si>
    <t>Turnovers</t>
  </si>
  <si>
    <t>Player Efficiency Rating</t>
  </si>
  <si>
    <t>Height (inches)</t>
  </si>
  <si>
    <t>Games played</t>
  </si>
  <si>
    <t>Points per game</t>
  </si>
  <si>
    <t>Rebounds per game</t>
  </si>
  <si>
    <t>Offensive rebound percentage</t>
  </si>
  <si>
    <t>Defensive rebound percentage</t>
  </si>
  <si>
    <t>Assists per game</t>
  </si>
  <si>
    <t>Assist-to-turnover ratio</t>
  </si>
  <si>
    <t>Assist percentage</t>
  </si>
  <si>
    <t>Steals per game</t>
  </si>
  <si>
    <t>Blocks per game</t>
  </si>
  <si>
    <t>Turnovers per game</t>
  </si>
  <si>
    <t>Personal fouls per game</t>
  </si>
  <si>
    <t>Field goal percentage</t>
  </si>
  <si>
    <t>Effective field goal percentage</t>
  </si>
  <si>
    <t>Three-point percentage</t>
  </si>
  <si>
    <t>Free throw percentage</t>
  </si>
  <si>
    <t>True shooting percentage</t>
  </si>
  <si>
    <t>Win shares</t>
  </si>
  <si>
    <t>Offensive win shares</t>
  </si>
  <si>
    <t>Defensive win shares</t>
  </si>
  <si>
    <t>Offensive rating</t>
  </si>
  <si>
    <t>Defensive rating</t>
  </si>
  <si>
    <t>Net rating</t>
  </si>
  <si>
    <t>Usage percentage</t>
  </si>
  <si>
    <t>Hakeem percentage</t>
  </si>
  <si>
    <t>Field goals attempted per game</t>
  </si>
  <si>
    <t>Three-pointers attempted per game</t>
  </si>
  <si>
    <t>Free throws attempted per game</t>
  </si>
  <si>
    <t>points per offensive rebound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</si>
</sst>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2" fillId="3" borderId="0" xfId="2"/>
    <xf numFmtId="165" fontId="2" fillId="3" borderId="0" xfId="2" applyNumberFormat="1"/>
    <xf numFmtId="164" fontId="2" fillId="3" borderId="0" xfId="2" applyNumberFormat="1"/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/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quotePrefix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165" fontId="2" fillId="3" borderId="0" xfId="2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1" applyNumberFormat="1" applyFont="1" applyBorder="1"/>
    <xf numFmtId="0" fontId="0" fillId="0" borderId="0" xfId="0" applyAlignment="1">
      <alignment horizontal="left"/>
    </xf>
  </cellXfs>
  <cellStyles count="3">
    <cellStyle name="Good" xfId="2" builtinId="26"/>
    <cellStyle name="Normal" xfId="0" builtinId="0"/>
    <cellStyle name="Percent" xfId="1" builtinId="5"/>
  </cellStyles>
  <dxfs count="154">
    <dxf>
      <numFmt numFmtId="165" formatCode="0.0"/>
    </dxf>
    <dxf>
      <numFmt numFmtId="165" formatCode="0.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4" formatCode="0.0%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4" formatCode="0.0%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numFmt numFmtId="165" formatCode="0.0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border outline="0"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by</a:t>
            </a:r>
            <a:r>
              <a:rPr lang="en-US" baseline="0"/>
              <a:t> Player, 2024-25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'Player Efficiency Rating'!$A$3:$A$16</c:f>
              <c:strCache>
                <c:ptCount val="14"/>
                <c:pt idx="0">
                  <c:v>Ryan</c:v>
                </c:pt>
                <c:pt idx="1">
                  <c:v>Caleb</c:v>
                </c:pt>
                <c:pt idx="2">
                  <c:v>Devin</c:v>
                </c:pt>
                <c:pt idx="3">
                  <c:v>Fola</c:v>
                </c:pt>
                <c:pt idx="4">
                  <c:v>Alex</c:v>
                </c:pt>
                <c:pt idx="5">
                  <c:v>TJ</c:v>
                </c:pt>
                <c:pt idx="6">
                  <c:v>Mark</c:v>
                </c:pt>
                <c:pt idx="7">
                  <c:v>Misha</c:v>
                </c:pt>
                <c:pt idx="8">
                  <c:v>Malik</c:v>
                </c:pt>
                <c:pt idx="9">
                  <c:v>Justin</c:v>
                </c:pt>
                <c:pt idx="10">
                  <c:v>Andrew</c:v>
                </c:pt>
                <c:pt idx="11">
                  <c:v>Chris</c:v>
                </c:pt>
                <c:pt idx="12">
                  <c:v>Josh</c:v>
                </c:pt>
                <c:pt idx="13">
                  <c:v>Luka</c:v>
                </c:pt>
              </c:strCache>
            </c:strRef>
          </c:cat>
          <c:val>
            <c:numRef>
              <c:f>'Player Efficiency Rating'!$P$3:$P$16</c:f>
              <c:numCache>
                <c:formatCode>General</c:formatCode>
                <c:ptCount val="14"/>
                <c:pt idx="0">
                  <c:v>8.9908062500000003</c:v>
                </c:pt>
                <c:pt idx="1">
                  <c:v>11.364970620239394</c:v>
                </c:pt>
                <c:pt idx="2">
                  <c:v>10.705078212290497</c:v>
                </c:pt>
                <c:pt idx="3">
                  <c:v>8.5477173913043458</c:v>
                </c:pt>
                <c:pt idx="4">
                  <c:v>17.663001186239622</c:v>
                </c:pt>
                <c:pt idx="5">
                  <c:v>4.1996080402010056</c:v>
                </c:pt>
                <c:pt idx="6">
                  <c:v>10.294485678704854</c:v>
                </c:pt>
                <c:pt idx="7">
                  <c:v>10.017916666666668</c:v>
                </c:pt>
                <c:pt idx="8">
                  <c:v>11.524537906137187</c:v>
                </c:pt>
                <c:pt idx="9">
                  <c:v>20.228714456391877</c:v>
                </c:pt>
                <c:pt idx="10">
                  <c:v>12.788026285714288</c:v>
                </c:pt>
                <c:pt idx="11">
                  <c:v>8.1213095238095221</c:v>
                </c:pt>
                <c:pt idx="12">
                  <c:v>1.6378356164383554</c:v>
                </c:pt>
                <c:pt idx="13">
                  <c:v>6.6617892791127566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C-41AB-8F26-FAF766D6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284271"/>
        <c:axId val="1659283311"/>
      </c:barChart>
      <c:catAx>
        <c:axId val="165928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83311"/>
        <c:crosses val="autoZero"/>
        <c:auto val="1"/>
        <c:lblAlgn val="ctr"/>
        <c:lblOffset val="100"/>
        <c:noMultiLvlLbl val="0"/>
      </c:catAx>
      <c:valAx>
        <c:axId val="16592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8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by Player, 2025 Patriot League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'Player Efficiency Rating'!$S$3:$S$13</c:f>
              <c:strCache>
                <c:ptCount val="11"/>
                <c:pt idx="0">
                  <c:v>Ryan</c:v>
                </c:pt>
                <c:pt idx="1">
                  <c:v>Caleb</c:v>
                </c:pt>
                <c:pt idx="2">
                  <c:v>Fola</c:v>
                </c:pt>
                <c:pt idx="3">
                  <c:v>Alex</c:v>
                </c:pt>
                <c:pt idx="4">
                  <c:v>TJ</c:v>
                </c:pt>
                <c:pt idx="5">
                  <c:v>Mark</c:v>
                </c:pt>
                <c:pt idx="6">
                  <c:v>Misha</c:v>
                </c:pt>
                <c:pt idx="7">
                  <c:v>Malik</c:v>
                </c:pt>
                <c:pt idx="8">
                  <c:v>Justin</c:v>
                </c:pt>
                <c:pt idx="9">
                  <c:v>Andrew</c:v>
                </c:pt>
                <c:pt idx="10">
                  <c:v>Luka</c:v>
                </c:pt>
              </c:strCache>
            </c:strRef>
          </c:cat>
          <c:val>
            <c:numRef>
              <c:f>'Player Efficiency Rating'!$AH$3:$AH$13</c:f>
              <c:numCache>
                <c:formatCode>General</c:formatCode>
                <c:ptCount val="11"/>
                <c:pt idx="0">
                  <c:v>8.2182199413489716</c:v>
                </c:pt>
                <c:pt idx="1">
                  <c:v>11.201992920353982</c:v>
                </c:pt>
                <c:pt idx="2">
                  <c:v>6.7078181818181823</c:v>
                </c:pt>
                <c:pt idx="3">
                  <c:v>14.394089184060721</c:v>
                </c:pt>
                <c:pt idx="4">
                  <c:v>7.1676176470588242</c:v>
                </c:pt>
                <c:pt idx="5">
                  <c:v>10.658419501133785</c:v>
                </c:pt>
                <c:pt idx="6">
                  <c:v>9.4052967741935483</c:v>
                </c:pt>
                <c:pt idx="7">
                  <c:v>5.2242203389830495</c:v>
                </c:pt>
                <c:pt idx="8">
                  <c:v>19.189351785714287</c:v>
                </c:pt>
                <c:pt idx="9">
                  <c:v>14.590656028368796</c:v>
                </c:pt>
                <c:pt idx="10">
                  <c:v>6.0627647058823531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E-4213-9555-8E1BFF1C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139439"/>
        <c:axId val="1711138959"/>
      </c:barChart>
      <c:catAx>
        <c:axId val="17111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8959"/>
        <c:crosses val="autoZero"/>
        <c:auto val="1"/>
        <c:lblAlgn val="ctr"/>
        <c:lblOffset val="100"/>
        <c:noMultiLvlLbl val="0"/>
      </c:catAx>
      <c:valAx>
        <c:axId val="17111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by Player, Games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'Player Efficiency Rating'!$AK$3:$AK$16</c:f>
              <c:strCache>
                <c:ptCount val="14"/>
                <c:pt idx="0">
                  <c:v>Ryan</c:v>
                </c:pt>
                <c:pt idx="1">
                  <c:v>Caleb</c:v>
                </c:pt>
                <c:pt idx="2">
                  <c:v>Devin</c:v>
                </c:pt>
                <c:pt idx="3">
                  <c:v>Fola</c:v>
                </c:pt>
                <c:pt idx="4">
                  <c:v>Alex</c:v>
                </c:pt>
                <c:pt idx="5">
                  <c:v>TJ</c:v>
                </c:pt>
                <c:pt idx="6">
                  <c:v>Mark</c:v>
                </c:pt>
                <c:pt idx="7">
                  <c:v>Misha</c:v>
                </c:pt>
                <c:pt idx="8">
                  <c:v>Malik</c:v>
                </c:pt>
                <c:pt idx="9">
                  <c:v>Justin</c:v>
                </c:pt>
                <c:pt idx="10">
                  <c:v>Andrew</c:v>
                </c:pt>
                <c:pt idx="11">
                  <c:v>Chris</c:v>
                </c:pt>
                <c:pt idx="12">
                  <c:v>Josh</c:v>
                </c:pt>
                <c:pt idx="13">
                  <c:v>Luka</c:v>
                </c:pt>
              </c:strCache>
            </c:strRef>
          </c:cat>
          <c:val>
            <c:numRef>
              <c:f>'Player Efficiency Rating'!$AZ$3:$AZ$16</c:f>
              <c:numCache>
                <c:formatCode>General</c:formatCode>
                <c:ptCount val="14"/>
                <c:pt idx="0">
                  <c:v>8.4383545816733072</c:v>
                </c:pt>
                <c:pt idx="1">
                  <c:v>14.91529166666667</c:v>
                </c:pt>
                <c:pt idx="2">
                  <c:v>13.568746478873235</c:v>
                </c:pt>
                <c:pt idx="3">
                  <c:v>10.579807692307691</c:v>
                </c:pt>
                <c:pt idx="4">
                  <c:v>20.817827485380107</c:v>
                </c:pt>
                <c:pt idx="5">
                  <c:v>6.7803473684210509</c:v>
                </c:pt>
                <c:pt idx="6">
                  <c:v>13.04055</c:v>
                </c:pt>
                <c:pt idx="7">
                  <c:v>10.771146551724133</c:v>
                </c:pt>
                <c:pt idx="8">
                  <c:v>18.915871212121214</c:v>
                </c:pt>
                <c:pt idx="9">
                  <c:v>24.232284431137732</c:v>
                </c:pt>
                <c:pt idx="10">
                  <c:v>13.695017191977078</c:v>
                </c:pt>
                <c:pt idx="11">
                  <c:v>22.873363636363631</c:v>
                </c:pt>
                <c:pt idx="12">
                  <c:v>14.618266666666663</c:v>
                </c:pt>
                <c:pt idx="13">
                  <c:v>9.8795409836065549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8-408F-9E90-DDDF6F3C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476880"/>
        <c:axId val="1157474960"/>
      </c:barChart>
      <c:catAx>
        <c:axId val="11574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74960"/>
        <c:crosses val="autoZero"/>
        <c:auto val="1"/>
        <c:lblAlgn val="ctr"/>
        <c:lblOffset val="100"/>
        <c:noMultiLvlLbl val="0"/>
      </c:catAx>
      <c:valAx>
        <c:axId val="11574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by Player,</a:t>
            </a:r>
            <a:r>
              <a:rPr lang="en-US" baseline="0"/>
              <a:t> Games Lost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'Player Efficiency Rating'!$BC$3:$BC$16</c:f>
              <c:strCache>
                <c:ptCount val="14"/>
                <c:pt idx="0">
                  <c:v>Ryan</c:v>
                </c:pt>
                <c:pt idx="1">
                  <c:v>Caleb</c:v>
                </c:pt>
                <c:pt idx="2">
                  <c:v>Devin</c:v>
                </c:pt>
                <c:pt idx="3">
                  <c:v>Fola</c:v>
                </c:pt>
                <c:pt idx="4">
                  <c:v>Alex</c:v>
                </c:pt>
                <c:pt idx="5">
                  <c:v>TJ</c:v>
                </c:pt>
                <c:pt idx="6">
                  <c:v>Mark</c:v>
                </c:pt>
                <c:pt idx="7">
                  <c:v>Misha</c:v>
                </c:pt>
                <c:pt idx="8">
                  <c:v>Malik</c:v>
                </c:pt>
                <c:pt idx="9">
                  <c:v>Justin</c:v>
                </c:pt>
                <c:pt idx="10">
                  <c:v>Andrew</c:v>
                </c:pt>
                <c:pt idx="11">
                  <c:v>Chris</c:v>
                </c:pt>
                <c:pt idx="12">
                  <c:v>Josh</c:v>
                </c:pt>
                <c:pt idx="13">
                  <c:v>Luka</c:v>
                </c:pt>
              </c:strCache>
            </c:strRef>
          </c:cat>
          <c:val>
            <c:numRef>
              <c:f>'Player Efficiency Rating'!$BR$3:$BR$16</c:f>
              <c:numCache>
                <c:formatCode>General</c:formatCode>
                <c:ptCount val="14"/>
                <c:pt idx="0">
                  <c:v>9.3472724935732625</c:v>
                </c:pt>
                <c:pt idx="1">
                  <c:v>9.0785384615384626</c:v>
                </c:pt>
                <c:pt idx="2">
                  <c:v>8.8224814814814749</c:v>
                </c:pt>
                <c:pt idx="3">
                  <c:v>5.9059999999999988</c:v>
                </c:pt>
                <c:pt idx="4">
                  <c:v>15.509407185628742</c:v>
                </c:pt>
                <c:pt idx="5">
                  <c:v>1.8422019230769227</c:v>
                </c:pt>
                <c:pt idx="6">
                  <c:v>8.6566739562624253</c:v>
                </c:pt>
                <c:pt idx="7">
                  <c:v>9.6207590909090932</c:v>
                </c:pt>
                <c:pt idx="8">
                  <c:v>4.795875862068967</c:v>
                </c:pt>
                <c:pt idx="9">
                  <c:v>17.570280318091452</c:v>
                </c:pt>
                <c:pt idx="10">
                  <c:v>12.186239543726233</c:v>
                </c:pt>
                <c:pt idx="11">
                  <c:v>2.8867096774193541</c:v>
                </c:pt>
                <c:pt idx="12">
                  <c:v>0.68339215686274557</c:v>
                </c:pt>
                <c:pt idx="13">
                  <c:v>5.0169608938547485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6-4383-8D8C-B1B3FBC7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588320"/>
        <c:axId val="1115590240"/>
      </c:barChart>
      <c:catAx>
        <c:axId val="11155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90240"/>
        <c:crosses val="autoZero"/>
        <c:auto val="1"/>
        <c:lblAlgn val="ctr"/>
        <c:lblOffset val="100"/>
        <c:noMultiLvlLbl val="0"/>
      </c:catAx>
      <c:valAx>
        <c:axId val="11155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for Games Won vs. PER for Games Lost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'Player Efficiency Rating'!$BU$3:$BU$16</c:f>
              <c:strCache>
                <c:ptCount val="14"/>
                <c:pt idx="0">
                  <c:v>Ryan</c:v>
                </c:pt>
                <c:pt idx="1">
                  <c:v>Caleb</c:v>
                </c:pt>
                <c:pt idx="2">
                  <c:v>Devin</c:v>
                </c:pt>
                <c:pt idx="3">
                  <c:v>Fola</c:v>
                </c:pt>
                <c:pt idx="4">
                  <c:v>Alex</c:v>
                </c:pt>
                <c:pt idx="5">
                  <c:v>TJ</c:v>
                </c:pt>
                <c:pt idx="6">
                  <c:v>Mark</c:v>
                </c:pt>
                <c:pt idx="7">
                  <c:v>Misha</c:v>
                </c:pt>
                <c:pt idx="8">
                  <c:v>Malik</c:v>
                </c:pt>
                <c:pt idx="9">
                  <c:v>Justin</c:v>
                </c:pt>
                <c:pt idx="10">
                  <c:v>Andrew</c:v>
                </c:pt>
                <c:pt idx="11">
                  <c:v>Chris</c:v>
                </c:pt>
                <c:pt idx="12">
                  <c:v>Josh</c:v>
                </c:pt>
                <c:pt idx="13">
                  <c:v>Luka</c:v>
                </c:pt>
              </c:strCache>
            </c:strRef>
          </c:cat>
          <c:val>
            <c:numRef>
              <c:f>'Player Efficiency Rating'!$BV$3:$BV$16</c:f>
              <c:numCache>
                <c:formatCode>General</c:formatCode>
                <c:ptCount val="14"/>
                <c:pt idx="0">
                  <c:v>-0.9089179118999553</c:v>
                </c:pt>
                <c:pt idx="1">
                  <c:v>5.8367532051282076</c:v>
                </c:pt>
                <c:pt idx="2">
                  <c:v>4.7462649973917603</c:v>
                </c:pt>
                <c:pt idx="3">
                  <c:v>4.6738076923076921</c:v>
                </c:pt>
                <c:pt idx="4">
                  <c:v>5.308420299751365</c:v>
                </c:pt>
                <c:pt idx="5">
                  <c:v>4.9381454453441282</c:v>
                </c:pt>
                <c:pt idx="6">
                  <c:v>4.3838760437375743</c:v>
                </c:pt>
                <c:pt idx="7">
                  <c:v>1.1503874608150397</c:v>
                </c:pt>
                <c:pt idx="8">
                  <c:v>14.119995350052246</c:v>
                </c:pt>
                <c:pt idx="9">
                  <c:v>6.6620041130462795</c:v>
                </c:pt>
                <c:pt idx="10">
                  <c:v>1.5087776482508453</c:v>
                </c:pt>
                <c:pt idx="11">
                  <c:v>19.986653958944277</c:v>
                </c:pt>
                <c:pt idx="12">
                  <c:v>13.934874509803917</c:v>
                </c:pt>
                <c:pt idx="13">
                  <c:v>4.8625800897518063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E-4575-8C9A-EA82C591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74304"/>
        <c:axId val="1143374784"/>
      </c:barChart>
      <c:catAx>
        <c:axId val="11433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74784"/>
        <c:crosses val="autoZero"/>
        <c:auto val="1"/>
        <c:lblAlgn val="ctr"/>
        <c:lblOffset val="100"/>
        <c:noMultiLvlLbl val="0"/>
      </c:catAx>
      <c:valAx>
        <c:axId val="1143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725196</xdr:colOff>
      <xdr:row>7</xdr:row>
      <xdr:rowOff>44968</xdr:rowOff>
    </xdr:from>
    <xdr:to>
      <xdr:col>14</xdr:col>
      <xdr:colOff>557245</xdr:colOff>
      <xdr:row>36</xdr:row>
      <xdr:rowOff>71275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8F3627B-A7BB-EAF9-CB5A-6205E1666BA8}"/>
            </a:ext>
          </a:extLst>
        </xdr:cNvPr>
        <xdr:cNvGrpSpPr/>
      </xdr:nvGrpSpPr>
      <xdr:grpSpPr>
        <a:xfrm>
          <a:off x="8325757" y="1314968"/>
          <a:ext cx="5346182" cy="5287736"/>
          <a:chOff x="2611209" y="-1"/>
          <a:chExt cx="7326112" cy="6866307"/>
        </a:xfrm>
      </xdr:grpSpPr>
      <xdr:pic>
        <xdr:nvPicPr>
          <xdr:cNvPr id="4" name="Picture 3" descr="Shot Charts | NBA.com">
            <a:extLst>
              <a:ext uri="{FF2B5EF4-FFF2-40B4-BE49-F238E27FC236}">
                <a16:creationId xmlns:a16="http://schemas.microsoft.com/office/drawing/2014/main" id="{4B8C4140-FF6A-D5A0-023C-FDC3E66F55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11209" y="-1"/>
            <a:ext cx="7302047" cy="68663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CB6F889-578F-FB76-72E2-DE70629B9A97}"/>
              </a:ext>
            </a:extLst>
          </xdr:cNvPr>
          <xdr:cNvSpPr txBox="1"/>
        </xdr:nvSpPr>
        <xdr:spPr>
          <a:xfrm>
            <a:off x="2657737" y="794085"/>
            <a:ext cx="693057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LC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B2C0B92-3E12-440F-684F-AFA75FDD2FF5}"/>
              </a:ext>
            </a:extLst>
          </xdr:cNvPr>
          <xdr:cNvSpPr txBox="1"/>
        </xdr:nvSpPr>
        <xdr:spPr>
          <a:xfrm>
            <a:off x="3181732" y="4301289"/>
            <a:ext cx="939084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LW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645A9EEC-741C-228E-A5A0-32B8D479C148}"/>
              </a:ext>
            </a:extLst>
          </xdr:cNvPr>
          <xdr:cNvSpPr txBox="1"/>
        </xdr:nvSpPr>
        <xdr:spPr>
          <a:xfrm>
            <a:off x="5546558" y="4836695"/>
            <a:ext cx="1431758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TK3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AA272E8-14BF-3763-0BDE-07E74F239BFC}"/>
              </a:ext>
            </a:extLst>
          </xdr:cNvPr>
          <xdr:cNvSpPr txBox="1"/>
        </xdr:nvSpPr>
        <xdr:spPr>
          <a:xfrm>
            <a:off x="3278605" y="1329489"/>
            <a:ext cx="842211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LM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A125A34D-AFFE-E814-CBA1-43BADB9FD374}"/>
              </a:ext>
            </a:extLst>
          </xdr:cNvPr>
          <xdr:cNvSpPr txBox="1"/>
        </xdr:nvSpPr>
        <xdr:spPr>
          <a:xfrm>
            <a:off x="3976437" y="2907723"/>
            <a:ext cx="932447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LE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7C9F7FF-39CA-4B5B-9C8F-B9F08A25F218}"/>
              </a:ext>
            </a:extLst>
          </xdr:cNvPr>
          <xdr:cNvSpPr txBox="1"/>
        </xdr:nvSpPr>
        <xdr:spPr>
          <a:xfrm>
            <a:off x="4138863" y="861808"/>
            <a:ext cx="770020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LB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632EA9D-A1BD-D4C0-8FA4-7DA3BD66AEE8}"/>
              </a:ext>
            </a:extLst>
          </xdr:cNvPr>
          <xdr:cNvSpPr txBox="1"/>
        </xdr:nvSpPr>
        <xdr:spPr>
          <a:xfrm>
            <a:off x="5630779" y="3711741"/>
            <a:ext cx="1347537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TK2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B62ADF3B-65C6-3D4B-F19A-9F2232865265}"/>
              </a:ext>
            </a:extLst>
          </xdr:cNvPr>
          <xdr:cNvSpPr txBox="1"/>
        </xdr:nvSpPr>
        <xdr:spPr>
          <a:xfrm>
            <a:off x="5756905" y="2243890"/>
            <a:ext cx="1010653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FTL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30A96B7A-4A50-F810-345D-43ABD173246D}"/>
              </a:ext>
            </a:extLst>
          </xdr:cNvPr>
          <xdr:cNvSpPr txBox="1"/>
        </xdr:nvSpPr>
        <xdr:spPr>
          <a:xfrm>
            <a:off x="5546558" y="1254200"/>
            <a:ext cx="1245269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Paint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50FDF75-E100-84EF-A9A0-237B5C27371D}"/>
              </a:ext>
            </a:extLst>
          </xdr:cNvPr>
          <xdr:cNvSpPr txBox="1"/>
        </xdr:nvSpPr>
        <xdr:spPr>
          <a:xfrm>
            <a:off x="7603958" y="800100"/>
            <a:ext cx="693057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RB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F8DCB68-F2D2-0644-E13D-555DA37AA30B}"/>
              </a:ext>
            </a:extLst>
          </xdr:cNvPr>
          <xdr:cNvSpPr txBox="1"/>
        </xdr:nvSpPr>
        <xdr:spPr>
          <a:xfrm>
            <a:off x="7471610" y="3046220"/>
            <a:ext cx="1058779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RE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297B6E39-F536-F4A4-24A7-07904FDC1BC1}"/>
              </a:ext>
            </a:extLst>
          </xdr:cNvPr>
          <xdr:cNvSpPr txBox="1"/>
        </xdr:nvSpPr>
        <xdr:spPr>
          <a:xfrm>
            <a:off x="8067174" y="4505826"/>
            <a:ext cx="1371600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RW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E999977-FFD6-54FC-1F23-D794674BECBD}"/>
              </a:ext>
            </a:extLst>
          </xdr:cNvPr>
          <xdr:cNvSpPr txBox="1"/>
        </xdr:nvSpPr>
        <xdr:spPr>
          <a:xfrm>
            <a:off x="8343900" y="1416762"/>
            <a:ext cx="984228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RM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8972464A-C4F3-8A1D-9ABE-B0BFCB385A8F}"/>
              </a:ext>
            </a:extLst>
          </xdr:cNvPr>
          <xdr:cNvSpPr txBox="1"/>
        </xdr:nvSpPr>
        <xdr:spPr>
          <a:xfrm>
            <a:off x="9131205" y="739943"/>
            <a:ext cx="806116" cy="36385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/>
              <a:t>RC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18</xdr:row>
      <xdr:rowOff>19049</xdr:rowOff>
    </xdr:from>
    <xdr:to>
      <xdr:col>14</xdr:col>
      <xdr:colOff>523874</xdr:colOff>
      <xdr:row>38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0CBF-5213-B439-C90B-6C0CC6CE7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639761</xdr:colOff>
      <xdr:row>14</xdr:row>
      <xdr:rowOff>123825</xdr:rowOff>
    </xdr:from>
    <xdr:to>
      <xdr:col>30</xdr:col>
      <xdr:colOff>73025</xdr:colOff>
      <xdr:row>35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EF18A-1149-96A6-D4D7-504D0D30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858837</xdr:colOff>
      <xdr:row>16</xdr:row>
      <xdr:rowOff>171450</xdr:rowOff>
    </xdr:from>
    <xdr:to>
      <xdr:col>48</xdr:col>
      <xdr:colOff>723900</xdr:colOff>
      <xdr:row>39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57B60-BBF5-B539-315D-A8297163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11112</xdr:colOff>
      <xdr:row>17</xdr:row>
      <xdr:rowOff>3174</xdr:rowOff>
    </xdr:from>
    <xdr:to>
      <xdr:col>69</xdr:col>
      <xdr:colOff>9525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38580-B64E-35EC-B089-78657E9A7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474662</xdr:colOff>
      <xdr:row>17</xdr:row>
      <xdr:rowOff>76200</xdr:rowOff>
    </xdr:from>
    <xdr:to>
      <xdr:col>81</xdr:col>
      <xdr:colOff>266700</xdr:colOff>
      <xdr:row>37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2DAA42-E29E-6906-BB7F-3AF7E5021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D5489-CAA4-4D4C-958D-C358B087FE19}" name="OffensiveRebounds" displayName="OffensiveRebounds" ref="A1:E30" totalsRowShown="0" headerRowDxfId="153" dataDxfId="152">
  <autoFilter ref="A1:E30" xr:uid="{F0AD5489-CAA4-4D4C-958D-C358B087FE19}"/>
  <tableColumns count="5">
    <tableColumn id="1" xr3:uid="{EED9B75B-C433-42E4-95F6-5379203B5993}" name="Practice" dataDxfId="151"/>
    <tableColumn id="2" xr3:uid="{907368D3-17A1-4774-84ED-8120C2F1F813}" name="Player" dataDxfId="150"/>
    <tableColumn id="3" xr3:uid="{9A34680F-6399-41CF-BC2C-1440E784FC94}" name="PTS" dataDxfId="149"/>
    <tableColumn id="4" xr3:uid="{DA6022C1-5121-4425-B9DF-21B3BA8CCF35}" name="FD" dataDxfId="148"/>
    <tableColumn id="5" xr3:uid="{CCE9FF9C-9296-49EF-B88D-43FC9D26F4E6}" name="FTM" dataDxfId="147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54ECE4-0D82-4CB5-B905-BD782F30DF04}" name="Table10" displayName="Table10" ref="A1:AE125" totalsRowShown="0" headerRowDxfId="103">
  <autoFilter ref="A1:AE125" xr:uid="{6A54ECE4-0D82-4CB5-B905-BD782F30DF04}"/>
  <sortState xmlns:xlrd2="http://schemas.microsoft.com/office/spreadsheetml/2017/richdata2" ref="A2:AE125">
    <sortCondition ref="AC1:AC125"/>
  </sortState>
  <tableColumns count="31">
    <tableColumn id="1" xr3:uid="{DFB90147-CE50-4258-8F29-CE3675A133B0}" name="First Name"/>
    <tableColumn id="2" xr3:uid="{2AAB4159-C990-470D-98D6-374CDA740D68}" name="Last Name"/>
    <tableColumn id="3" xr3:uid="{0DFEC4A1-B9B1-43AB-B210-5FBB4A341C0B}" name="HT"/>
    <tableColumn id="4" xr3:uid="{DF886180-06F9-4F3E-B3B6-D303B4D30D30}" name="Position"/>
    <tableColumn id="5" xr3:uid="{6AFD6091-4889-4245-B789-B39C6C6ABF6F}" name="Year"/>
    <tableColumn id="6" xr3:uid="{EA22A7D7-7199-4079-B26F-A7640E3DCDBE}" name="School"/>
    <tableColumn id="7" xr3:uid="{2148FBE9-C265-4EFA-A01F-CFA37AA2B7AB}" name="Conference"/>
    <tableColumn id="8" xr3:uid="{CC09F407-AF3F-455F-B4F0-76B62BC5B538}" name="GP"/>
    <tableColumn id="9" xr3:uid="{6F60F29F-AD69-464B-BF4E-15A6C6603CE3}" name="PTS/G" dataDxfId="102"/>
    <tableColumn id="10" xr3:uid="{EA3ADEFE-B6AA-4A5B-A0CA-13E7EF1F6C6A}" name="REB/G" dataDxfId="101"/>
    <tableColumn id="11" xr3:uid="{73AE2142-846D-4C28-B47E-4DBBB2773C1A}" name="ORB%" dataDxfId="100" dataCellStyle="Percent"/>
    <tableColumn id="12" xr3:uid="{9F463748-F9E2-4AB9-9219-F2EFE8858828}" name="DRB%" dataDxfId="99" dataCellStyle="Percent"/>
    <tableColumn id="13" xr3:uid="{D36624DF-5800-4FEB-95FE-7F313BAFA214}" name="AST/G" dataDxfId="98"/>
    <tableColumn id="14" xr3:uid="{E6B639E0-A8F9-4294-A976-D5C25A197A91}" name="AST/TO" dataDxfId="97"/>
    <tableColumn id="15" xr3:uid="{1B6B7B86-C850-440C-BD4F-8B75A2F17DCB}" name="AST%" dataDxfId="96" dataCellStyle="Percent"/>
    <tableColumn id="16" xr3:uid="{CDFACC68-451C-451C-B709-B7256238641A}" name="STL/G" dataDxfId="95"/>
    <tableColumn id="17" xr3:uid="{2BB1328B-98D5-4577-8368-48A0C6B6301A}" name="BLK/G" dataDxfId="94"/>
    <tableColumn id="18" xr3:uid="{A0218227-2038-45DE-BE93-871B28E3BB66}" name="TOV/G" dataDxfId="93"/>
    <tableColumn id="19" xr3:uid="{6E4F3456-3797-461F-8280-D8BE2CB7DE4F}" name="PF/G" dataDxfId="92"/>
    <tableColumn id="20" xr3:uid="{F990D8ED-3281-4401-9FE6-60C1E018E7DB}" name="FG%" dataDxfId="91" dataCellStyle="Percent"/>
    <tableColumn id="21" xr3:uid="{B52BAFF4-F743-4986-B6D3-0F33C3087D8F}" name="EFG%" dataDxfId="90" dataCellStyle="Percent"/>
    <tableColumn id="22" xr3:uid="{90C289ED-39DB-4DAA-B9A8-CC0C273719CF}" name="3P%" dataDxfId="89" dataCellStyle="Percent"/>
    <tableColumn id="23" xr3:uid="{355079AA-770C-4A82-B6B1-41FA5B0AACC6}" name="FT%" dataDxfId="88" dataCellStyle="Percent"/>
    <tableColumn id="24" xr3:uid="{EF37C3A8-BD28-4D90-B972-05D2321744A8}" name="TS%" dataDxfId="87" dataCellStyle="Percent"/>
    <tableColumn id="25" xr3:uid="{6EE51540-539C-449D-99A4-9B778558EDB5}" name="WS" dataDxfId="86"/>
    <tableColumn id="26" xr3:uid="{226DCA0F-3055-4687-AEAD-7D68DC06F158}" name="OFF WS" dataDxfId="85"/>
    <tableColumn id="27" xr3:uid="{E16A1319-EFDE-4028-A8D1-359333586C8E}" name="DEF WS" dataDxfId="84"/>
    <tableColumn id="28" xr3:uid="{20450C30-2128-4F28-964F-608D6EF56E1E}" name="OFF RTG" dataDxfId="2"/>
    <tableColumn id="29" xr3:uid="{A1EF9338-250C-4BCF-9A54-CF999F5C9758}" name="DEF RTG" dataDxfId="0"/>
    <tableColumn id="30" xr3:uid="{0C1543AF-D5AE-49A1-9140-A856207E1540}" name="NET RTG" dataDxfId="1">
      <calculatedColumnFormula>AB2-AC2</calculatedColumnFormula>
    </tableColumn>
    <tableColumn id="31" xr3:uid="{42FC6445-7294-47CB-8BE7-41887004B142}" name="USG%" dataDxfId="83" dataCellStyle="Percent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8C8431-06E6-45C2-BB87-B9048D7CF882}" name="Table15" displayName="Table15" ref="AH2:AI27" totalsRowShown="0">
  <autoFilter ref="AH2:AI27" xr:uid="{2D8C8431-06E6-45C2-BB87-B9048D7CF882}"/>
  <tableColumns count="2">
    <tableColumn id="1" xr3:uid="{29248B1A-69A3-4A5A-ACBF-14A2306E06AA}" name="Data Dictionary"/>
    <tableColumn id="2" xr3:uid="{B93A22E3-A178-4856-A1C6-FB5CDF6733FE}" name="Description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14EA1A-9665-4AC3-8D8D-C88216DE2377}" name="Table11" displayName="Table11" ref="A1:AJ25" totalsRowShown="0">
  <autoFilter ref="A1:AJ25" xr:uid="{CD14EA1A-9665-4AC3-8D8D-C88216DE2377}"/>
  <sortState xmlns:xlrd2="http://schemas.microsoft.com/office/spreadsheetml/2017/richdata2" ref="A2:AJ25">
    <sortCondition ref="C1:C25"/>
  </sortState>
  <tableColumns count="36">
    <tableColumn id="1" xr3:uid="{9CDF7AD0-4BA8-4A45-AC86-B17F2209D8BB}" name="First Name"/>
    <tableColumn id="2" xr3:uid="{DDDED14F-92FF-4B6E-B733-A7F8AB8FDAD7}" name="Last Name"/>
    <tableColumn id="3" xr3:uid="{B542D726-996A-4B06-85B0-9B66C06E8C83}" name="Year"/>
    <tableColumn id="4" xr3:uid="{900ECF6F-0576-453A-A9D0-58786FD7A521}" name="Team Transferred From"/>
    <tableColumn id="5" xr3:uid="{D79976A2-34AA-4657-BB9D-B6661334BA65}" name="Conference Then"/>
    <tableColumn id="6" xr3:uid="{9F20B0E3-68AF-4BD2-AC9E-A996FA376E68}" name="Division" dataDxfId="82"/>
    <tableColumn id="7" xr3:uid="{A962643B-4F38-4219-AFA4-C038777DC0F8}" name="Team Transferred To"/>
    <tableColumn id="8" xr3:uid="{F12EAE93-4176-43BE-9069-9B4CE5BE1DC0}" name="Conference Now"/>
    <tableColumn id="9" xr3:uid="{B1508D4A-91ED-4DDE-9474-27C19E86F364}" name="Division2" dataDxfId="81"/>
    <tableColumn id="36" xr3:uid="{9A4C0187-886A-45D8-B8C5-0023AFA5C9A3}" name="Position" dataDxfId="80"/>
    <tableColumn id="37" xr3:uid="{B77C01EB-A27E-475E-B1E0-55A86980933B}" name="Height" dataDxfId="79"/>
    <tableColumn id="10" xr3:uid="{29446634-0C89-4DF3-80EF-3C4A06F10E82}" name="GP"/>
    <tableColumn id="11" xr3:uid="{29358E51-AE17-4870-90B7-02F97CCC526F}" name="Minutes"/>
    <tableColumn id="38" xr3:uid="{4A2B8F32-FF47-4843-BB55-3EED351B64CA}" name="PTS/G" dataDxfId="78"/>
    <tableColumn id="39" xr3:uid="{68836CDA-4C89-46F4-925E-48BE170786BA}" name="AST/G" dataDxfId="77"/>
    <tableColumn id="40" xr3:uid="{F5CF0501-CC70-4046-B28C-2F3B5BA11747}" name="AST/TOV" dataDxfId="76"/>
    <tableColumn id="41" xr3:uid="{A5BE6281-695A-4CE5-B5CD-73D589C18389}" name="AST%" dataDxfId="75" dataCellStyle="Percent"/>
    <tableColumn id="42" xr3:uid="{2650966D-E463-452D-BAF3-2E5228E75B1B}" name="STL/G" dataDxfId="74"/>
    <tableColumn id="43" xr3:uid="{8C486880-94A6-4770-B9DF-3952012A4A77}" name="TOV/G" dataDxfId="73"/>
    <tableColumn id="44" xr3:uid="{613EF9A5-EA25-4141-803C-361802E8A700}" name="PF/G" dataDxfId="72"/>
    <tableColumn id="45" xr3:uid="{26DFB77D-C8DA-43F4-8792-73C97B3B19CA}" name="FGA/G" dataDxfId="71"/>
    <tableColumn id="46" xr3:uid="{8DD21164-8236-481A-BC4B-183E761CA550}" name="FG%" dataDxfId="70" dataCellStyle="Percent"/>
    <tableColumn id="47" xr3:uid="{EE0A73CC-EF63-43AF-99A6-5AD8DD260DBF}" name="3PA/G" dataDxfId="69"/>
    <tableColumn id="48" xr3:uid="{ECFA4B18-84AE-4A51-BE77-8786110C6077}" name="3P%" dataDxfId="68" dataCellStyle="Percent"/>
    <tableColumn id="49" xr3:uid="{ED4536D2-2252-4748-94D9-D73F958EFA3D}" name="FTA/G" dataDxfId="67"/>
    <tableColumn id="50" xr3:uid="{A5E85D5A-328A-498A-8CE2-070B206F4DBD}" name="FT%" dataDxfId="66" dataCellStyle="Percent"/>
    <tableColumn id="51" xr3:uid="{3EBCF06B-7905-44E3-8CD7-A3E299C38A59}" name="EFG%" dataDxfId="65" dataCellStyle="Percent"/>
    <tableColumn id="52" xr3:uid="{E5B8B0F6-F8B5-4A81-B656-0992BEAC9DB8}" name="TS%" dataDxfId="64" dataCellStyle="Percent"/>
    <tableColumn id="53" xr3:uid="{64E04D15-6F4A-4DAD-9098-40143D208446}" name="WS" dataDxfId="63"/>
    <tableColumn id="54" xr3:uid="{E583136C-5F39-4F31-97ED-7C82DB7D235C}" name="OFF WS" dataDxfId="62"/>
    <tableColumn id="55" xr3:uid="{C7962C4C-6C4E-4004-B236-D4E8B3FBD916}" name="DEF WS" dataDxfId="61"/>
    <tableColumn id="56" xr3:uid="{8EB88003-F3B2-4019-B89A-00B9F0C14E8E}" name="OFF RTG" dataDxfId="60"/>
    <tableColumn id="57" xr3:uid="{1EB8B0F0-F27E-40E4-B5A4-7166934A7CCF}" name="DEF RTG" dataDxfId="59"/>
    <tableColumn id="58" xr3:uid="{7EEF5B73-9AA1-4E16-8236-6BFF3F9C9340}" name="NET RTG" dataDxfId="58">
      <calculatedColumnFormula>Table11[[#This Row],[OFF RTG]]-Table11[[#This Row],[DEF RTG]]</calculatedColumnFormula>
    </tableColumn>
    <tableColumn id="59" xr3:uid="{F115530D-5748-42F4-BED2-1E5420EF79B5}" name="USG%" dataDxfId="57" dataCellStyle="Percent"/>
    <tableColumn id="60" xr3:uid="{4C481CDE-BC4D-4874-8BA6-A470684C99E9}" name="PLUS/MINUS" dataDxfId="56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C5AAA2-D3AB-441C-93A0-56EF4D5641EE}" name="Table12" displayName="Table12" ref="A81:AM132" totalsRowShown="0" tableBorderDxfId="55" dataCellStyle="Normal">
  <autoFilter ref="A81:AM132" xr:uid="{DAC5AAA2-D3AB-441C-93A0-56EF4D5641EE}"/>
  <sortState xmlns:xlrd2="http://schemas.microsoft.com/office/spreadsheetml/2017/richdata2" ref="A82:AM132">
    <sortCondition ref="C81:C132"/>
  </sortState>
  <tableColumns count="39">
    <tableColumn id="1" xr3:uid="{9937F7EE-E91C-44DA-A5FF-86DC66EDDD48}" name="First Name" dataCellStyle="Normal"/>
    <tableColumn id="2" xr3:uid="{0B36A7D5-0838-445E-8962-07A1CD364172}" name="Last Name" dataCellStyle="Normal"/>
    <tableColumn id="3" xr3:uid="{5B320C31-34C7-4F25-8EFD-B2E4F8912B1A}" name="Year" dataCellStyle="Normal"/>
    <tableColumn id="4" xr3:uid="{7F76BCFD-D3F5-4DBF-BC1C-5E79E063CB2F}" name="Team Transferred From" dataCellStyle="Normal"/>
    <tableColumn id="5" xr3:uid="{5BB16C3B-60BC-424A-8E40-04E604567360}" name="Conference Then" dataCellStyle="Normal"/>
    <tableColumn id="6" xr3:uid="{60BBAB95-8083-494F-88B2-C6B66A8CE451}" name="Division" dataCellStyle="Normal"/>
    <tableColumn id="7" xr3:uid="{C602399C-3D2F-4ABA-8C16-7007232416F5}" name="Team Transferred To" dataCellStyle="Normal"/>
    <tableColumn id="8" xr3:uid="{F0446ED5-8AE5-4F8F-AB6C-EDEE1FFBDE06}" name="Conference Now" dataCellStyle="Normal"/>
    <tableColumn id="9" xr3:uid="{2CC9B628-7510-4D1F-A4F2-0C2BE2F39F8D}" name="Division2" dataCellStyle="Normal"/>
    <tableColumn id="10" xr3:uid="{DDA2A764-B7AE-4C51-A3F7-A2FE3B3C9BD6}" name="Position" dataCellStyle="Normal"/>
    <tableColumn id="11" xr3:uid="{352E8322-A870-43E2-93ED-FF6B71CF5ED9}" name="Height" dataCellStyle="Normal"/>
    <tableColumn id="12" xr3:uid="{79AADFA6-F840-4D1E-B5DE-888BB025FB30}" name="GP" dataCellStyle="Normal"/>
    <tableColumn id="13" xr3:uid="{BF0A6DD4-10D0-4774-8ED1-43F5DD258A70}" name="Minutes" dataCellStyle="Normal"/>
    <tableColumn id="14" xr3:uid="{D22E9DD2-6026-49A9-919D-AD9EBF9A7B48}" name="PTS/G" dataDxfId="54" dataCellStyle="Normal"/>
    <tableColumn id="15" xr3:uid="{585F8235-FF56-42BA-B78B-4C12D5ADE08A}" name="REB/G" dataDxfId="53" dataCellStyle="Normal"/>
    <tableColumn id="16" xr3:uid="{6D0A4DBE-21F3-49B5-8BBE-C512A2F51D00}" name="ORB%" dataDxfId="52" dataCellStyle="Percent"/>
    <tableColumn id="17" xr3:uid="{D772EBBC-F367-4E67-A5DE-FC2B52DD4967}" name="DRB%" dataDxfId="51" dataCellStyle="Percent"/>
    <tableColumn id="18" xr3:uid="{281D0385-75A2-4303-A6FF-684FB8EB8177}" name="AST/TOV" dataDxfId="50" dataCellStyle="Normal"/>
    <tableColumn id="19" xr3:uid="{4B071E7C-EC31-4326-8A4D-DB06A290462B}" name="STL/G" dataDxfId="49" dataCellStyle="Normal"/>
    <tableColumn id="20" xr3:uid="{41790388-9A7F-4791-B8ED-353AC568532E}" name="BLK/G" dataDxfId="48" dataCellStyle="Normal"/>
    <tableColumn id="21" xr3:uid="{D0C6D671-5CE7-4F2A-BE72-FE6B371DE0BB}" name="HKM%" dataDxfId="47" dataCellStyle="Percent"/>
    <tableColumn id="22" xr3:uid="{5A4F6955-72CA-4DA3-AC2D-770D582460BE}" name="TOV/G" dataDxfId="46" dataCellStyle="Normal"/>
    <tableColumn id="23" xr3:uid="{862EDA9F-6CBF-468D-BD25-E872C979DBD1}" name="PF/G" dataDxfId="45" dataCellStyle="Normal"/>
    <tableColumn id="24" xr3:uid="{C391D27F-ADC4-4ED8-867B-10DBD063B8DB}" name="FGA/G" dataDxfId="44" dataCellStyle="Normal"/>
    <tableColumn id="25" xr3:uid="{2CA7BA4B-F6B7-46AA-9C65-E8ABF5FC30B2}" name="FG%" dataDxfId="43" dataCellStyle="Percent"/>
    <tableColumn id="26" xr3:uid="{1BA1764D-9027-45EA-AC57-79CB9BEA04DF}" name="3PA/G" dataDxfId="42" dataCellStyle="Normal"/>
    <tableColumn id="27" xr3:uid="{6A430C51-B21A-40F6-9CDB-E67217A1E9A1}" name="3P%" dataDxfId="41" dataCellStyle="Percent"/>
    <tableColumn id="28" xr3:uid="{ED6991DC-37F2-4CD3-8BF0-E1B849B265BE}" name="FTA/G" dataDxfId="40" dataCellStyle="Normal"/>
    <tableColumn id="29" xr3:uid="{38C4A536-13B4-44C1-8D72-4D4427783D22}" name="FT%" dataDxfId="39" dataCellStyle="Percent"/>
    <tableColumn id="30" xr3:uid="{A031D3D2-6A78-49B6-8146-6BB3D9083621}" name="EFG%" dataDxfId="38" dataCellStyle="Percent"/>
    <tableColumn id="31" xr3:uid="{BE8321C7-9855-4C3E-9246-62E8CAFBFACD}" name="TS%" dataDxfId="37" dataCellStyle="Percent"/>
    <tableColumn id="32" xr3:uid="{2820705D-55D6-4EA9-82E6-0068CB5ED132}" name="WS" dataDxfId="36" dataCellStyle="Normal"/>
    <tableColumn id="33" xr3:uid="{643FC927-07E1-49F2-ADD7-BDBF11146741}" name="OFF WS" dataDxfId="35" dataCellStyle="Normal"/>
    <tableColumn id="34" xr3:uid="{0C885974-DFED-4217-862D-FF36F3138C11}" name="DEF WS" dataDxfId="34" dataCellStyle="Normal"/>
    <tableColumn id="35" xr3:uid="{EBE8ED62-2A8E-4C44-919E-4BE06B08166F}" name="OFF RTG" dataDxfId="33" dataCellStyle="Normal"/>
    <tableColumn id="36" xr3:uid="{FDFE0229-1806-4731-B9CE-ACDA2A298238}" name="DEF RTG" dataDxfId="32" dataCellStyle="Normal"/>
    <tableColumn id="37" xr3:uid="{D2C50726-131B-48FF-9E14-7BC48881E9AD}" name="NET RTG" dataDxfId="31" dataCellStyle="Normal">
      <calculatedColumnFormula>Table12[[#This Row],[OFF RTG]]-Table12[[#This Row],[DEF RTG]]</calculatedColumnFormula>
    </tableColumn>
    <tableColumn id="38" xr3:uid="{C12FF382-45EC-4A04-8398-081B0C3E9E73}" name="USG%" dataDxfId="30" dataCellStyle="Percent"/>
    <tableColumn id="39" xr3:uid="{FB0054E1-C0D5-4B2B-BA5E-DF58B75A36CB}" name="PLUS/MINUS" dataCellStyle="Normal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92D38A-F92D-4FD9-8F62-04D092D52994}" name="Table13" displayName="Table13" ref="A27:AO79" totalsRowShown="0" headerRowCellStyle="Normal" dataCellStyle="Normal">
  <autoFilter ref="A27:AO79" xr:uid="{7492D38A-F92D-4FD9-8F62-04D092D52994}"/>
  <sortState xmlns:xlrd2="http://schemas.microsoft.com/office/spreadsheetml/2017/richdata2" ref="A28:AO79">
    <sortCondition ref="C27:C79"/>
  </sortState>
  <tableColumns count="41">
    <tableColumn id="1" xr3:uid="{DDED33C1-F254-41C7-8260-1F8961E6CAC9}" name="First Name" dataCellStyle="Normal"/>
    <tableColumn id="2" xr3:uid="{D2C0D734-4494-4888-85BE-E5556486253F}" name="Last Name" dataCellStyle="Normal"/>
    <tableColumn id="3" xr3:uid="{AF91E7E9-A5A9-4C3B-9D21-94157A7AE819}" name="Year" dataCellStyle="Normal"/>
    <tableColumn id="4" xr3:uid="{18C64B01-B1DF-4BAD-9346-F39C5BC7977C}" name="Team Transferred From" dataCellStyle="Normal"/>
    <tableColumn id="5" xr3:uid="{8643FC0E-C8B9-41E1-A21B-A2D4A18520B8}" name="Conference Then" dataCellStyle="Normal"/>
    <tableColumn id="6" xr3:uid="{6D122CAF-06FE-4BDC-ABB7-8EB27E7A611B}" name="Division" dataCellStyle="Normal"/>
    <tableColumn id="7" xr3:uid="{6A64C489-A032-4B0D-B117-E27F9DC2CD38}" name="Team Transferred To" dataCellStyle="Normal"/>
    <tableColumn id="8" xr3:uid="{DCA2C3B5-8B97-4184-96A5-F060ABD1C5DF}" name="Conference Now" dataCellStyle="Normal"/>
    <tableColumn id="9" xr3:uid="{1A63C6D1-AED6-46FA-84E4-62009AE8BEF0}" name="Division2" dataCellStyle="Normal"/>
    <tableColumn id="10" xr3:uid="{64F93635-EDB0-4C00-B082-AAFD03B3DCC4}" name="Position" dataCellStyle="Normal"/>
    <tableColumn id="11" xr3:uid="{DD17A165-D210-49AD-9D47-F0D1F88FDB4C}" name="Height" dataCellStyle="Normal"/>
    <tableColumn id="12" xr3:uid="{8FEAA8BB-99A7-4334-A9B5-A980D20E5D9E}" name="GP" dataCellStyle="Normal"/>
    <tableColumn id="13" xr3:uid="{648FB781-D9BC-41CF-A7F5-8035F5B30CE1}" name="Minutes" dataCellStyle="Normal"/>
    <tableColumn id="14" xr3:uid="{6C118914-82D4-4ADF-9474-019133984627}" name="PTS/G" dataDxfId="29" dataCellStyle="Normal"/>
    <tableColumn id="15" xr3:uid="{2C846EF7-ACEC-4428-AF21-FFFEEB720E1F}" name="REB/G" dataDxfId="28" dataCellStyle="Normal"/>
    <tableColumn id="16" xr3:uid="{58ECBCE7-2811-412D-BC89-C76BAE5C3555}" name="ORB%" dataDxfId="27" dataCellStyle="Percent"/>
    <tableColumn id="17" xr3:uid="{B955E3EF-B9C1-4DB7-AA50-FACBBF1F26F3}" name="DRB%" dataDxfId="26" dataCellStyle="Percent"/>
    <tableColumn id="18" xr3:uid="{957FB532-E7EF-4433-8134-32FD82056718}" name="AST/G" dataDxfId="25" dataCellStyle="Normal"/>
    <tableColumn id="19" xr3:uid="{EA33E08D-50AD-4204-875D-FD34EF6A8363}" name="AST/TOV" dataDxfId="24" dataCellStyle="Normal"/>
    <tableColumn id="20" xr3:uid="{8A9F8F37-B320-406C-B268-B57FD744D7F7}" name="AST%" dataDxfId="23" dataCellStyle="Percent"/>
    <tableColumn id="21" xr3:uid="{59B18687-4A2A-4085-83D4-93615357BCDC}" name="STL/G" dataDxfId="22" dataCellStyle="Normal"/>
    <tableColumn id="22" xr3:uid="{0B0E5892-A9A5-4145-89E4-D8EA80432199}" name="BLK/G" dataDxfId="21" dataCellStyle="Normal"/>
    <tableColumn id="23" xr3:uid="{27D37F4E-711B-4DE6-948E-98F8EC877FE2}" name="HKM%" dataDxfId="20" dataCellStyle="Percent"/>
    <tableColumn id="24" xr3:uid="{F7840504-31F2-4F89-AFA1-60C893996BB1}" name="TOV/G" dataDxfId="19" dataCellStyle="Normal"/>
    <tableColumn id="25" xr3:uid="{4CB1EAE0-4361-4101-8FC9-58A27B26C0F3}" name="PF/G" dataDxfId="18" dataCellStyle="Normal"/>
    <tableColumn id="26" xr3:uid="{DD44D40C-0624-451D-A2A4-EC03C8EB6089}" name="FGA/G" dataDxfId="17" dataCellStyle="Normal"/>
    <tableColumn id="27" xr3:uid="{20AF1132-2E4F-4D44-9741-83CA5F985367}" name="FG%" dataDxfId="16" dataCellStyle="Percent"/>
    <tableColumn id="28" xr3:uid="{90AA7D60-E280-4847-B94B-8DBD9E14252D}" name="3PA/G" dataDxfId="15" dataCellStyle="Normal"/>
    <tableColumn id="29" xr3:uid="{55E81099-75CA-4B4B-A5BF-EB53D5D11B94}" name="3P%" dataDxfId="14" dataCellStyle="Percent"/>
    <tableColumn id="30" xr3:uid="{9DA19E18-9E82-4E14-92FD-19E04511F3A8}" name="FTA/G" dataDxfId="13" dataCellStyle="Normal"/>
    <tableColumn id="31" xr3:uid="{926EB0D6-F025-4DF1-A350-32178943A536}" name="FT%" dataDxfId="12" dataCellStyle="Percent"/>
    <tableColumn id="32" xr3:uid="{EF5363A5-5154-4BFC-A9BD-6FAC91C7EF2A}" name="EFG%" dataDxfId="11" dataCellStyle="Percent"/>
    <tableColumn id="33" xr3:uid="{52CA7A24-1F70-498E-9D82-FBA06FCF71F9}" name="TS%" dataDxfId="10" dataCellStyle="Percent"/>
    <tableColumn id="34" xr3:uid="{A73DC658-F33B-47E7-ACA7-14B95FCA7099}" name="WS" dataDxfId="9" dataCellStyle="Normal"/>
    <tableColumn id="35" xr3:uid="{FE1BDFA3-2157-437C-88CF-733C9E59F011}" name="OFF WS" dataDxfId="8" dataCellStyle="Normal"/>
    <tableColumn id="36" xr3:uid="{EBDF74C8-D196-4A9C-A036-E715006EF471}" name="DEF WS" dataDxfId="7" dataCellStyle="Normal"/>
    <tableColumn id="37" xr3:uid="{DF5253B3-F10A-4353-86D7-413B56D6C1AA}" name="OFF RTG" dataDxfId="6" dataCellStyle="Normal"/>
    <tableColumn id="38" xr3:uid="{AECFF2B4-9A97-42F1-8A77-23E159373142}" name="DEF RTG" dataDxfId="5" dataCellStyle="Normal"/>
    <tableColumn id="39" xr3:uid="{124A1DFD-BCE7-487A-80FD-4B75AFB757D6}" name="NET RTG" dataDxfId="4" dataCellStyle="Normal">
      <calculatedColumnFormula>Table13[[#This Row],[OFF RTG]]-Table13[[#This Row],[DEF RTG]]</calculatedColumnFormula>
    </tableColumn>
    <tableColumn id="40" xr3:uid="{22FAB6B6-FEF1-414C-80E4-2D8BAFF07E0E}" name="USG%" dataDxfId="3" dataCellStyle="Percent"/>
    <tableColumn id="41" xr3:uid="{B6F26A0B-B3D6-4F66-95B7-0D5AD18CC160}" name="PLUS/MINUS" dataCellStyle="Normal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5FCFDB-46EE-40DA-A253-E25EA49DECEF}" name="Table16" displayName="Table16" ref="AS1:AT29" totalsRowShown="0">
  <autoFilter ref="AS1:AT29" xr:uid="{B65FCFDB-46EE-40DA-A253-E25EA49DECEF}"/>
  <tableColumns count="2">
    <tableColumn id="1" xr3:uid="{A5FD2493-4F64-4E14-968E-D2427FC09542}" name="Data Dictionary"/>
    <tableColumn id="2" xr3:uid="{1C6816D0-740E-46A4-9226-F5FE540B0FF3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0FE987-CBCE-4B2A-A0C9-1BD82A892047}" name="Table2" displayName="Table2" ref="N1:O6" totalsRowShown="0" headerRowDxfId="146">
  <autoFilter ref="N1:O6" xr:uid="{5D0FE987-CBCE-4B2A-A0C9-1BD82A892047}"/>
  <tableColumns count="2">
    <tableColumn id="1" xr3:uid="{2996D301-9C36-4F4F-A2C8-C314128336F5}" name="Dictionary"/>
    <tableColumn id="2" xr3:uid="{308DE666-78C5-4D5B-8B55-10BAD3064975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9FCBFC-23DC-4161-BBBC-58ED801FDD19}" name="Table4" displayName="Table4" ref="M1:N6" totalsRowShown="0" headerRowDxfId="145">
  <autoFilter ref="M1:N6" xr:uid="{0F9FCBFC-23DC-4161-BBBC-58ED801FDD19}"/>
  <tableColumns count="2">
    <tableColumn id="1" xr3:uid="{6D2138CD-EDBF-499B-A405-E7081730F68E}" name="Data Dictionary"/>
    <tableColumn id="2" xr3:uid="{89C23857-139C-44A0-9FB4-143C06C1C909}" name="Descrip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01E418-9A79-4E31-9870-DE804029E33C}" name="Rebounds" displayName="Rebounds" ref="A1:E97" totalsRowShown="0" dataDxfId="144">
  <autoFilter ref="A1:E97" xr:uid="{BD01E418-9A79-4E31-9870-DE804029E33C}"/>
  <tableColumns count="5">
    <tableColumn id="1" xr3:uid="{9095452E-D4ED-4A9D-AAED-616DB180F4AF}" name="Practice" dataDxfId="143"/>
    <tableColumn id="2" xr3:uid="{98A0A1D0-4C46-42ED-AAD6-CF260A5CB05C}" name="Player" dataDxfId="142"/>
    <tableColumn id="3" xr3:uid="{A99ECF8E-C1DF-461C-87F4-8045B477AACC}" name="Offensive" dataDxfId="141"/>
    <tableColumn id="4" xr3:uid="{0C36D451-9647-469D-9C02-611579A181F6}" name="Defensive" dataDxfId="140"/>
    <tableColumn id="5" xr3:uid="{24E536F4-207A-4DE6-B37F-7F33230F6DB7}" name="Location" dataDxfId="13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E49442-2DFF-4A6E-B148-5C48F450DF0D}" name="SeasonPER" displayName="SeasonPER" ref="A2:P16" totalsRowShown="0" headerRowDxfId="138">
  <autoFilter ref="A2:P16" xr:uid="{99E49442-2DFF-4A6E-B148-5C48F450DF0D}"/>
  <sortState xmlns:xlrd2="http://schemas.microsoft.com/office/spreadsheetml/2017/richdata2" ref="A3:P16">
    <sortCondition ref="B2:B16"/>
  </sortState>
  <tableColumns count="16">
    <tableColumn id="1" xr3:uid="{31F8D358-96EA-42D7-A0F8-9B07FFE28A8E}" name="Player"/>
    <tableColumn id="2" xr3:uid="{C3BBA1AB-B422-4F72-B1BF-CC8A929044BB}" name="Number" dataDxfId="137"/>
    <tableColumn id="3" xr3:uid="{82EC4455-A004-4069-B09A-1D986851C79A}" name="Minutes" dataDxfId="136"/>
    <tableColumn id="4" xr3:uid="{4E3FC54F-E3A0-4673-9055-0FDFACEF6817}" name="Fouls" dataDxfId="135"/>
    <tableColumn id="5" xr3:uid="{50AAD67B-56A7-4956-A064-72A04474A27A}" name="FG"/>
    <tableColumn id="6" xr3:uid="{DAA51DD7-02E9-4FFF-86B9-1B8D1700D2A1}" name="FGM"/>
    <tableColumn id="7" xr3:uid="{9E8B9E78-BF52-410C-8DAB-EE81FAB7535C}" name="3P"/>
    <tableColumn id="8" xr3:uid="{43C79A6C-E6B1-4FD1-8E32-96EF84F2C640}" name="FT"/>
    <tableColumn id="9" xr3:uid="{58A07CAA-76EF-474F-BE26-494F4E4F1F99}" name="FTM" dataDxfId="134"/>
    <tableColumn id="10" xr3:uid="{71E8CD77-C904-47B9-9DC0-359856C1C8E4}" name="Assists"/>
    <tableColumn id="11" xr3:uid="{7916D615-FD96-4D36-85CB-06CEFCCE6E09}" name="OR" dataDxfId="133"/>
    <tableColumn id="12" xr3:uid="{CB0B030F-7390-4896-B244-802F56DA5C3A}" name="DR" dataDxfId="132"/>
    <tableColumn id="13" xr3:uid="{120651EE-3F06-41A8-934F-0B26E2B62C96}" name="Steals"/>
    <tableColumn id="14" xr3:uid="{EC88EC49-BCE3-4044-B58A-587FD5CDB63A}" name="Blocks"/>
    <tableColumn id="15" xr3:uid="{831FB66A-D14C-4154-8854-3F6053F1AD24}" name="TO" dataDxfId="131"/>
    <tableColumn id="16" xr3:uid="{36F8BFCB-5104-4747-ACE3-51AE28215A94}" name="PER" dataDxfId="130">
      <calculatedColumnFormula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C70317-F346-4654-8FB5-53EFB9D0AE93}" name="ConfPER" displayName="ConfPER" ref="S2:AH13" totalsRowShown="0" headerRowDxfId="129" headerRowBorderDxfId="128" tableBorderDxfId="127">
  <autoFilter ref="S2:AH13" xr:uid="{77C70317-F346-4654-8FB5-53EFB9D0AE93}"/>
  <sortState xmlns:xlrd2="http://schemas.microsoft.com/office/spreadsheetml/2017/richdata2" ref="S3:AH13">
    <sortCondition ref="T2:T13"/>
  </sortState>
  <tableColumns count="16">
    <tableColumn id="1" xr3:uid="{CFF4A303-7B95-4CBC-9778-7C9451A81B03}" name="Player"/>
    <tableColumn id="2" xr3:uid="{4EA43449-FA9F-4453-B02A-5B962EA31AE6}" name="Number"/>
    <tableColumn id="3" xr3:uid="{9737F823-89F0-4F60-B90F-E227258853FD}" name="Minutes" dataDxfId="126"/>
    <tableColumn id="4" xr3:uid="{B16036F2-37C0-4591-9769-FDA49A9E7F1F}" name="Fouls" dataDxfId="125"/>
    <tableColumn id="5" xr3:uid="{5FE78DAD-B14E-4A98-8395-B4C122A39D75}" name="FG" dataDxfId="124"/>
    <tableColumn id="6" xr3:uid="{55DF7D49-2B20-4F4A-82F8-B4385C0B1F61}" name="FGM"/>
    <tableColumn id="7" xr3:uid="{187F7034-A8B2-43F6-B3D8-8FCA71FC0852}" name="3P"/>
    <tableColumn id="8" xr3:uid="{DC439F62-D2FD-4C42-961C-743A6EDBFA8F}" name="FT"/>
    <tableColumn id="9" xr3:uid="{60EA9D7F-C59E-43E7-B2E1-0BD732113934}" name="FTM"/>
    <tableColumn id="10" xr3:uid="{5FA969F1-2A74-4CF4-9035-C0AA5C436532}" name="Assists"/>
    <tableColumn id="11" xr3:uid="{D307B060-5A0D-4C8E-A84B-F626C7CE6BB2}" name="OR" dataDxfId="123"/>
    <tableColumn id="12" xr3:uid="{B1E59014-B7D1-47A2-BFE4-CE0F6B004781}" name="DR" dataDxfId="122"/>
    <tableColumn id="13" xr3:uid="{1F188A73-0C3C-4BD5-B0FD-54A4A67361A7}" name="Steals"/>
    <tableColumn id="14" xr3:uid="{1224C270-91E6-4256-A4A3-76FFF9179CA2}" name="Blocks"/>
    <tableColumn id="15" xr3:uid="{A5C06CCD-5E6E-4963-979A-87FA4A824DDC}" name="TO"/>
    <tableColumn id="16" xr3:uid="{9199D8A6-F0C9-4156-8737-CE2F9344B2DF}" name="PER" dataDxfId="121">
      <calculatedColumnFormula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648E28-2F69-4268-91A5-AD3644D5494A}" name="WPER" displayName="WPER" ref="AK2:AZ16" totalsRowShown="0" headerRowDxfId="120">
  <autoFilter ref="AK2:AZ16" xr:uid="{FA648E28-2F69-4268-91A5-AD3644D5494A}"/>
  <tableColumns count="16">
    <tableColumn id="1" xr3:uid="{C926156B-AD22-40BD-867C-1714F18FA162}" name="Player" dataDxfId="119"/>
    <tableColumn id="2" xr3:uid="{800D7C7A-781A-4A82-8F81-431C545F764B}" name="Number" dataDxfId="118"/>
    <tableColumn id="3" xr3:uid="{9865120F-3E6D-4A94-B1C0-A3D247CDAC6A}" name="Minutes"/>
    <tableColumn id="4" xr3:uid="{0AF02F3E-610F-488A-932A-E28A46476A24}" name="Fouls" dataDxfId="117"/>
    <tableColumn id="5" xr3:uid="{244F31F2-532F-4946-BB70-4BDB8146A5BB}" name="FG" dataDxfId="116"/>
    <tableColumn id="6" xr3:uid="{938C90E8-DD10-4112-8671-612E7D89E601}" name="FGM"/>
    <tableColumn id="7" xr3:uid="{9A0FEC46-EC43-4F21-93D3-E6AE45FCDA31}" name="3P"/>
    <tableColumn id="8" xr3:uid="{3B02BE56-D0CE-4A5D-8D44-9C2BB890EB11}" name="FT"/>
    <tableColumn id="9" xr3:uid="{E5216932-7354-4B84-8D2F-57340F9BFFEE}" name="FTM"/>
    <tableColumn id="10" xr3:uid="{95BD4E44-1D86-4E92-BC0E-EC8C8EFB8E34}" name="Assists"/>
    <tableColumn id="11" xr3:uid="{C9EABECC-9E41-4612-9D67-59DC5ECE2F18}" name="OR" dataDxfId="115"/>
    <tableColumn id="12" xr3:uid="{490437E1-352E-4B28-BFAE-B75ED62AC578}" name="DR" dataDxfId="114"/>
    <tableColumn id="13" xr3:uid="{F3295145-A36F-4770-BEE1-F04E3EF07653}" name="Steals"/>
    <tableColumn id="14" xr3:uid="{8DD91E95-4F6D-4507-B149-9A2468AC474B}" name="Blocks"/>
    <tableColumn id="15" xr3:uid="{B1AC8DCC-3DCA-4BD6-9361-79F0004D4FCB}" name="TO" dataDxfId="113"/>
    <tableColumn id="16" xr3:uid="{6CE1FD42-EAD7-4688-BB40-3ED2C354826E}" name="PER" dataDxfId="112">
      <calculatedColumnFormula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FFB004-F1D4-4C63-A416-F084CCFCF354}" name="LPER" displayName="LPER" ref="BC2:BR16" totalsRowShown="0" headerRowDxfId="111">
  <autoFilter ref="BC2:BR16" xr:uid="{E4FFB004-F1D4-4C63-A416-F084CCFCF354}"/>
  <tableColumns count="16">
    <tableColumn id="1" xr3:uid="{2ABBF04D-326C-460A-B865-A0A4385C81FA}" name="Player" dataDxfId="110"/>
    <tableColumn id="2" xr3:uid="{079AAC64-09C4-4338-B1C2-E70FD0334C74}" name="Number" dataDxfId="109"/>
    <tableColumn id="3" xr3:uid="{71E8788F-BB11-4A20-B1B6-FEF6B2328F49}" name="Minutes" dataDxfId="108">
      <calculatedColumnFormula>SeasonPER[[#This Row],[Minutes]]-WPER[[#This Row],[Minutes]]</calculatedColumnFormula>
    </tableColumn>
    <tableColumn id="4" xr3:uid="{23837718-EBF1-48C5-B782-9E42504C2FA6}" name="Fouls" dataDxfId="107">
      <calculatedColumnFormula>SeasonPER[[#This Row],[Fouls]]-WPER[[#This Row],[Fouls]]</calculatedColumnFormula>
    </tableColumn>
    <tableColumn id="5" xr3:uid="{94D6D865-8DBA-47EB-B83E-8E6363EAEB6D}" name="FG">
      <calculatedColumnFormula>SeasonPER[[#This Row],[FG]]-WPER[[#This Row],[FG]]</calculatedColumnFormula>
    </tableColumn>
    <tableColumn id="6" xr3:uid="{F30DBFB1-E73D-4DB1-A053-1F584CBC8BA2}" name="FGM">
      <calculatedColumnFormula>SeasonPER[[#This Row],[FGM]]-WPER[[#This Row],[FGM]]</calculatedColumnFormula>
    </tableColumn>
    <tableColumn id="7" xr3:uid="{7B462BA2-AA24-4F7E-B2DE-5737F551D545}" name="3P">
      <calculatedColumnFormula>SeasonPER[[#This Row],[3P]]-WPER[[#This Row],[3P]]</calculatedColumnFormula>
    </tableColumn>
    <tableColumn id="8" xr3:uid="{BFC1A8F3-39F8-4FF6-AC75-8FA568B9F06E}" name="FT">
      <calculatedColumnFormula>SeasonPER[[#This Row],[FT]]-WPER[[#This Row],[FT]]</calculatedColumnFormula>
    </tableColumn>
    <tableColumn id="9" xr3:uid="{F07ED1C8-5A8E-4395-B039-DBD91F89E83D}" name="FTM">
      <calculatedColumnFormula>SeasonPER[[#This Row],[FTM]]-WPER[[#This Row],[FTM]]</calculatedColumnFormula>
    </tableColumn>
    <tableColumn id="10" xr3:uid="{25D83327-17E9-4AAC-BCA8-44DE1CC58E77}" name="Assists">
      <calculatedColumnFormula>SeasonPER[[#This Row],[Assists]]-WPER[[#This Row],[Assists]]</calculatedColumnFormula>
    </tableColumn>
    <tableColumn id="11" xr3:uid="{5DD7765C-F253-4AC4-87DF-1469D1387225}" name="OR" dataDxfId="106">
      <calculatedColumnFormula>SeasonPER[[#This Row],[OR]]-WPER[[#This Row],[OR]]</calculatedColumnFormula>
    </tableColumn>
    <tableColumn id="12" xr3:uid="{F8ECC835-3EAF-4194-9740-B6C59811D58C}" name="DR">
      <calculatedColumnFormula>SeasonPER[[#This Row],[DR]]-WPER[[#This Row],[DR]]</calculatedColumnFormula>
    </tableColumn>
    <tableColumn id="13" xr3:uid="{AD9D1282-013E-47D7-A339-3770E768AADB}" name="Steals">
      <calculatedColumnFormula>SeasonPER[[#This Row],[Steals]]-WPER[[#This Row],[Steals]]</calculatedColumnFormula>
    </tableColumn>
    <tableColumn id="14" xr3:uid="{A8DF2AA8-BAF1-4F55-B8B2-6722A38F8674}" name="Blocks">
      <calculatedColumnFormula>SeasonPER[[#This Row],[Blocks]]-WPER[[#This Row],[Blocks]]</calculatedColumnFormula>
    </tableColumn>
    <tableColumn id="15" xr3:uid="{875E81DE-EC44-425B-AD26-CBBB70711207}" name="TO" dataDxfId="105">
      <calculatedColumnFormula>SeasonPER[[#This Row],[TO]]-WPER[[#This Row],[TO]]</calculatedColumnFormula>
    </tableColumn>
    <tableColumn id="16" xr3:uid="{EBA6CEA9-19DF-4FFA-B861-DB4137291FBE}" name="PER" dataDxfId="104">
      <calculatedColumnFormula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B0E090-8EC0-40B0-87CA-2D885DB3D137}" name="Table315" displayName="Table315" ref="Q19:R28" totalsRowShown="0">
  <autoFilter ref="Q19:R28" xr:uid="{05B0E090-8EC0-40B0-87CA-2D885DB3D137}"/>
  <tableColumns count="2">
    <tableColumn id="1" xr3:uid="{8AE0DD95-4A32-48F4-9E13-2DDEB847D11C}" name="Data Dictionary"/>
    <tableColumn id="2" xr3:uid="{ABC6753C-6A65-4929-8931-91208E0681CB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926B-143B-41DC-A9CF-066B50E178E5}">
  <dimension ref="A1:O32"/>
  <sheetViews>
    <sheetView workbookViewId="0">
      <selection activeCell="G34" sqref="G34"/>
    </sheetView>
  </sheetViews>
  <sheetFormatPr defaultRowHeight="14.5" x14ac:dyDescent="0.35"/>
  <cols>
    <col min="1" max="1" width="12.26953125" bestFit="1" customWidth="1"/>
    <col min="2" max="2" width="13.54296875" bestFit="1" customWidth="1"/>
    <col min="3" max="3" width="8.453125" bestFit="1" customWidth="1"/>
    <col min="4" max="4" width="7.54296875" bestFit="1" customWidth="1"/>
    <col min="5" max="5" width="8.7265625" bestFit="1" customWidth="1"/>
    <col min="6" max="6" width="15.453125" bestFit="1" customWidth="1"/>
    <col min="14" max="14" width="14" bestFit="1" customWidth="1"/>
    <col min="15" max="15" width="41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N1" s="3" t="s">
        <v>5</v>
      </c>
      <c r="O1" s="3" t="s">
        <v>6</v>
      </c>
    </row>
    <row r="2" spans="1:15" x14ac:dyDescent="0.35">
      <c r="A2" s="2">
        <v>45534</v>
      </c>
      <c r="B2" s="1" t="s">
        <v>7</v>
      </c>
      <c r="C2" s="1"/>
      <c r="D2" s="1"/>
      <c r="E2" s="1"/>
      <c r="F2" s="35" t="s">
        <v>8</v>
      </c>
      <c r="G2" s="35"/>
      <c r="N2" t="s">
        <v>0</v>
      </c>
      <c r="O2" t="s">
        <v>9</v>
      </c>
    </row>
    <row r="3" spans="1:15" x14ac:dyDescent="0.35">
      <c r="A3" s="2">
        <v>45534</v>
      </c>
      <c r="B3" s="1" t="s">
        <v>10</v>
      </c>
      <c r="C3" s="1"/>
      <c r="D3" s="1"/>
      <c r="E3" s="1"/>
      <c r="N3" t="s">
        <v>1</v>
      </c>
      <c r="O3" t="s">
        <v>11</v>
      </c>
    </row>
    <row r="4" spans="1:15" x14ac:dyDescent="0.35">
      <c r="A4" s="2">
        <v>45538</v>
      </c>
      <c r="B4" s="1" t="s">
        <v>12</v>
      </c>
      <c r="C4" s="1"/>
      <c r="D4" s="1"/>
      <c r="E4" s="1"/>
      <c r="N4" t="s">
        <v>2</v>
      </c>
      <c r="O4" t="s">
        <v>13</v>
      </c>
    </row>
    <row r="5" spans="1:15" x14ac:dyDescent="0.35">
      <c r="A5" s="2">
        <v>45538</v>
      </c>
      <c r="B5" s="1" t="s">
        <v>12</v>
      </c>
      <c r="C5" s="1"/>
      <c r="D5" s="1"/>
      <c r="E5" s="1"/>
      <c r="N5" t="s">
        <v>3</v>
      </c>
      <c r="O5" t="s">
        <v>14</v>
      </c>
    </row>
    <row r="6" spans="1:15" x14ac:dyDescent="0.35">
      <c r="A6" s="2">
        <v>45538</v>
      </c>
      <c r="B6" s="1" t="s">
        <v>12</v>
      </c>
      <c r="C6" s="1"/>
      <c r="D6" s="1"/>
      <c r="E6" s="1"/>
      <c r="N6" t="s">
        <v>4</v>
      </c>
      <c r="O6" t="s">
        <v>15</v>
      </c>
    </row>
    <row r="7" spans="1:15" x14ac:dyDescent="0.35">
      <c r="A7" s="2">
        <v>45538</v>
      </c>
      <c r="B7" s="1" t="s">
        <v>16</v>
      </c>
      <c r="C7" s="1"/>
      <c r="D7" s="1"/>
      <c r="E7" s="1"/>
    </row>
    <row r="8" spans="1:15" x14ac:dyDescent="0.35">
      <c r="A8" s="2">
        <v>45538</v>
      </c>
      <c r="B8" s="1" t="s">
        <v>16</v>
      </c>
      <c r="C8" s="1"/>
      <c r="D8" s="1"/>
      <c r="E8" s="1"/>
    </row>
    <row r="9" spans="1:15" x14ac:dyDescent="0.35">
      <c r="A9" s="2">
        <v>45541</v>
      </c>
      <c r="B9" s="1" t="s">
        <v>12</v>
      </c>
      <c r="C9" s="1">
        <v>2</v>
      </c>
      <c r="D9" s="1">
        <v>1</v>
      </c>
      <c r="E9" s="1">
        <v>0</v>
      </c>
    </row>
    <row r="10" spans="1:15" x14ac:dyDescent="0.35">
      <c r="A10" s="2">
        <v>45541</v>
      </c>
      <c r="B10" s="1" t="s">
        <v>12</v>
      </c>
      <c r="C10" s="1">
        <v>0</v>
      </c>
      <c r="D10" s="1">
        <v>1</v>
      </c>
      <c r="E10" s="1">
        <v>1</v>
      </c>
    </row>
    <row r="11" spans="1:15" x14ac:dyDescent="0.35">
      <c r="A11" s="2">
        <v>45541</v>
      </c>
      <c r="B11" s="1" t="s">
        <v>17</v>
      </c>
      <c r="C11" s="1"/>
      <c r="D11" s="1"/>
      <c r="E11" s="1"/>
    </row>
    <row r="12" spans="1:15" x14ac:dyDescent="0.35">
      <c r="A12" s="2">
        <v>45541</v>
      </c>
      <c r="B12" s="1" t="s">
        <v>18</v>
      </c>
      <c r="C12" s="1">
        <v>3</v>
      </c>
      <c r="D12" s="1">
        <v>0</v>
      </c>
      <c r="E12" s="1">
        <v>0</v>
      </c>
    </row>
    <row r="13" spans="1:15" x14ac:dyDescent="0.35">
      <c r="A13" s="2">
        <v>45541</v>
      </c>
      <c r="B13" s="1" t="s">
        <v>19</v>
      </c>
      <c r="C13" s="1">
        <v>2</v>
      </c>
      <c r="D13" s="1">
        <v>0</v>
      </c>
      <c r="E13" s="1">
        <v>0</v>
      </c>
    </row>
    <row r="14" spans="1:15" x14ac:dyDescent="0.35">
      <c r="A14" s="2">
        <v>45541</v>
      </c>
      <c r="B14" s="1" t="s">
        <v>16</v>
      </c>
      <c r="C14" s="1">
        <v>0</v>
      </c>
      <c r="D14" s="1">
        <v>0</v>
      </c>
      <c r="E14" s="1">
        <v>0</v>
      </c>
    </row>
    <row r="15" spans="1:15" x14ac:dyDescent="0.35">
      <c r="A15" s="2">
        <v>45541</v>
      </c>
      <c r="B15" s="1" t="s">
        <v>7</v>
      </c>
      <c r="C15" s="1">
        <v>2</v>
      </c>
      <c r="D15" s="1">
        <v>1</v>
      </c>
      <c r="E15" s="1">
        <v>0</v>
      </c>
    </row>
    <row r="16" spans="1:15" x14ac:dyDescent="0.35">
      <c r="A16" s="2">
        <v>45545</v>
      </c>
      <c r="B16" s="1" t="s">
        <v>20</v>
      </c>
      <c r="C16" s="1">
        <v>0</v>
      </c>
      <c r="D16" s="1">
        <v>0</v>
      </c>
      <c r="E16" s="1">
        <v>0</v>
      </c>
    </row>
    <row r="17" spans="1:10" x14ac:dyDescent="0.35">
      <c r="A17" s="2">
        <v>45545</v>
      </c>
      <c r="B17" s="1" t="s">
        <v>16</v>
      </c>
      <c r="C17" s="1">
        <v>0</v>
      </c>
      <c r="D17" s="1">
        <v>0</v>
      </c>
      <c r="E17" s="1">
        <v>0</v>
      </c>
    </row>
    <row r="18" spans="1:10" x14ac:dyDescent="0.35">
      <c r="A18" s="2">
        <v>45545</v>
      </c>
      <c r="B18" s="1" t="s">
        <v>7</v>
      </c>
      <c r="C18" s="1">
        <v>0</v>
      </c>
      <c r="D18" s="1">
        <v>0</v>
      </c>
      <c r="E18" s="1">
        <v>0</v>
      </c>
    </row>
    <row r="19" spans="1:10" x14ac:dyDescent="0.35">
      <c r="A19" s="2">
        <v>45547</v>
      </c>
      <c r="B19" s="1" t="s">
        <v>21</v>
      </c>
      <c r="C19" s="1">
        <v>3</v>
      </c>
      <c r="D19" s="1">
        <v>0</v>
      </c>
      <c r="E19" s="1">
        <v>0</v>
      </c>
    </row>
    <row r="20" spans="1:10" x14ac:dyDescent="0.35">
      <c r="A20" s="2">
        <v>45547</v>
      </c>
      <c r="B20" s="1" t="s">
        <v>19</v>
      </c>
      <c r="C20" s="1">
        <v>0</v>
      </c>
      <c r="D20" s="1">
        <v>0</v>
      </c>
      <c r="E20" s="1">
        <v>0</v>
      </c>
    </row>
    <row r="21" spans="1:10" x14ac:dyDescent="0.35">
      <c r="A21" s="2">
        <v>45547</v>
      </c>
      <c r="B21" s="1" t="s">
        <v>20</v>
      </c>
      <c r="C21" s="1">
        <v>0</v>
      </c>
      <c r="D21" s="1">
        <v>0</v>
      </c>
      <c r="E21" s="1">
        <v>0</v>
      </c>
    </row>
    <row r="22" spans="1:10" x14ac:dyDescent="0.35">
      <c r="A22" s="2">
        <v>45547</v>
      </c>
      <c r="B22" s="1" t="s">
        <v>22</v>
      </c>
      <c r="C22" s="1">
        <v>3</v>
      </c>
      <c r="D22" s="1">
        <v>0</v>
      </c>
      <c r="E22" s="1">
        <v>0</v>
      </c>
    </row>
    <row r="23" spans="1:10" x14ac:dyDescent="0.35">
      <c r="A23" s="2">
        <v>45547</v>
      </c>
      <c r="B23" s="1" t="s">
        <v>16</v>
      </c>
      <c r="C23" s="1">
        <v>0</v>
      </c>
      <c r="D23" s="1">
        <v>0</v>
      </c>
      <c r="E23" s="1">
        <v>0</v>
      </c>
    </row>
    <row r="24" spans="1:10" x14ac:dyDescent="0.35">
      <c r="A24" s="2">
        <v>45552</v>
      </c>
      <c r="B24" s="1" t="s">
        <v>23</v>
      </c>
      <c r="C24" s="1"/>
      <c r="D24" s="1"/>
      <c r="E24" s="1"/>
    </row>
    <row r="25" spans="1:10" x14ac:dyDescent="0.35">
      <c r="A25" s="2">
        <v>45552</v>
      </c>
      <c r="B25" s="1" t="s">
        <v>20</v>
      </c>
      <c r="C25" s="1">
        <v>2</v>
      </c>
      <c r="D25" s="1">
        <v>0</v>
      </c>
      <c r="E25" s="1">
        <v>0</v>
      </c>
    </row>
    <row r="26" spans="1:10" x14ac:dyDescent="0.35">
      <c r="A26" s="2">
        <v>45552</v>
      </c>
      <c r="B26" s="1" t="s">
        <v>20</v>
      </c>
      <c r="C26" s="1">
        <v>0</v>
      </c>
      <c r="D26" s="1">
        <v>0</v>
      </c>
      <c r="E26" s="1">
        <v>0</v>
      </c>
    </row>
    <row r="27" spans="1:10" x14ac:dyDescent="0.35">
      <c r="A27" s="2">
        <v>45552</v>
      </c>
      <c r="B27" s="1" t="s">
        <v>16</v>
      </c>
      <c r="C27" s="1">
        <v>3</v>
      </c>
      <c r="D27" s="1">
        <v>0</v>
      </c>
      <c r="E27" s="1">
        <v>0</v>
      </c>
    </row>
    <row r="28" spans="1:10" x14ac:dyDescent="0.35">
      <c r="A28" s="2">
        <v>45555</v>
      </c>
      <c r="B28" s="1" t="s">
        <v>24</v>
      </c>
      <c r="C28" s="1">
        <v>3</v>
      </c>
      <c r="D28" s="1">
        <v>0</v>
      </c>
      <c r="E28" s="1">
        <v>0</v>
      </c>
    </row>
    <row r="29" spans="1:10" x14ac:dyDescent="0.35">
      <c r="A29" s="2">
        <v>45555</v>
      </c>
      <c r="B29" s="1" t="s">
        <v>20</v>
      </c>
      <c r="C29" s="1">
        <v>0</v>
      </c>
      <c r="D29" s="1">
        <v>0</v>
      </c>
      <c r="E29" s="1">
        <v>0</v>
      </c>
    </row>
    <row r="30" spans="1:10" x14ac:dyDescent="0.35">
      <c r="A30" s="2">
        <v>45555</v>
      </c>
      <c r="B30" s="1" t="s">
        <v>7</v>
      </c>
      <c r="C30" s="1">
        <v>2</v>
      </c>
      <c r="D30" s="1">
        <v>0</v>
      </c>
      <c r="E30" s="1">
        <v>0</v>
      </c>
    </row>
    <row r="32" spans="1:10" x14ac:dyDescent="0.35">
      <c r="B32">
        <f>COUNTA(OffensiveRebounds[Player])</f>
        <v>29</v>
      </c>
      <c r="C32">
        <f>SUM(OffensiveRebounds[PTS])</f>
        <v>25</v>
      </c>
      <c r="D32">
        <f>SUM(OffensiveRebounds[FD])</f>
        <v>3</v>
      </c>
      <c r="E32">
        <f>SUM(OffensiveRebounds[FTM])</f>
        <v>1</v>
      </c>
      <c r="G32" s="25">
        <f>C32/B32</f>
        <v>0.86206896551724133</v>
      </c>
      <c r="H32" s="46" t="s">
        <v>779</v>
      </c>
      <c r="I32" s="46"/>
      <c r="J32" s="46"/>
    </row>
  </sheetData>
  <mergeCells count="2">
    <mergeCell ref="F2:G2"/>
    <mergeCell ref="H32:J3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280F-F053-4F98-ABF6-6846ADCACC62}">
  <dimension ref="A1:T97"/>
  <sheetViews>
    <sheetView zoomScale="98" zoomScaleNormal="100" workbookViewId="0">
      <selection activeCell="G3" sqref="G3"/>
    </sheetView>
  </sheetViews>
  <sheetFormatPr defaultRowHeight="14.5" x14ac:dyDescent="0.35"/>
  <cols>
    <col min="1" max="1" width="10" bestFit="1" customWidth="1"/>
    <col min="2" max="2" width="13.6328125" bestFit="1" customWidth="1"/>
    <col min="3" max="3" width="11.08984375" bestFit="1" customWidth="1"/>
    <col min="4" max="4" width="11.453125" bestFit="1" customWidth="1"/>
    <col min="5" max="5" width="10.26953125" bestFit="1" customWidth="1"/>
    <col min="12" max="12" width="15.7265625" bestFit="1" customWidth="1"/>
    <col min="13" max="13" width="18.7265625" bestFit="1" customWidth="1"/>
    <col min="14" max="14" width="44.453125" bestFit="1" customWidth="1"/>
    <col min="15" max="15" width="10.54296875" bestFit="1" customWidth="1"/>
    <col min="17" max="17" width="17.54296875" bestFit="1" customWidth="1"/>
    <col min="20" max="20" width="17.90625" bestFit="1" customWidth="1"/>
  </cols>
  <sheetData>
    <row r="1" spans="1:20" x14ac:dyDescent="0.35">
      <c r="A1" t="s">
        <v>0</v>
      </c>
      <c r="B1" t="s">
        <v>1</v>
      </c>
      <c r="C1" t="s">
        <v>25</v>
      </c>
      <c r="D1" t="s">
        <v>26</v>
      </c>
      <c r="E1" t="s">
        <v>27</v>
      </c>
      <c r="M1" s="1" t="s">
        <v>28</v>
      </c>
      <c r="N1" s="1" t="s">
        <v>6</v>
      </c>
    </row>
    <row r="2" spans="1:20" x14ac:dyDescent="0.35">
      <c r="A2" s="4">
        <v>45541</v>
      </c>
      <c r="B2" s="1" t="s">
        <v>23</v>
      </c>
      <c r="C2" s="1">
        <v>0</v>
      </c>
      <c r="D2" s="1">
        <v>1</v>
      </c>
      <c r="E2" s="1" t="s">
        <v>62</v>
      </c>
      <c r="M2" t="s">
        <v>0</v>
      </c>
      <c r="N2" t="s">
        <v>29</v>
      </c>
    </row>
    <row r="3" spans="1:20" x14ac:dyDescent="0.35">
      <c r="A3" s="4">
        <v>45541</v>
      </c>
      <c r="B3" s="1" t="s">
        <v>12</v>
      </c>
      <c r="C3" s="1">
        <v>0</v>
      </c>
      <c r="D3" s="1">
        <v>1</v>
      </c>
      <c r="E3" s="1" t="s">
        <v>48</v>
      </c>
      <c r="M3" t="s">
        <v>1</v>
      </c>
      <c r="N3" t="s">
        <v>30</v>
      </c>
    </row>
    <row r="4" spans="1:20" x14ac:dyDescent="0.35">
      <c r="A4" s="4">
        <v>45541</v>
      </c>
      <c r="B4" s="1" t="s">
        <v>12</v>
      </c>
      <c r="C4" s="1">
        <v>0</v>
      </c>
      <c r="D4" s="1">
        <v>1</v>
      </c>
      <c r="E4" s="1" t="s">
        <v>62</v>
      </c>
      <c r="M4" t="s">
        <v>25</v>
      </c>
      <c r="N4" t="s">
        <v>32</v>
      </c>
    </row>
    <row r="5" spans="1:20" x14ac:dyDescent="0.35">
      <c r="A5" s="4">
        <v>45541</v>
      </c>
      <c r="B5" s="1" t="s">
        <v>12</v>
      </c>
      <c r="C5" s="1">
        <v>0</v>
      </c>
      <c r="D5" s="1">
        <v>1</v>
      </c>
      <c r="E5" s="1" t="s">
        <v>62</v>
      </c>
      <c r="M5" t="s">
        <v>26</v>
      </c>
      <c r="N5" t="s">
        <v>31</v>
      </c>
    </row>
    <row r="6" spans="1:20" x14ac:dyDescent="0.35">
      <c r="A6" s="4">
        <v>45541</v>
      </c>
      <c r="B6" s="1" t="s">
        <v>12</v>
      </c>
      <c r="C6" s="1">
        <v>0</v>
      </c>
      <c r="D6" s="1">
        <v>1</v>
      </c>
      <c r="E6" s="1" t="s">
        <v>55</v>
      </c>
      <c r="M6" t="s">
        <v>27</v>
      </c>
      <c r="N6" t="s">
        <v>45</v>
      </c>
    </row>
    <row r="7" spans="1:20" x14ac:dyDescent="0.35">
      <c r="A7" s="4">
        <v>45541</v>
      </c>
      <c r="B7" s="1" t="s">
        <v>12</v>
      </c>
      <c r="C7" s="1">
        <v>0</v>
      </c>
      <c r="D7" s="1">
        <v>1</v>
      </c>
      <c r="E7" s="1"/>
    </row>
    <row r="8" spans="1:20" x14ac:dyDescent="0.35">
      <c r="A8" s="4">
        <v>45541</v>
      </c>
      <c r="B8" s="1" t="s">
        <v>12</v>
      </c>
      <c r="C8" s="1">
        <v>1</v>
      </c>
      <c r="D8" s="1">
        <v>0</v>
      </c>
      <c r="E8" s="1" t="s">
        <v>62</v>
      </c>
    </row>
    <row r="9" spans="1:20" x14ac:dyDescent="0.35">
      <c r="A9" s="4">
        <v>45541</v>
      </c>
      <c r="B9" s="1" t="s">
        <v>12</v>
      </c>
      <c r="C9" s="1">
        <v>1</v>
      </c>
      <c r="D9" s="1">
        <v>0</v>
      </c>
      <c r="E9" s="1"/>
    </row>
    <row r="10" spans="1:20" x14ac:dyDescent="0.35">
      <c r="A10" s="4">
        <v>45541</v>
      </c>
      <c r="B10" s="1" t="s">
        <v>24</v>
      </c>
      <c r="C10" s="1">
        <v>0</v>
      </c>
      <c r="D10" s="1">
        <v>1</v>
      </c>
      <c r="E10" s="1" t="s">
        <v>55</v>
      </c>
    </row>
    <row r="11" spans="1:20" x14ac:dyDescent="0.35">
      <c r="A11" s="4">
        <v>45541</v>
      </c>
      <c r="B11" s="1" t="s">
        <v>24</v>
      </c>
      <c r="C11" s="1">
        <v>0</v>
      </c>
      <c r="D11" s="1">
        <v>1</v>
      </c>
      <c r="E11" s="1" t="s">
        <v>62</v>
      </c>
      <c r="P11" s="36" t="s">
        <v>46</v>
      </c>
      <c r="Q11" s="36"/>
    </row>
    <row r="12" spans="1:20" x14ac:dyDescent="0.35">
      <c r="A12" s="4">
        <v>45541</v>
      </c>
      <c r="B12" s="1" t="s">
        <v>17</v>
      </c>
      <c r="C12" s="1">
        <v>1</v>
      </c>
      <c r="D12" s="1">
        <v>0</v>
      </c>
      <c r="E12" s="1"/>
      <c r="P12" s="5" t="s">
        <v>47</v>
      </c>
      <c r="Q12" s="5" t="s">
        <v>34</v>
      </c>
      <c r="S12" s="1"/>
      <c r="T12" s="1"/>
    </row>
    <row r="13" spans="1:20" x14ac:dyDescent="0.35">
      <c r="A13" s="4">
        <v>45541</v>
      </c>
      <c r="B13" s="1" t="s">
        <v>17</v>
      </c>
      <c r="C13" s="1">
        <v>0</v>
      </c>
      <c r="D13" s="1">
        <v>1</v>
      </c>
      <c r="E13" s="1" t="s">
        <v>62</v>
      </c>
      <c r="P13" s="5" t="s">
        <v>48</v>
      </c>
      <c r="Q13" s="5" t="s">
        <v>41</v>
      </c>
      <c r="S13" s="1"/>
      <c r="T13" s="1"/>
    </row>
    <row r="14" spans="1:20" x14ac:dyDescent="0.35">
      <c r="A14" s="4">
        <v>45541</v>
      </c>
      <c r="B14" s="1" t="s">
        <v>18</v>
      </c>
      <c r="C14" s="1">
        <v>1</v>
      </c>
      <c r="D14" s="1">
        <v>0</v>
      </c>
      <c r="E14" s="1" t="s">
        <v>53</v>
      </c>
      <c r="P14" s="5" t="s">
        <v>49</v>
      </c>
      <c r="Q14" s="5" t="s">
        <v>36</v>
      </c>
      <c r="S14" s="1"/>
      <c r="T14" s="1"/>
    </row>
    <row r="15" spans="1:20" x14ac:dyDescent="0.35">
      <c r="A15" s="4">
        <v>45541</v>
      </c>
      <c r="B15" s="1" t="s">
        <v>19</v>
      </c>
      <c r="C15" s="1">
        <v>1</v>
      </c>
      <c r="D15" s="1">
        <v>0</v>
      </c>
      <c r="E15" s="1" t="s">
        <v>62</v>
      </c>
      <c r="P15" s="5" t="s">
        <v>58</v>
      </c>
      <c r="Q15" s="5" t="s">
        <v>35</v>
      </c>
      <c r="S15" s="1"/>
      <c r="T15" s="1"/>
    </row>
    <row r="16" spans="1:20" x14ac:dyDescent="0.35">
      <c r="A16" s="4">
        <v>45541</v>
      </c>
      <c r="B16" s="1" t="s">
        <v>22</v>
      </c>
      <c r="C16" s="1">
        <v>0</v>
      </c>
      <c r="D16" s="1">
        <v>1</v>
      </c>
      <c r="E16" s="1" t="s">
        <v>62</v>
      </c>
      <c r="P16" s="5" t="s">
        <v>50</v>
      </c>
      <c r="Q16" s="5" t="s">
        <v>39</v>
      </c>
      <c r="S16" s="1"/>
      <c r="T16" s="1"/>
    </row>
    <row r="17" spans="1:20" x14ac:dyDescent="0.35">
      <c r="A17" s="4">
        <v>45541</v>
      </c>
      <c r="B17" s="1" t="s">
        <v>22</v>
      </c>
      <c r="C17" s="1">
        <v>0</v>
      </c>
      <c r="D17" s="1">
        <v>1</v>
      </c>
      <c r="E17" s="1" t="s">
        <v>62</v>
      </c>
      <c r="P17" s="5" t="s">
        <v>51</v>
      </c>
      <c r="Q17" s="5" t="s">
        <v>44</v>
      </c>
      <c r="S17" s="1"/>
      <c r="T17" s="1"/>
    </row>
    <row r="18" spans="1:20" x14ac:dyDescent="0.35">
      <c r="A18" s="4">
        <v>45541</v>
      </c>
      <c r="B18" s="1" t="s">
        <v>22</v>
      </c>
      <c r="C18" s="1">
        <v>0</v>
      </c>
      <c r="D18" s="1">
        <v>1</v>
      </c>
      <c r="E18" s="1" t="s">
        <v>62</v>
      </c>
      <c r="P18" s="5" t="s">
        <v>52</v>
      </c>
      <c r="Q18" s="5" t="s">
        <v>61</v>
      </c>
      <c r="S18" s="1"/>
      <c r="T18" s="1"/>
    </row>
    <row r="19" spans="1:20" x14ac:dyDescent="0.35">
      <c r="A19" s="4">
        <v>45541</v>
      </c>
      <c r="B19" s="1" t="s">
        <v>22</v>
      </c>
      <c r="C19" s="1">
        <v>0</v>
      </c>
      <c r="D19" s="1">
        <v>1</v>
      </c>
      <c r="E19" s="1" t="s">
        <v>62</v>
      </c>
      <c r="P19" s="5" t="s">
        <v>53</v>
      </c>
      <c r="Q19" s="5" t="s">
        <v>40</v>
      </c>
      <c r="S19" s="1"/>
      <c r="T19" s="1"/>
    </row>
    <row r="20" spans="1:20" x14ac:dyDescent="0.35">
      <c r="A20" s="4">
        <v>45541</v>
      </c>
      <c r="B20" s="1" t="s">
        <v>22</v>
      </c>
      <c r="C20" s="1">
        <v>0</v>
      </c>
      <c r="D20" s="1">
        <v>1</v>
      </c>
      <c r="E20" s="1" t="s">
        <v>51</v>
      </c>
      <c r="P20" s="5" t="s">
        <v>54</v>
      </c>
      <c r="Q20" s="5" t="s">
        <v>42</v>
      </c>
      <c r="S20" s="1"/>
      <c r="T20" s="1"/>
    </row>
    <row r="21" spans="1:20" x14ac:dyDescent="0.35">
      <c r="A21" s="4">
        <v>45541</v>
      </c>
      <c r="B21" s="1" t="s">
        <v>22</v>
      </c>
      <c r="C21" s="1">
        <v>0</v>
      </c>
      <c r="D21" s="1">
        <v>1</v>
      </c>
      <c r="E21" s="1" t="s">
        <v>62</v>
      </c>
      <c r="P21" s="5" t="s">
        <v>55</v>
      </c>
      <c r="Q21" s="5" t="s">
        <v>38</v>
      </c>
      <c r="S21" s="1"/>
      <c r="T21" s="1"/>
    </row>
    <row r="22" spans="1:20" x14ac:dyDescent="0.35">
      <c r="A22" s="4">
        <v>45541</v>
      </c>
      <c r="B22" s="1" t="s">
        <v>22</v>
      </c>
      <c r="C22" s="1">
        <v>0</v>
      </c>
      <c r="D22" s="1">
        <v>1</v>
      </c>
      <c r="E22" s="1" t="s">
        <v>51</v>
      </c>
      <c r="P22" s="5" t="s">
        <v>56</v>
      </c>
      <c r="Q22" s="5" t="s">
        <v>37</v>
      </c>
      <c r="S22" s="1"/>
      <c r="T22" s="1"/>
    </row>
    <row r="23" spans="1:20" x14ac:dyDescent="0.35">
      <c r="A23" s="4">
        <v>45541</v>
      </c>
      <c r="B23" s="1" t="s">
        <v>22</v>
      </c>
      <c r="C23" s="1">
        <v>0</v>
      </c>
      <c r="D23" s="1">
        <v>1</v>
      </c>
      <c r="E23" s="1" t="s">
        <v>62</v>
      </c>
      <c r="P23" s="5" t="s">
        <v>57</v>
      </c>
      <c r="Q23" s="5" t="s">
        <v>43</v>
      </c>
      <c r="S23" s="1"/>
      <c r="T23" s="1"/>
    </row>
    <row r="24" spans="1:20" x14ac:dyDescent="0.35">
      <c r="A24" s="4">
        <v>45541</v>
      </c>
      <c r="B24" s="1" t="s">
        <v>33</v>
      </c>
      <c r="C24" s="1">
        <v>0</v>
      </c>
      <c r="D24" s="1">
        <v>1</v>
      </c>
      <c r="E24" s="1"/>
      <c r="P24" s="5" t="s">
        <v>59</v>
      </c>
      <c r="Q24" s="5" t="s">
        <v>60</v>
      </c>
      <c r="S24" s="1"/>
      <c r="T24" s="1"/>
    </row>
    <row r="25" spans="1:20" x14ac:dyDescent="0.35">
      <c r="A25" s="4">
        <v>45541</v>
      </c>
      <c r="B25" s="1" t="s">
        <v>20</v>
      </c>
      <c r="C25" s="1">
        <v>0</v>
      </c>
      <c r="D25" s="1">
        <v>1</v>
      </c>
      <c r="E25" s="1" t="s">
        <v>51</v>
      </c>
    </row>
    <row r="26" spans="1:20" x14ac:dyDescent="0.35">
      <c r="A26" s="4">
        <v>45541</v>
      </c>
      <c r="B26" s="1" t="s">
        <v>16</v>
      </c>
      <c r="C26" s="1">
        <v>1</v>
      </c>
      <c r="D26" s="1">
        <v>0</v>
      </c>
      <c r="E26" s="1" t="s">
        <v>62</v>
      </c>
    </row>
    <row r="27" spans="1:20" x14ac:dyDescent="0.35">
      <c r="A27" s="4">
        <v>45541</v>
      </c>
      <c r="B27" s="1" t="s">
        <v>7</v>
      </c>
      <c r="C27" s="1">
        <v>0</v>
      </c>
      <c r="D27" s="1">
        <v>1</v>
      </c>
      <c r="E27" s="1" t="s">
        <v>62</v>
      </c>
    </row>
    <row r="28" spans="1:20" x14ac:dyDescent="0.35">
      <c r="A28" s="4">
        <v>45541</v>
      </c>
      <c r="B28" s="1" t="s">
        <v>7</v>
      </c>
      <c r="C28" s="1">
        <v>0</v>
      </c>
      <c r="D28" s="1">
        <v>1</v>
      </c>
      <c r="E28" s="1" t="s">
        <v>62</v>
      </c>
    </row>
    <row r="29" spans="1:20" x14ac:dyDescent="0.35">
      <c r="A29" s="4">
        <v>45541</v>
      </c>
      <c r="B29" s="1" t="s">
        <v>7</v>
      </c>
      <c r="C29" s="1">
        <v>0</v>
      </c>
      <c r="D29" s="1">
        <v>1</v>
      </c>
      <c r="E29" s="1" t="s">
        <v>62</v>
      </c>
    </row>
    <row r="30" spans="1:20" x14ac:dyDescent="0.35">
      <c r="A30" s="4">
        <v>45541</v>
      </c>
      <c r="B30" s="1" t="s">
        <v>7</v>
      </c>
      <c r="C30" s="1">
        <v>1</v>
      </c>
      <c r="D30" s="1">
        <v>0</v>
      </c>
      <c r="E30" s="1" t="s">
        <v>62</v>
      </c>
    </row>
    <row r="31" spans="1:20" x14ac:dyDescent="0.35">
      <c r="A31" s="4">
        <v>45541</v>
      </c>
      <c r="B31" s="1" t="s">
        <v>10</v>
      </c>
      <c r="C31" s="1">
        <v>0</v>
      </c>
      <c r="D31" s="1">
        <v>1</v>
      </c>
      <c r="E31" s="1" t="s">
        <v>49</v>
      </c>
    </row>
    <row r="32" spans="1:20" x14ac:dyDescent="0.35">
      <c r="A32" s="4">
        <v>45541</v>
      </c>
      <c r="B32" s="1" t="s">
        <v>10</v>
      </c>
      <c r="C32" s="1">
        <v>0</v>
      </c>
      <c r="D32" s="1">
        <v>1</v>
      </c>
      <c r="E32" s="1" t="s">
        <v>62</v>
      </c>
    </row>
    <row r="33" spans="1:5" x14ac:dyDescent="0.35">
      <c r="A33" s="4">
        <v>45541</v>
      </c>
      <c r="B33" s="1" t="s">
        <v>10</v>
      </c>
      <c r="C33" s="1">
        <v>0</v>
      </c>
      <c r="D33" s="1">
        <v>1</v>
      </c>
      <c r="E33" s="1" t="s">
        <v>62</v>
      </c>
    </row>
    <row r="34" spans="1:5" x14ac:dyDescent="0.35">
      <c r="A34" s="4">
        <v>45545</v>
      </c>
      <c r="B34" s="1" t="s">
        <v>24</v>
      </c>
      <c r="C34" s="1">
        <v>0</v>
      </c>
      <c r="D34" s="1">
        <v>1</v>
      </c>
      <c r="E34" s="1" t="s">
        <v>62</v>
      </c>
    </row>
    <row r="35" spans="1:5" x14ac:dyDescent="0.35">
      <c r="A35" s="4">
        <v>45545</v>
      </c>
      <c r="B35" s="1" t="s">
        <v>17</v>
      </c>
      <c r="C35" s="1">
        <v>0</v>
      </c>
      <c r="D35" s="1">
        <v>1</v>
      </c>
      <c r="E35" s="1" t="s">
        <v>62</v>
      </c>
    </row>
    <row r="36" spans="1:5" x14ac:dyDescent="0.35">
      <c r="A36" s="4">
        <v>45545</v>
      </c>
      <c r="B36" s="1" t="s">
        <v>17</v>
      </c>
      <c r="C36" s="1">
        <v>0</v>
      </c>
      <c r="D36" s="1">
        <v>1</v>
      </c>
      <c r="E36" s="1" t="s">
        <v>62</v>
      </c>
    </row>
    <row r="37" spans="1:5" x14ac:dyDescent="0.35">
      <c r="A37" s="4">
        <v>45545</v>
      </c>
      <c r="B37" s="1" t="s">
        <v>22</v>
      </c>
      <c r="C37" s="1">
        <v>0</v>
      </c>
      <c r="D37" s="1">
        <v>1</v>
      </c>
      <c r="E37" s="1" t="s">
        <v>62</v>
      </c>
    </row>
    <row r="38" spans="1:5" x14ac:dyDescent="0.35">
      <c r="A38" s="4">
        <v>45545</v>
      </c>
      <c r="B38" s="1" t="s">
        <v>20</v>
      </c>
      <c r="C38" s="1">
        <v>1</v>
      </c>
      <c r="D38" s="1">
        <v>0</v>
      </c>
      <c r="E38" s="1" t="s">
        <v>62</v>
      </c>
    </row>
    <row r="39" spans="1:5" x14ac:dyDescent="0.35">
      <c r="A39" s="4">
        <v>45545</v>
      </c>
      <c r="B39" s="1" t="s">
        <v>16</v>
      </c>
      <c r="C39" s="1">
        <v>1</v>
      </c>
      <c r="D39" s="1">
        <v>0</v>
      </c>
      <c r="E39" s="1" t="s">
        <v>63</v>
      </c>
    </row>
    <row r="40" spans="1:5" x14ac:dyDescent="0.35">
      <c r="A40" s="4">
        <v>45545</v>
      </c>
      <c r="B40" s="1" t="s">
        <v>7</v>
      </c>
      <c r="C40" s="1">
        <v>1</v>
      </c>
      <c r="D40" s="1">
        <v>0</v>
      </c>
      <c r="E40" s="1" t="s">
        <v>62</v>
      </c>
    </row>
    <row r="41" spans="1:5" x14ac:dyDescent="0.35">
      <c r="A41" s="4">
        <v>45545</v>
      </c>
      <c r="B41" s="1" t="s">
        <v>10</v>
      </c>
      <c r="C41" s="1">
        <v>0</v>
      </c>
      <c r="D41" s="1">
        <v>1</v>
      </c>
      <c r="E41" s="1" t="s">
        <v>49</v>
      </c>
    </row>
    <row r="42" spans="1:5" x14ac:dyDescent="0.35">
      <c r="A42" s="4">
        <v>45545</v>
      </c>
      <c r="B42" s="1" t="s">
        <v>10</v>
      </c>
      <c r="C42" s="1">
        <v>0</v>
      </c>
      <c r="D42" s="1">
        <v>1</v>
      </c>
      <c r="E42" s="1" t="s">
        <v>51</v>
      </c>
    </row>
    <row r="43" spans="1:5" x14ac:dyDescent="0.35">
      <c r="A43" s="4">
        <v>45547</v>
      </c>
      <c r="B43" s="1" t="s">
        <v>12</v>
      </c>
      <c r="C43" s="1">
        <v>0</v>
      </c>
      <c r="D43" s="1">
        <v>1</v>
      </c>
      <c r="E43" s="1" t="s">
        <v>62</v>
      </c>
    </row>
    <row r="44" spans="1:5" x14ac:dyDescent="0.35">
      <c r="A44" s="4">
        <v>45547</v>
      </c>
      <c r="B44" s="1" t="s">
        <v>12</v>
      </c>
      <c r="C44" s="1">
        <v>0</v>
      </c>
      <c r="D44" s="1">
        <v>1</v>
      </c>
      <c r="E44" s="1" t="s">
        <v>62</v>
      </c>
    </row>
    <row r="45" spans="1:5" x14ac:dyDescent="0.35">
      <c r="A45" s="4">
        <v>45547</v>
      </c>
      <c r="B45" s="1" t="s">
        <v>24</v>
      </c>
      <c r="C45" s="1">
        <v>0</v>
      </c>
      <c r="D45" s="1">
        <v>1</v>
      </c>
      <c r="E45" s="1" t="s">
        <v>62</v>
      </c>
    </row>
    <row r="46" spans="1:5" x14ac:dyDescent="0.35">
      <c r="A46" s="4">
        <v>45547</v>
      </c>
      <c r="B46" s="1" t="s">
        <v>21</v>
      </c>
      <c r="C46" s="1">
        <v>0</v>
      </c>
      <c r="D46" s="1">
        <v>1</v>
      </c>
      <c r="E46" s="1" t="s">
        <v>62</v>
      </c>
    </row>
    <row r="47" spans="1:5" x14ac:dyDescent="0.35">
      <c r="A47" s="4">
        <v>45547</v>
      </c>
      <c r="B47" s="1" t="s">
        <v>21</v>
      </c>
      <c r="C47" s="1">
        <v>0</v>
      </c>
      <c r="D47" s="1">
        <v>1</v>
      </c>
      <c r="E47" s="1" t="s">
        <v>62</v>
      </c>
    </row>
    <row r="48" spans="1:5" x14ac:dyDescent="0.35">
      <c r="A48" s="4">
        <v>45547</v>
      </c>
      <c r="B48" s="1" t="s">
        <v>21</v>
      </c>
      <c r="C48" s="1">
        <v>0</v>
      </c>
      <c r="D48" s="1">
        <v>1</v>
      </c>
      <c r="E48" s="1" t="s">
        <v>62</v>
      </c>
    </row>
    <row r="49" spans="1:5" x14ac:dyDescent="0.35">
      <c r="A49" s="4">
        <v>45547</v>
      </c>
      <c r="B49" s="1" t="s">
        <v>21</v>
      </c>
      <c r="C49" s="1">
        <v>0</v>
      </c>
      <c r="D49" s="1">
        <v>1</v>
      </c>
      <c r="E49" s="1" t="s">
        <v>62</v>
      </c>
    </row>
    <row r="50" spans="1:5" x14ac:dyDescent="0.35">
      <c r="A50" s="4">
        <v>45547</v>
      </c>
      <c r="B50" s="1" t="s">
        <v>21</v>
      </c>
      <c r="C50" s="1">
        <v>0</v>
      </c>
      <c r="D50" s="1">
        <v>1</v>
      </c>
      <c r="E50" s="1" t="s">
        <v>62</v>
      </c>
    </row>
    <row r="51" spans="1:5" x14ac:dyDescent="0.35">
      <c r="A51" s="4">
        <v>45547</v>
      </c>
      <c r="B51" s="1" t="s">
        <v>21</v>
      </c>
      <c r="C51" s="1">
        <v>1</v>
      </c>
      <c r="D51" s="1">
        <v>0</v>
      </c>
      <c r="E51" s="1" t="s">
        <v>49</v>
      </c>
    </row>
    <row r="52" spans="1:5" x14ac:dyDescent="0.35">
      <c r="A52" s="4">
        <v>45547</v>
      </c>
      <c r="B52" s="1" t="s">
        <v>21</v>
      </c>
      <c r="C52" s="1">
        <v>1</v>
      </c>
      <c r="D52" s="1">
        <v>0</v>
      </c>
      <c r="E52" s="1" t="s">
        <v>55</v>
      </c>
    </row>
    <row r="53" spans="1:5" x14ac:dyDescent="0.35">
      <c r="A53" s="4">
        <v>45547</v>
      </c>
      <c r="B53" s="1" t="s">
        <v>18</v>
      </c>
      <c r="C53" s="1">
        <v>0</v>
      </c>
      <c r="D53" s="1">
        <v>1</v>
      </c>
      <c r="E53" s="1" t="s">
        <v>62</v>
      </c>
    </row>
    <row r="54" spans="1:5" x14ac:dyDescent="0.35">
      <c r="A54" s="4">
        <v>45547</v>
      </c>
      <c r="B54" s="1" t="s">
        <v>19</v>
      </c>
      <c r="C54" s="1">
        <v>0</v>
      </c>
      <c r="D54" s="1">
        <v>1</v>
      </c>
      <c r="E54" s="1" t="s">
        <v>55</v>
      </c>
    </row>
    <row r="55" spans="1:5" x14ac:dyDescent="0.35">
      <c r="A55" s="4">
        <v>45547</v>
      </c>
      <c r="B55" s="1" t="s">
        <v>19</v>
      </c>
      <c r="C55" s="1">
        <v>1</v>
      </c>
      <c r="D55" s="1">
        <v>0</v>
      </c>
      <c r="E55" s="1" t="s">
        <v>54</v>
      </c>
    </row>
    <row r="56" spans="1:5" x14ac:dyDescent="0.35">
      <c r="A56" s="4">
        <v>45547</v>
      </c>
      <c r="B56" s="1" t="s">
        <v>22</v>
      </c>
      <c r="C56" s="1">
        <v>1</v>
      </c>
      <c r="D56" s="1">
        <v>0</v>
      </c>
      <c r="E56" s="1" t="s">
        <v>62</v>
      </c>
    </row>
    <row r="57" spans="1:5" x14ac:dyDescent="0.35">
      <c r="A57" s="4">
        <v>45547</v>
      </c>
      <c r="B57" s="1" t="s">
        <v>22</v>
      </c>
      <c r="C57" s="1">
        <v>1</v>
      </c>
      <c r="D57" s="1">
        <v>0</v>
      </c>
      <c r="E57" s="1" t="s">
        <v>51</v>
      </c>
    </row>
    <row r="58" spans="1:5" x14ac:dyDescent="0.35">
      <c r="A58" s="4">
        <v>45547</v>
      </c>
      <c r="B58" s="1" t="s">
        <v>20</v>
      </c>
      <c r="C58" s="1">
        <v>0</v>
      </c>
      <c r="D58" s="1">
        <v>1</v>
      </c>
      <c r="E58" s="1" t="s">
        <v>62</v>
      </c>
    </row>
    <row r="59" spans="1:5" x14ac:dyDescent="0.35">
      <c r="A59" s="4">
        <v>45547</v>
      </c>
      <c r="B59" s="1" t="s">
        <v>20</v>
      </c>
      <c r="C59" s="1">
        <v>0</v>
      </c>
      <c r="D59" s="1">
        <v>1</v>
      </c>
      <c r="E59" s="1" t="s">
        <v>62</v>
      </c>
    </row>
    <row r="60" spans="1:5" x14ac:dyDescent="0.35">
      <c r="A60" s="4">
        <v>45547</v>
      </c>
      <c r="B60" s="1" t="s">
        <v>16</v>
      </c>
      <c r="C60" s="1">
        <v>0</v>
      </c>
      <c r="D60" s="1">
        <v>1</v>
      </c>
      <c r="E60" s="1" t="s">
        <v>48</v>
      </c>
    </row>
    <row r="61" spans="1:5" x14ac:dyDescent="0.35">
      <c r="A61" s="4">
        <v>45547</v>
      </c>
      <c r="B61" s="1" t="s">
        <v>16</v>
      </c>
      <c r="C61" s="1">
        <v>1</v>
      </c>
      <c r="D61" s="1">
        <v>0</v>
      </c>
      <c r="E61" s="1" t="s">
        <v>58</v>
      </c>
    </row>
    <row r="62" spans="1:5" x14ac:dyDescent="0.35">
      <c r="A62" s="4">
        <v>45547</v>
      </c>
      <c r="B62" s="1" t="s">
        <v>10</v>
      </c>
      <c r="C62" s="1">
        <v>0</v>
      </c>
      <c r="D62" s="1">
        <v>1</v>
      </c>
      <c r="E62" s="1"/>
    </row>
    <row r="63" spans="1:5" x14ac:dyDescent="0.35">
      <c r="A63" s="4">
        <v>45548</v>
      </c>
      <c r="B63" s="1" t="s">
        <v>22</v>
      </c>
      <c r="C63" s="1">
        <v>0</v>
      </c>
      <c r="D63" s="1">
        <v>1</v>
      </c>
      <c r="E63" s="1" t="s">
        <v>62</v>
      </c>
    </row>
    <row r="64" spans="1:5" x14ac:dyDescent="0.35">
      <c r="A64" s="4">
        <v>45548</v>
      </c>
      <c r="B64" s="1" t="s">
        <v>22</v>
      </c>
      <c r="C64" s="1">
        <v>0</v>
      </c>
      <c r="D64" s="1">
        <v>1</v>
      </c>
      <c r="E64" s="1" t="s">
        <v>62</v>
      </c>
    </row>
    <row r="65" spans="1:5" x14ac:dyDescent="0.35">
      <c r="A65" s="4">
        <v>45548</v>
      </c>
      <c r="B65" s="1" t="s">
        <v>20</v>
      </c>
      <c r="C65" s="1">
        <v>0</v>
      </c>
      <c r="D65" s="1">
        <v>1</v>
      </c>
      <c r="E65" s="1" t="s">
        <v>49</v>
      </c>
    </row>
    <row r="66" spans="1:5" x14ac:dyDescent="0.35">
      <c r="A66" s="4">
        <v>45548</v>
      </c>
      <c r="B66" s="1" t="s">
        <v>16</v>
      </c>
      <c r="C66" s="1">
        <v>0</v>
      </c>
      <c r="D66" s="1">
        <v>1</v>
      </c>
      <c r="E66" s="1" t="s">
        <v>52</v>
      </c>
    </row>
    <row r="67" spans="1:5" x14ac:dyDescent="0.35">
      <c r="A67" s="4">
        <v>45548</v>
      </c>
      <c r="B67" s="1" t="s">
        <v>10</v>
      </c>
      <c r="C67" s="1">
        <v>0</v>
      </c>
      <c r="D67" s="1">
        <v>1</v>
      </c>
      <c r="E67" s="1" t="s">
        <v>62</v>
      </c>
    </row>
    <row r="68" spans="1:5" x14ac:dyDescent="0.35">
      <c r="A68" s="4">
        <v>45552</v>
      </c>
      <c r="B68" s="1" t="s">
        <v>23</v>
      </c>
      <c r="C68" s="1">
        <v>0</v>
      </c>
      <c r="D68" s="1">
        <v>1</v>
      </c>
      <c r="E68" s="1" t="s">
        <v>62</v>
      </c>
    </row>
    <row r="69" spans="1:5" x14ac:dyDescent="0.35">
      <c r="A69" s="4">
        <v>45552</v>
      </c>
      <c r="B69" s="1" t="s">
        <v>23</v>
      </c>
      <c r="C69" s="1">
        <v>1</v>
      </c>
      <c r="D69" s="1">
        <v>0</v>
      </c>
      <c r="E69" s="1" t="s">
        <v>51</v>
      </c>
    </row>
    <row r="70" spans="1:5" x14ac:dyDescent="0.35">
      <c r="A70" s="4">
        <v>45552</v>
      </c>
      <c r="B70" s="1" t="s">
        <v>17</v>
      </c>
      <c r="C70" s="1">
        <v>0</v>
      </c>
      <c r="D70" s="1">
        <v>1</v>
      </c>
      <c r="E70" s="1"/>
    </row>
    <row r="71" spans="1:5" x14ac:dyDescent="0.35">
      <c r="A71" s="4">
        <v>45552</v>
      </c>
      <c r="B71" s="1" t="s">
        <v>22</v>
      </c>
      <c r="C71" s="1">
        <v>0</v>
      </c>
      <c r="D71" s="1">
        <v>1</v>
      </c>
      <c r="E71" s="1" t="s">
        <v>62</v>
      </c>
    </row>
    <row r="72" spans="1:5" x14ac:dyDescent="0.35">
      <c r="A72" s="4">
        <v>45552</v>
      </c>
      <c r="B72" s="1" t="s">
        <v>22</v>
      </c>
      <c r="C72" s="1">
        <v>0</v>
      </c>
      <c r="D72" s="1">
        <v>1</v>
      </c>
      <c r="E72" s="1" t="s">
        <v>53</v>
      </c>
    </row>
    <row r="73" spans="1:5" x14ac:dyDescent="0.35">
      <c r="A73" s="4">
        <v>45552</v>
      </c>
      <c r="B73" s="1" t="s">
        <v>22</v>
      </c>
      <c r="C73" s="1">
        <v>0</v>
      </c>
      <c r="D73" s="1">
        <v>1</v>
      </c>
      <c r="E73" s="1" t="s">
        <v>62</v>
      </c>
    </row>
    <row r="74" spans="1:5" x14ac:dyDescent="0.35">
      <c r="A74" s="4">
        <v>45552</v>
      </c>
      <c r="B74" s="1" t="s">
        <v>20</v>
      </c>
      <c r="C74" s="1">
        <v>0</v>
      </c>
      <c r="D74" s="1">
        <v>1</v>
      </c>
      <c r="E74" s="1" t="s">
        <v>62</v>
      </c>
    </row>
    <row r="75" spans="1:5" x14ac:dyDescent="0.35">
      <c r="A75" s="4">
        <v>45552</v>
      </c>
      <c r="B75" s="1" t="s">
        <v>20</v>
      </c>
      <c r="C75" s="1">
        <v>0</v>
      </c>
      <c r="D75" s="1">
        <v>1</v>
      </c>
      <c r="E75" s="1" t="s">
        <v>62</v>
      </c>
    </row>
    <row r="76" spans="1:5" x14ac:dyDescent="0.35">
      <c r="A76" s="4">
        <v>45552</v>
      </c>
      <c r="B76" s="1" t="s">
        <v>20</v>
      </c>
      <c r="C76" s="1">
        <v>0</v>
      </c>
      <c r="D76" s="1">
        <v>1</v>
      </c>
      <c r="E76" s="1" t="s">
        <v>62</v>
      </c>
    </row>
    <row r="77" spans="1:5" x14ac:dyDescent="0.35">
      <c r="A77" s="4">
        <v>45552</v>
      </c>
      <c r="B77" s="1" t="s">
        <v>20</v>
      </c>
      <c r="C77" s="1">
        <v>0</v>
      </c>
      <c r="D77" s="1">
        <v>1</v>
      </c>
      <c r="E77" s="1" t="s">
        <v>62</v>
      </c>
    </row>
    <row r="78" spans="1:5" x14ac:dyDescent="0.35">
      <c r="A78" s="4">
        <v>45552</v>
      </c>
      <c r="B78" s="1" t="s">
        <v>20</v>
      </c>
      <c r="C78" s="1">
        <v>1</v>
      </c>
      <c r="D78" s="1">
        <v>0</v>
      </c>
      <c r="E78" s="1" t="s">
        <v>62</v>
      </c>
    </row>
    <row r="79" spans="1:5" x14ac:dyDescent="0.35">
      <c r="A79" s="4">
        <v>45552</v>
      </c>
      <c r="B79" s="1" t="s">
        <v>20</v>
      </c>
      <c r="C79" s="1">
        <v>1</v>
      </c>
      <c r="D79" s="1">
        <v>0</v>
      </c>
      <c r="E79" s="1" t="s">
        <v>49</v>
      </c>
    </row>
    <row r="80" spans="1:5" x14ac:dyDescent="0.35">
      <c r="A80" s="4">
        <v>45552</v>
      </c>
      <c r="B80" s="1" t="s">
        <v>16</v>
      </c>
      <c r="C80" s="1">
        <v>0</v>
      </c>
      <c r="D80" s="1">
        <v>1</v>
      </c>
      <c r="E80" s="1"/>
    </row>
    <row r="81" spans="1:5" x14ac:dyDescent="0.35">
      <c r="A81" s="4">
        <v>45552</v>
      </c>
      <c r="B81" s="1" t="s">
        <v>16</v>
      </c>
      <c r="C81" s="1">
        <v>1</v>
      </c>
      <c r="D81" s="1">
        <v>0</v>
      </c>
      <c r="E81" s="1" t="s">
        <v>62</v>
      </c>
    </row>
    <row r="82" spans="1:5" x14ac:dyDescent="0.35">
      <c r="A82" s="4">
        <v>45552</v>
      </c>
      <c r="B82" s="1" t="s">
        <v>10</v>
      </c>
      <c r="C82" s="1">
        <v>0</v>
      </c>
      <c r="D82" s="1">
        <v>1</v>
      </c>
      <c r="E82" s="1" t="s">
        <v>62</v>
      </c>
    </row>
    <row r="83" spans="1:5" x14ac:dyDescent="0.35">
      <c r="A83" s="4">
        <v>45552</v>
      </c>
      <c r="B83" s="1" t="s">
        <v>10</v>
      </c>
      <c r="C83" s="1">
        <v>0</v>
      </c>
      <c r="D83" s="1">
        <v>1</v>
      </c>
      <c r="E83" s="1" t="s">
        <v>62</v>
      </c>
    </row>
    <row r="84" spans="1:5" x14ac:dyDescent="0.35">
      <c r="A84" s="4">
        <v>45552</v>
      </c>
      <c r="B84" s="1" t="s">
        <v>10</v>
      </c>
      <c r="C84" s="1">
        <v>0</v>
      </c>
      <c r="D84" s="1">
        <v>1</v>
      </c>
      <c r="E84" s="1" t="s">
        <v>62</v>
      </c>
    </row>
    <row r="85" spans="1:5" x14ac:dyDescent="0.35">
      <c r="A85" s="4">
        <v>45555</v>
      </c>
      <c r="B85" s="1" t="s">
        <v>23</v>
      </c>
      <c r="C85" s="1">
        <v>0</v>
      </c>
      <c r="D85" s="1">
        <v>1</v>
      </c>
      <c r="E85" s="1" t="s">
        <v>54</v>
      </c>
    </row>
    <row r="86" spans="1:5" x14ac:dyDescent="0.35">
      <c r="A86" s="4">
        <v>45555</v>
      </c>
      <c r="B86" s="1" t="s">
        <v>12</v>
      </c>
      <c r="C86" s="1">
        <v>0</v>
      </c>
      <c r="D86" s="1">
        <v>1</v>
      </c>
      <c r="E86" s="1" t="s">
        <v>62</v>
      </c>
    </row>
    <row r="87" spans="1:5" x14ac:dyDescent="0.35">
      <c r="A87" s="4">
        <v>45555</v>
      </c>
      <c r="B87" s="1" t="s">
        <v>12</v>
      </c>
      <c r="C87" s="1">
        <v>0</v>
      </c>
      <c r="D87" s="1">
        <v>1</v>
      </c>
      <c r="E87" s="1" t="s">
        <v>49</v>
      </c>
    </row>
    <row r="88" spans="1:5" x14ac:dyDescent="0.35">
      <c r="A88" s="4">
        <v>45555</v>
      </c>
      <c r="B88" s="1" t="s">
        <v>24</v>
      </c>
      <c r="C88" s="1">
        <v>0</v>
      </c>
      <c r="D88" s="1">
        <v>1</v>
      </c>
      <c r="E88" s="1" t="s">
        <v>62</v>
      </c>
    </row>
    <row r="89" spans="1:5" x14ac:dyDescent="0.35">
      <c r="A89" s="4">
        <v>45555</v>
      </c>
      <c r="B89" s="1" t="s">
        <v>24</v>
      </c>
      <c r="C89" s="1">
        <v>0</v>
      </c>
      <c r="D89" s="1">
        <v>1</v>
      </c>
      <c r="E89" s="1" t="s">
        <v>62</v>
      </c>
    </row>
    <row r="90" spans="1:5" x14ac:dyDescent="0.35">
      <c r="A90" s="4">
        <v>45555</v>
      </c>
      <c r="B90" s="1" t="s">
        <v>24</v>
      </c>
      <c r="C90" s="1">
        <v>1</v>
      </c>
      <c r="D90" s="1">
        <v>0</v>
      </c>
      <c r="E90" s="1" t="s">
        <v>59</v>
      </c>
    </row>
    <row r="91" spans="1:5" x14ac:dyDescent="0.35">
      <c r="A91" s="4">
        <v>45555</v>
      </c>
      <c r="B91" s="1" t="s">
        <v>18</v>
      </c>
      <c r="C91" s="1">
        <v>0</v>
      </c>
      <c r="D91" s="1">
        <v>1</v>
      </c>
      <c r="E91" s="1" t="s">
        <v>63</v>
      </c>
    </row>
    <row r="92" spans="1:5" x14ac:dyDescent="0.35">
      <c r="A92" s="4">
        <v>45555</v>
      </c>
      <c r="B92" s="1" t="s">
        <v>19</v>
      </c>
      <c r="C92" s="1">
        <v>0</v>
      </c>
      <c r="D92" s="1">
        <v>1</v>
      </c>
      <c r="E92" s="1" t="s">
        <v>62</v>
      </c>
    </row>
    <row r="93" spans="1:5" x14ac:dyDescent="0.35">
      <c r="A93" s="4">
        <v>45555</v>
      </c>
      <c r="B93" s="1" t="s">
        <v>22</v>
      </c>
      <c r="C93" s="1">
        <v>0</v>
      </c>
      <c r="D93" s="1">
        <v>1</v>
      </c>
      <c r="E93" s="1" t="s">
        <v>62</v>
      </c>
    </row>
    <row r="94" spans="1:5" x14ac:dyDescent="0.35">
      <c r="A94" s="4">
        <v>45555</v>
      </c>
      <c r="B94" s="1" t="s">
        <v>20</v>
      </c>
      <c r="C94" s="1">
        <v>0</v>
      </c>
      <c r="D94" s="1">
        <v>1</v>
      </c>
      <c r="E94" s="1" t="s">
        <v>62</v>
      </c>
    </row>
    <row r="95" spans="1:5" x14ac:dyDescent="0.35">
      <c r="A95" s="4">
        <v>45555</v>
      </c>
      <c r="B95" s="1" t="s">
        <v>20</v>
      </c>
      <c r="C95" s="1">
        <v>0</v>
      </c>
      <c r="D95" s="1">
        <v>1</v>
      </c>
      <c r="E95" s="1"/>
    </row>
    <row r="96" spans="1:5" x14ac:dyDescent="0.35">
      <c r="A96" s="4">
        <v>45555</v>
      </c>
      <c r="B96" s="1" t="s">
        <v>20</v>
      </c>
      <c r="C96" s="1">
        <v>1</v>
      </c>
      <c r="D96" s="1">
        <v>0</v>
      </c>
      <c r="E96" s="1" t="s">
        <v>55</v>
      </c>
    </row>
    <row r="97" spans="1:5" x14ac:dyDescent="0.35">
      <c r="A97" s="4">
        <v>45555</v>
      </c>
      <c r="B97" s="1" t="s">
        <v>16</v>
      </c>
      <c r="C97" s="1">
        <v>0</v>
      </c>
      <c r="D97" s="1">
        <v>1</v>
      </c>
      <c r="E97" s="1" t="s">
        <v>51</v>
      </c>
    </row>
  </sheetData>
  <mergeCells count="1">
    <mergeCell ref="P11:Q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B018-B426-49E3-BAE4-C4B2B4E7D6EE}">
  <sheetPr>
    <pageSetUpPr autoPageBreaks="0"/>
  </sheetPr>
  <dimension ref="A1:BV28"/>
  <sheetViews>
    <sheetView zoomScaleNormal="100" workbookViewId="0">
      <selection activeCell="Q13" sqref="Q13"/>
    </sheetView>
  </sheetViews>
  <sheetFormatPr defaultRowHeight="14.5" x14ac:dyDescent="0.35"/>
  <cols>
    <col min="1" max="1" width="10.54296875" bestFit="1" customWidth="1"/>
    <col min="2" max="3" width="12.08984375" bestFit="1" customWidth="1"/>
    <col min="4" max="4" width="9.90625" bestFit="1" customWidth="1"/>
    <col min="5" max="5" width="7.6328125" bestFit="1" customWidth="1"/>
    <col min="6" max="6" width="9.08984375" bestFit="1" customWidth="1"/>
    <col min="7" max="7" width="7.453125" bestFit="1" customWidth="1"/>
    <col min="8" max="8" width="7.26953125" bestFit="1" customWidth="1"/>
    <col min="10" max="10" width="11.26953125" bestFit="1" customWidth="1"/>
    <col min="11" max="12" width="7.81640625" bestFit="1" customWidth="1"/>
    <col min="13" max="13" width="10.54296875" bestFit="1" customWidth="1"/>
    <col min="14" max="14" width="10.90625" bestFit="1" customWidth="1"/>
    <col min="15" max="15" width="7.54296875" bestFit="1" customWidth="1"/>
    <col min="16" max="16" width="14.54296875" customWidth="1"/>
    <col min="17" max="17" width="16.08984375" bestFit="1" customWidth="1"/>
    <col min="18" max="18" width="19.6328125" bestFit="1" customWidth="1"/>
    <col min="19" max="19" width="10.7265625" bestFit="1" customWidth="1"/>
    <col min="20" max="21" width="12.36328125" bestFit="1" customWidth="1"/>
    <col min="22" max="22" width="10.08984375" bestFit="1" customWidth="1"/>
    <col min="23" max="23" width="7.7265625" bestFit="1" customWidth="1"/>
    <col min="24" max="24" width="9.26953125" bestFit="1" customWidth="1"/>
    <col min="25" max="25" width="7.453125" bestFit="1" customWidth="1"/>
    <col min="26" max="26" width="7.36328125" bestFit="1" customWidth="1"/>
    <col min="27" max="27" width="8.81640625" bestFit="1" customWidth="1"/>
    <col min="28" max="28" width="11.54296875" bestFit="1" customWidth="1"/>
    <col min="29" max="30" width="8" bestFit="1" customWidth="1"/>
    <col min="31" max="31" width="10.7265625" bestFit="1" customWidth="1"/>
    <col min="32" max="32" width="11" bestFit="1" customWidth="1"/>
    <col min="33" max="33" width="7.7265625" bestFit="1" customWidth="1"/>
    <col min="34" max="34" width="14.54296875" bestFit="1" customWidth="1"/>
    <col min="37" max="37" width="10.7265625" bestFit="1" customWidth="1"/>
    <col min="38" max="39" width="12.36328125" bestFit="1" customWidth="1"/>
    <col min="40" max="40" width="10.08984375" bestFit="1" customWidth="1"/>
    <col min="41" max="41" width="7.7265625" bestFit="1" customWidth="1"/>
    <col min="42" max="42" width="9.26953125" bestFit="1" customWidth="1"/>
    <col min="43" max="43" width="7.453125" bestFit="1" customWidth="1"/>
    <col min="44" max="44" width="7.36328125" bestFit="1" customWidth="1"/>
    <col min="45" max="45" width="8.81640625" bestFit="1" customWidth="1"/>
    <col min="46" max="46" width="11.54296875" bestFit="1" customWidth="1"/>
    <col min="47" max="48" width="8" bestFit="1" customWidth="1"/>
    <col min="49" max="49" width="10.7265625" bestFit="1" customWidth="1"/>
    <col min="50" max="50" width="11" bestFit="1" customWidth="1"/>
    <col min="51" max="51" width="7.7265625" bestFit="1" customWidth="1"/>
    <col min="52" max="52" width="14.54296875" customWidth="1"/>
    <col min="55" max="55" width="10.7265625" customWidth="1"/>
    <col min="56" max="56" width="12.36328125" customWidth="1"/>
    <col min="57" max="57" width="12.36328125" bestFit="1" customWidth="1"/>
    <col min="58" max="58" width="10.08984375" bestFit="1" customWidth="1"/>
    <col min="59" max="59" width="7.7265625" bestFit="1" customWidth="1"/>
    <col min="60" max="60" width="9.26953125" bestFit="1" customWidth="1"/>
    <col min="61" max="61" width="7.453125" customWidth="1"/>
    <col min="62" max="62" width="7.36328125" bestFit="1" customWidth="1"/>
    <col min="63" max="63" width="8.81640625" bestFit="1" customWidth="1"/>
    <col min="64" max="64" width="11.54296875" bestFit="1" customWidth="1"/>
    <col min="65" max="66" width="8" bestFit="1" customWidth="1"/>
    <col min="67" max="67" width="10.7265625" bestFit="1" customWidth="1"/>
    <col min="68" max="68" width="11" bestFit="1" customWidth="1"/>
    <col min="69" max="69" width="7.7265625" bestFit="1" customWidth="1"/>
    <col min="70" max="70" width="14.54296875" bestFit="1" customWidth="1"/>
  </cols>
  <sheetData>
    <row r="1" spans="1:74" x14ac:dyDescent="0.35">
      <c r="A1" s="6"/>
      <c r="B1" s="6"/>
      <c r="C1" s="41" t="s">
        <v>81</v>
      </c>
      <c r="D1" s="37"/>
      <c r="E1" s="35" t="s">
        <v>82</v>
      </c>
      <c r="F1" s="35"/>
      <c r="G1" s="35"/>
      <c r="H1" s="35"/>
      <c r="I1" s="35"/>
      <c r="J1" s="35"/>
      <c r="K1" s="37"/>
      <c r="L1" s="41" t="s">
        <v>83</v>
      </c>
      <c r="M1" s="35"/>
      <c r="N1" s="35"/>
      <c r="O1" s="37"/>
      <c r="P1" s="22" t="s">
        <v>90</v>
      </c>
      <c r="S1" s="6"/>
      <c r="T1" s="6"/>
      <c r="U1" s="38" t="s">
        <v>84</v>
      </c>
      <c r="V1" s="40"/>
      <c r="W1" s="38" t="s">
        <v>85</v>
      </c>
      <c r="X1" s="39"/>
      <c r="Y1" s="39"/>
      <c r="Z1" s="39"/>
      <c r="AA1" s="39"/>
      <c r="AB1" s="39"/>
      <c r="AC1" s="40"/>
      <c r="AD1" s="38" t="s">
        <v>86</v>
      </c>
      <c r="AE1" s="39"/>
      <c r="AF1" s="39"/>
      <c r="AG1" s="40"/>
      <c r="AH1" s="23" t="s">
        <v>90</v>
      </c>
      <c r="AK1" s="6"/>
      <c r="AL1" s="6"/>
      <c r="AM1" s="35" t="s">
        <v>87</v>
      </c>
      <c r="AN1" s="37"/>
      <c r="AO1" s="41" t="s">
        <v>88</v>
      </c>
      <c r="AP1" s="35"/>
      <c r="AQ1" s="35"/>
      <c r="AR1" s="35"/>
      <c r="AS1" s="35"/>
      <c r="AT1" s="35"/>
      <c r="AU1" s="37"/>
      <c r="AV1" s="41" t="s">
        <v>89</v>
      </c>
      <c r="AW1" s="35"/>
      <c r="AX1" s="35"/>
      <c r="AY1" s="37"/>
      <c r="AZ1" s="23" t="s">
        <v>90</v>
      </c>
      <c r="BC1" s="21"/>
      <c r="BD1" s="20"/>
      <c r="BE1" s="35" t="s">
        <v>91</v>
      </c>
      <c r="BF1" s="37"/>
      <c r="BG1" s="35" t="s">
        <v>92</v>
      </c>
      <c r="BH1" s="35"/>
      <c r="BI1" s="35"/>
      <c r="BJ1" s="35"/>
      <c r="BK1" s="35"/>
      <c r="BL1" s="35"/>
      <c r="BM1" s="37"/>
      <c r="BN1" s="35" t="s">
        <v>93</v>
      </c>
      <c r="BO1" s="35"/>
      <c r="BP1" s="35"/>
      <c r="BQ1" s="37"/>
      <c r="BR1" s="12" t="s">
        <v>90</v>
      </c>
    </row>
    <row r="2" spans="1:74" x14ac:dyDescent="0.35">
      <c r="A2" s="3" t="s">
        <v>1</v>
      </c>
      <c r="B2" s="3" t="s">
        <v>67</v>
      </c>
      <c r="C2" s="8" t="s">
        <v>75</v>
      </c>
      <c r="D2" s="7" t="s">
        <v>77</v>
      </c>
      <c r="E2" s="3" t="s">
        <v>69</v>
      </c>
      <c r="F2" s="3" t="s">
        <v>68</v>
      </c>
      <c r="G2" s="3" t="s">
        <v>70</v>
      </c>
      <c r="H2" s="3" t="s">
        <v>64</v>
      </c>
      <c r="I2" s="3" t="s">
        <v>4</v>
      </c>
      <c r="J2" s="3" t="s">
        <v>76</v>
      </c>
      <c r="K2" s="7" t="s">
        <v>66</v>
      </c>
      <c r="L2" s="8" t="s">
        <v>74</v>
      </c>
      <c r="M2" s="3" t="s">
        <v>71</v>
      </c>
      <c r="N2" s="3" t="s">
        <v>78</v>
      </c>
      <c r="O2" s="7" t="s">
        <v>65</v>
      </c>
      <c r="P2" s="11" t="s">
        <v>79</v>
      </c>
      <c r="Q2" s="3"/>
      <c r="S2" s="18" t="s">
        <v>1</v>
      </c>
      <c r="T2" s="18" t="s">
        <v>67</v>
      </c>
      <c r="U2" s="17" t="s">
        <v>75</v>
      </c>
      <c r="V2" s="19" t="s">
        <v>77</v>
      </c>
      <c r="W2" s="17" t="s">
        <v>69</v>
      </c>
      <c r="X2" s="18" t="s">
        <v>68</v>
      </c>
      <c r="Y2" s="18" t="s">
        <v>70</v>
      </c>
      <c r="Z2" s="18" t="s">
        <v>64</v>
      </c>
      <c r="AA2" s="18" t="s">
        <v>4</v>
      </c>
      <c r="AB2" s="18" t="s">
        <v>76</v>
      </c>
      <c r="AC2" s="19" t="s">
        <v>66</v>
      </c>
      <c r="AD2" s="17" t="s">
        <v>74</v>
      </c>
      <c r="AE2" s="18" t="s">
        <v>71</v>
      </c>
      <c r="AF2" s="18" t="s">
        <v>78</v>
      </c>
      <c r="AG2" s="18" t="s">
        <v>65</v>
      </c>
      <c r="AH2" s="18" t="s">
        <v>79</v>
      </c>
      <c r="AI2" s="15"/>
      <c r="AK2" s="15" t="s">
        <v>1</v>
      </c>
      <c r="AL2" s="16" t="s">
        <v>67</v>
      </c>
      <c r="AM2" s="1" t="s">
        <v>75</v>
      </c>
      <c r="AN2" s="16" t="s">
        <v>77</v>
      </c>
      <c r="AO2" s="15" t="s">
        <v>69</v>
      </c>
      <c r="AP2" s="1" t="s">
        <v>68</v>
      </c>
      <c r="AQ2" s="1" t="s">
        <v>70</v>
      </c>
      <c r="AR2" s="1" t="s">
        <v>64</v>
      </c>
      <c r="AS2" s="1" t="s">
        <v>4</v>
      </c>
      <c r="AT2" s="1" t="s">
        <v>76</v>
      </c>
      <c r="AU2" s="16" t="s">
        <v>66</v>
      </c>
      <c r="AV2" s="15" t="s">
        <v>74</v>
      </c>
      <c r="AW2" s="1" t="s">
        <v>71</v>
      </c>
      <c r="AX2" s="1" t="s">
        <v>78</v>
      </c>
      <c r="AY2" s="16" t="s">
        <v>65</v>
      </c>
      <c r="AZ2" s="1" t="s">
        <v>79</v>
      </c>
      <c r="BA2" s="15"/>
      <c r="BC2" s="15" t="s">
        <v>1</v>
      </c>
      <c r="BD2" s="16" t="s">
        <v>67</v>
      </c>
      <c r="BE2" s="1" t="s">
        <v>75</v>
      </c>
      <c r="BF2" s="16" t="s">
        <v>77</v>
      </c>
      <c r="BG2" s="1" t="s">
        <v>69</v>
      </c>
      <c r="BH2" s="1" t="s">
        <v>68</v>
      </c>
      <c r="BI2" s="1" t="s">
        <v>70</v>
      </c>
      <c r="BJ2" s="1" t="s">
        <v>64</v>
      </c>
      <c r="BK2" s="1" t="s">
        <v>4</v>
      </c>
      <c r="BL2" s="1" t="s">
        <v>76</v>
      </c>
      <c r="BM2" s="16" t="s">
        <v>66</v>
      </c>
      <c r="BN2" s="1" t="s">
        <v>74</v>
      </c>
      <c r="BO2" s="1" t="s">
        <v>71</v>
      </c>
      <c r="BP2" s="1" t="s">
        <v>78</v>
      </c>
      <c r="BQ2" s="16" t="s">
        <v>65</v>
      </c>
      <c r="BR2" s="1" t="s">
        <v>79</v>
      </c>
      <c r="BS2" s="1"/>
    </row>
    <row r="3" spans="1:74" x14ac:dyDescent="0.35">
      <c r="A3" t="s">
        <v>10</v>
      </c>
      <c r="B3">
        <v>0</v>
      </c>
      <c r="C3" s="10">
        <v>640</v>
      </c>
      <c r="D3" s="9">
        <v>57</v>
      </c>
      <c r="E3">
        <v>50</v>
      </c>
      <c r="F3">
        <v>87</v>
      </c>
      <c r="G3">
        <v>18</v>
      </c>
      <c r="H3">
        <v>15</v>
      </c>
      <c r="I3">
        <v>10</v>
      </c>
      <c r="J3">
        <v>48</v>
      </c>
      <c r="K3" s="9">
        <v>19</v>
      </c>
      <c r="L3" s="10">
        <v>75</v>
      </c>
      <c r="M3">
        <v>49</v>
      </c>
      <c r="N3">
        <v>1</v>
      </c>
      <c r="O3" s="9">
        <v>33</v>
      </c>
      <c r="P3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8.9908062500000003</v>
      </c>
      <c r="S3" t="s">
        <v>10</v>
      </c>
      <c r="T3">
        <v>0</v>
      </c>
      <c r="U3" s="10">
        <v>341</v>
      </c>
      <c r="V3" s="9">
        <v>33</v>
      </c>
      <c r="W3" s="10">
        <v>24</v>
      </c>
      <c r="X3">
        <v>33</v>
      </c>
      <c r="Y3">
        <v>9</v>
      </c>
      <c r="Z3">
        <v>7</v>
      </c>
      <c r="AA3">
        <v>6</v>
      </c>
      <c r="AB3">
        <v>30</v>
      </c>
      <c r="AC3" s="9">
        <v>11</v>
      </c>
      <c r="AD3" s="10">
        <v>43</v>
      </c>
      <c r="AE3">
        <v>14</v>
      </c>
      <c r="AF3">
        <v>1</v>
      </c>
      <c r="AG3">
        <v>18</v>
      </c>
      <c r="AH3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8.2182199413489716</v>
      </c>
      <c r="AI3" s="10"/>
      <c r="AK3" s="10" t="s">
        <v>10</v>
      </c>
      <c r="AL3" s="9">
        <v>0</v>
      </c>
      <c r="AM3">
        <f>27+25+21+21+17+20+11+23+13+20+16+16+21</f>
        <v>251</v>
      </c>
      <c r="AN3" s="9">
        <f>1+4+1+0+2+1+1+2+0+0+1+0+4</f>
        <v>17</v>
      </c>
      <c r="AO3" s="10">
        <f>3+1+1+0+2+2+1+1+1+1+1+1+2</f>
        <v>17</v>
      </c>
      <c r="AP3">
        <f>3+2+1+2+1+0+2+3+3+5+3+3+2</f>
        <v>30</v>
      </c>
      <c r="AQ3">
        <f>0+1+1+0+1+1+0+0+0+1+1+1+0</f>
        <v>7</v>
      </c>
      <c r="AR3">
        <f>0+0+2+0+0+0+0+2+0+0+1+0+0</f>
        <v>5</v>
      </c>
      <c r="AS3">
        <f>0+0+0+0+2+0+0+2+0+0+1+1+0</f>
        <v>6</v>
      </c>
      <c r="AT3">
        <f>2+3+2+2+2+3+1+1+0+0+0+1+3</f>
        <v>20</v>
      </c>
      <c r="AU3" s="9">
        <f>0+0+3+0+0+0+0+0+0+0+0+0+0</f>
        <v>3</v>
      </c>
      <c r="AV3" s="10">
        <f>3+5+4+5+1+2+3+2+1+5+2+2+0</f>
        <v>35</v>
      </c>
      <c r="AW3">
        <f>2+0+1+1+1+0+0+2+1+2+2+2+3</f>
        <v>17</v>
      </c>
      <c r="AX3">
        <f>0+0+0+0+0+0+0+0+0+0+0+0+0</f>
        <v>0</v>
      </c>
      <c r="AY3" s="9">
        <f>1+2+1+1+0+0+1+0+2+1+1+0+1</f>
        <v>11</v>
      </c>
      <c r="AZ3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8.4383545816733072</v>
      </c>
      <c r="BA3" s="10"/>
      <c r="BC3" s="10" t="s">
        <v>10</v>
      </c>
      <c r="BD3" s="9">
        <v>0</v>
      </c>
      <c r="BE3">
        <f>SeasonPER[[#This Row],[Minutes]]-WPER[[#This Row],[Minutes]]</f>
        <v>389</v>
      </c>
      <c r="BF3">
        <f>SeasonPER[[#This Row],[Fouls]]-WPER[[#This Row],[Fouls]]</f>
        <v>40</v>
      </c>
      <c r="BG3">
        <f>SeasonPER[[#This Row],[FG]]-WPER[[#This Row],[FG]]</f>
        <v>33</v>
      </c>
      <c r="BH3">
        <f>SeasonPER[[#This Row],[FGM]]-WPER[[#This Row],[FGM]]</f>
        <v>57</v>
      </c>
      <c r="BI3">
        <f>SeasonPER[[#This Row],[3P]]-WPER[[#This Row],[3P]]</f>
        <v>11</v>
      </c>
      <c r="BJ3">
        <f>SeasonPER[[#This Row],[FT]]-WPER[[#This Row],[FT]]</f>
        <v>10</v>
      </c>
      <c r="BK3">
        <f>SeasonPER[[#This Row],[FTM]]-WPER[[#This Row],[FTM]]</f>
        <v>4</v>
      </c>
      <c r="BL3">
        <f>SeasonPER[[#This Row],[Assists]]-WPER[[#This Row],[Assists]]</f>
        <v>28</v>
      </c>
      <c r="BM3">
        <f>SeasonPER[[#This Row],[OR]]-WPER[[#This Row],[OR]]</f>
        <v>16</v>
      </c>
      <c r="BN3">
        <f>SeasonPER[[#This Row],[DR]]-WPER[[#This Row],[DR]]</f>
        <v>40</v>
      </c>
      <c r="BO3">
        <f>SeasonPER[[#This Row],[Steals]]-WPER[[#This Row],[Steals]]</f>
        <v>32</v>
      </c>
      <c r="BP3">
        <f>SeasonPER[[#This Row],[Blocks]]-WPER[[#This Row],[Blocks]]</f>
        <v>1</v>
      </c>
      <c r="BQ3">
        <f>SeasonPER[[#This Row],[TO]]-WPER[[#This Row],[TO]]</f>
        <v>22</v>
      </c>
      <c r="BR3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9.3472724935732625</v>
      </c>
      <c r="BU3" t="s">
        <v>10</v>
      </c>
      <c r="BV3">
        <f>WPER[[#This Row],[PER]]-LPER[[#This Row],[PER]]</f>
        <v>-0.9089179118999553</v>
      </c>
    </row>
    <row r="4" spans="1:74" x14ac:dyDescent="0.35">
      <c r="A4" t="s">
        <v>24</v>
      </c>
      <c r="B4">
        <v>1</v>
      </c>
      <c r="C4" s="10">
        <v>919</v>
      </c>
      <c r="D4" s="9">
        <v>54</v>
      </c>
      <c r="E4">
        <v>123</v>
      </c>
      <c r="F4">
        <v>204</v>
      </c>
      <c r="G4">
        <v>56</v>
      </c>
      <c r="H4">
        <v>60</v>
      </c>
      <c r="I4">
        <v>23</v>
      </c>
      <c r="J4">
        <v>77</v>
      </c>
      <c r="K4" s="9">
        <v>25</v>
      </c>
      <c r="L4" s="10">
        <v>97</v>
      </c>
      <c r="M4">
        <v>26</v>
      </c>
      <c r="N4">
        <v>1</v>
      </c>
      <c r="O4" s="9">
        <v>55</v>
      </c>
      <c r="P4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11.364970620239394</v>
      </c>
      <c r="S4" t="s">
        <v>24</v>
      </c>
      <c r="T4">
        <v>1</v>
      </c>
      <c r="U4" s="10">
        <v>565</v>
      </c>
      <c r="V4" s="9">
        <v>35</v>
      </c>
      <c r="W4" s="10">
        <v>81</v>
      </c>
      <c r="X4">
        <v>121</v>
      </c>
      <c r="Y4">
        <v>32</v>
      </c>
      <c r="Z4">
        <v>31</v>
      </c>
      <c r="AA4">
        <v>12</v>
      </c>
      <c r="AB4">
        <v>48</v>
      </c>
      <c r="AC4" s="9">
        <v>13</v>
      </c>
      <c r="AD4" s="10">
        <v>62</v>
      </c>
      <c r="AE4">
        <v>16</v>
      </c>
      <c r="AF4">
        <v>0</v>
      </c>
      <c r="AG4">
        <v>39</v>
      </c>
      <c r="AH4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11.201992920353982</v>
      </c>
      <c r="AI4" s="10"/>
      <c r="AK4" s="10" t="s">
        <v>24</v>
      </c>
      <c r="AL4" s="9">
        <v>1</v>
      </c>
      <c r="AM4">
        <f>34+33+35+36+32+31+30+22+26+20+16+24+21</f>
        <v>360</v>
      </c>
      <c r="AN4" s="9">
        <f>2+4+1+2+3+1+0+2+4+1+2+1+0</f>
        <v>23</v>
      </c>
      <c r="AO4" s="10">
        <f>3+5+6+7+6+4+6+3+1+2+1+4+4</f>
        <v>52</v>
      </c>
      <c r="AP4">
        <f>8+5+12+6+4+5+7+7+1+2+1+4+4</f>
        <v>66</v>
      </c>
      <c r="AQ4">
        <f>0+1+1+3+3+1+2+2+1+1+0+1+4</f>
        <v>20</v>
      </c>
      <c r="AR4">
        <f>7+2+6+0+5+2+1+0+1+0+0+0+5</f>
        <v>29</v>
      </c>
      <c r="AS4">
        <f>2+0+0+0+1+0+2+0+2+0+0+0+1</f>
        <v>8</v>
      </c>
      <c r="AT4">
        <f>6+4+4+2+0+3+5+2+2+3+1+5+0</f>
        <v>37</v>
      </c>
      <c r="AU4" s="9">
        <f>1+0+0+0+0+0+1+0+1+0+0+1+0</f>
        <v>4</v>
      </c>
      <c r="AV4" s="10">
        <f>5+2+3+3+9+3+3+2+3+4+1+1+1</f>
        <v>40</v>
      </c>
      <c r="AW4">
        <f>4+1+2+1+1+1+2+0+0+0+0+1+0</f>
        <v>13</v>
      </c>
      <c r="AX4">
        <f>0+0+0+0+0+0+0+0+0+0+0+0+0</f>
        <v>0</v>
      </c>
      <c r="AY4" s="9">
        <f>0+2+4+4+1+4+1+0+3+0+1+0+0</f>
        <v>20</v>
      </c>
      <c r="AZ4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14.91529166666667</v>
      </c>
      <c r="BA4" s="10"/>
      <c r="BC4" s="10" t="s">
        <v>24</v>
      </c>
      <c r="BD4" s="9">
        <v>1</v>
      </c>
      <c r="BE4">
        <f>SeasonPER[[#This Row],[Minutes]]-WPER[[#This Row],[Minutes]]</f>
        <v>559</v>
      </c>
      <c r="BF4">
        <f>SeasonPER[[#This Row],[Fouls]]-WPER[[#This Row],[Fouls]]</f>
        <v>31</v>
      </c>
      <c r="BG4">
        <f>SeasonPER[[#This Row],[FG]]-WPER[[#This Row],[FG]]</f>
        <v>71</v>
      </c>
      <c r="BH4">
        <f>SeasonPER[[#This Row],[FGM]]-WPER[[#This Row],[FGM]]</f>
        <v>138</v>
      </c>
      <c r="BI4">
        <f>SeasonPER[[#This Row],[3P]]-WPER[[#This Row],[3P]]</f>
        <v>36</v>
      </c>
      <c r="BJ4">
        <f>SeasonPER[[#This Row],[FT]]-WPER[[#This Row],[FT]]</f>
        <v>31</v>
      </c>
      <c r="BK4">
        <f>SeasonPER[[#This Row],[FTM]]-WPER[[#This Row],[FTM]]</f>
        <v>15</v>
      </c>
      <c r="BL4">
        <f>SeasonPER[[#This Row],[Assists]]-WPER[[#This Row],[Assists]]</f>
        <v>40</v>
      </c>
      <c r="BM4">
        <f>SeasonPER[[#This Row],[OR]]-WPER[[#This Row],[OR]]</f>
        <v>21</v>
      </c>
      <c r="BN4">
        <f>SeasonPER[[#This Row],[DR]]-WPER[[#This Row],[DR]]</f>
        <v>57</v>
      </c>
      <c r="BO4">
        <f>SeasonPER[[#This Row],[Steals]]-WPER[[#This Row],[Steals]]</f>
        <v>13</v>
      </c>
      <c r="BP4">
        <f>SeasonPER[[#This Row],[Blocks]]-WPER[[#This Row],[Blocks]]</f>
        <v>1</v>
      </c>
      <c r="BQ4">
        <f>SeasonPER[[#This Row],[TO]]-WPER[[#This Row],[TO]]</f>
        <v>35</v>
      </c>
      <c r="BR4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9.0785384615384626</v>
      </c>
      <c r="BU4" t="s">
        <v>24</v>
      </c>
      <c r="BV4">
        <f>WPER[[#This Row],[PER]]-LPER[[#This Row],[PER]]</f>
        <v>5.8367532051282076</v>
      </c>
    </row>
    <row r="5" spans="1:74" x14ac:dyDescent="0.35">
      <c r="A5" t="s">
        <v>80</v>
      </c>
      <c r="B5">
        <v>3</v>
      </c>
      <c r="C5" s="10">
        <v>179</v>
      </c>
      <c r="D5" s="9">
        <v>9</v>
      </c>
      <c r="E5">
        <v>30</v>
      </c>
      <c r="F5">
        <v>45</v>
      </c>
      <c r="G5">
        <v>9</v>
      </c>
      <c r="H5">
        <v>10</v>
      </c>
      <c r="I5">
        <v>10</v>
      </c>
      <c r="J5">
        <v>11</v>
      </c>
      <c r="K5" s="9">
        <v>8</v>
      </c>
      <c r="L5" s="10">
        <v>26</v>
      </c>
      <c r="M5">
        <v>2</v>
      </c>
      <c r="N5">
        <v>1</v>
      </c>
      <c r="O5" s="9">
        <v>13</v>
      </c>
      <c r="P5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10.705078212290497</v>
      </c>
      <c r="S5" t="s">
        <v>19</v>
      </c>
      <c r="T5">
        <v>4</v>
      </c>
      <c r="U5" s="10">
        <v>22</v>
      </c>
      <c r="V5" s="9">
        <v>3</v>
      </c>
      <c r="W5" s="10">
        <v>2</v>
      </c>
      <c r="X5">
        <v>1</v>
      </c>
      <c r="Y5">
        <v>1</v>
      </c>
      <c r="Z5">
        <v>0</v>
      </c>
      <c r="AA5">
        <v>0</v>
      </c>
      <c r="AB5">
        <v>0</v>
      </c>
      <c r="AC5" s="9">
        <v>1</v>
      </c>
      <c r="AD5" s="10">
        <v>2</v>
      </c>
      <c r="AE5">
        <v>0</v>
      </c>
      <c r="AF5">
        <v>0</v>
      </c>
      <c r="AG5">
        <v>1</v>
      </c>
      <c r="AH5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6.7078181818181823</v>
      </c>
      <c r="AI5" s="10"/>
      <c r="AK5" s="10" t="s">
        <v>80</v>
      </c>
      <c r="AL5" s="9">
        <v>3</v>
      </c>
      <c r="AM5">
        <f>25+26+20</f>
        <v>71</v>
      </c>
      <c r="AN5" s="9">
        <f>2+1+2</f>
        <v>5</v>
      </c>
      <c r="AO5" s="10">
        <f>0+5+4</f>
        <v>9</v>
      </c>
      <c r="AP5">
        <f>6+2+6</f>
        <v>14</v>
      </c>
      <c r="AQ5">
        <f>0+2+0</f>
        <v>2</v>
      </c>
      <c r="AR5">
        <f>3+0+0</f>
        <v>3</v>
      </c>
      <c r="AS5">
        <f>1+0+1</f>
        <v>2</v>
      </c>
      <c r="AT5">
        <f>3+2+4</f>
        <v>9</v>
      </c>
      <c r="AU5" s="9">
        <f>1+0+2</f>
        <v>3</v>
      </c>
      <c r="AV5" s="10">
        <f>3+8+2</f>
        <v>13</v>
      </c>
      <c r="AW5">
        <f>1+1+0</f>
        <v>2</v>
      </c>
      <c r="AX5">
        <f>0+0+0</f>
        <v>0</v>
      </c>
      <c r="AY5" s="9">
        <f>0+1+1</f>
        <v>2</v>
      </c>
      <c r="AZ5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13.568746478873235</v>
      </c>
      <c r="BA5" s="10"/>
      <c r="BC5" s="10" t="s">
        <v>80</v>
      </c>
      <c r="BD5" s="9">
        <v>3</v>
      </c>
      <c r="BE5">
        <f>SeasonPER[[#This Row],[Minutes]]-WPER[[#This Row],[Minutes]]</f>
        <v>108</v>
      </c>
      <c r="BF5">
        <f>SeasonPER[[#This Row],[Fouls]]-WPER[[#This Row],[Fouls]]</f>
        <v>4</v>
      </c>
      <c r="BG5">
        <f>SeasonPER[[#This Row],[FG]]-WPER[[#This Row],[FG]]</f>
        <v>21</v>
      </c>
      <c r="BH5">
        <f>SeasonPER[[#This Row],[FGM]]-WPER[[#This Row],[FGM]]</f>
        <v>31</v>
      </c>
      <c r="BI5">
        <f>SeasonPER[[#This Row],[3P]]-WPER[[#This Row],[3P]]</f>
        <v>7</v>
      </c>
      <c r="BJ5">
        <f>SeasonPER[[#This Row],[FT]]-WPER[[#This Row],[FT]]</f>
        <v>7</v>
      </c>
      <c r="BK5">
        <f>SeasonPER[[#This Row],[FTM]]-WPER[[#This Row],[FTM]]</f>
        <v>8</v>
      </c>
      <c r="BL5">
        <f>SeasonPER[[#This Row],[Assists]]-WPER[[#This Row],[Assists]]</f>
        <v>2</v>
      </c>
      <c r="BM5">
        <f>SeasonPER[[#This Row],[OR]]-WPER[[#This Row],[OR]]</f>
        <v>5</v>
      </c>
      <c r="BN5">
        <f>SeasonPER[[#This Row],[DR]]-WPER[[#This Row],[DR]]</f>
        <v>13</v>
      </c>
      <c r="BO5">
        <f>SeasonPER[[#This Row],[Steals]]-WPER[[#This Row],[Steals]]</f>
        <v>0</v>
      </c>
      <c r="BP5">
        <f>SeasonPER[[#This Row],[Blocks]]-WPER[[#This Row],[Blocks]]</f>
        <v>1</v>
      </c>
      <c r="BQ5">
        <f>SeasonPER[[#This Row],[TO]]-WPER[[#This Row],[TO]]</f>
        <v>11</v>
      </c>
      <c r="BR5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8.8224814814814749</v>
      </c>
      <c r="BU5" t="s">
        <v>80</v>
      </c>
      <c r="BV5">
        <f>WPER[[#This Row],[PER]]-LPER[[#This Row],[PER]]</f>
        <v>4.7462649973917603</v>
      </c>
    </row>
    <row r="6" spans="1:74" x14ac:dyDescent="0.35">
      <c r="A6" t="s">
        <v>19</v>
      </c>
      <c r="B6">
        <v>4</v>
      </c>
      <c r="C6" s="10">
        <v>46</v>
      </c>
      <c r="D6" s="9">
        <v>5</v>
      </c>
      <c r="E6">
        <v>5</v>
      </c>
      <c r="F6">
        <v>5</v>
      </c>
      <c r="G6">
        <v>1</v>
      </c>
      <c r="H6">
        <v>1</v>
      </c>
      <c r="I6">
        <v>1</v>
      </c>
      <c r="J6">
        <v>1</v>
      </c>
      <c r="K6" s="9">
        <v>6</v>
      </c>
      <c r="L6" s="10">
        <v>4</v>
      </c>
      <c r="M6">
        <v>0</v>
      </c>
      <c r="N6">
        <v>0</v>
      </c>
      <c r="O6" s="9">
        <v>3</v>
      </c>
      <c r="P6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8.5477173913043458</v>
      </c>
      <c r="S6" t="s">
        <v>23</v>
      </c>
      <c r="T6">
        <v>5</v>
      </c>
      <c r="U6" s="10">
        <v>527</v>
      </c>
      <c r="V6" s="9">
        <v>33</v>
      </c>
      <c r="W6" s="10">
        <v>80</v>
      </c>
      <c r="X6">
        <v>102</v>
      </c>
      <c r="Y6">
        <v>39</v>
      </c>
      <c r="Z6">
        <v>55</v>
      </c>
      <c r="AA6">
        <v>14</v>
      </c>
      <c r="AB6">
        <v>20</v>
      </c>
      <c r="AC6" s="9">
        <v>8</v>
      </c>
      <c r="AD6" s="10">
        <v>42</v>
      </c>
      <c r="AE6">
        <v>14</v>
      </c>
      <c r="AF6">
        <v>1</v>
      </c>
      <c r="AG6">
        <v>27</v>
      </c>
      <c r="AH6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14.394089184060721</v>
      </c>
      <c r="AI6" s="10"/>
      <c r="AK6" s="10" t="s">
        <v>19</v>
      </c>
      <c r="AL6" s="9">
        <v>4</v>
      </c>
      <c r="AM6">
        <f>1+6+5+1+11+2</f>
        <v>26</v>
      </c>
      <c r="AN6" s="9">
        <f>0+0+2+0+1+1</f>
        <v>4</v>
      </c>
      <c r="AO6" s="10">
        <f>0+0+1+0+3+0</f>
        <v>4</v>
      </c>
      <c r="AP6">
        <f>0+1+0+0+2+1</f>
        <v>4</v>
      </c>
      <c r="AQ6">
        <f>0+0+1+0+0+0</f>
        <v>1</v>
      </c>
      <c r="AR6">
        <f>0+0+0+0+1+0</f>
        <v>1</v>
      </c>
      <c r="AS6">
        <f>0+0+0+0+1+0</f>
        <v>1</v>
      </c>
      <c r="AT6">
        <f>0+0+0+0+0+0</f>
        <v>0</v>
      </c>
      <c r="AU6" s="9">
        <f>0+0+1+0+3+0</f>
        <v>4</v>
      </c>
      <c r="AV6" s="10">
        <f>0+1+0+0+1+0</f>
        <v>2</v>
      </c>
      <c r="AW6">
        <v>0</v>
      </c>
      <c r="AX6">
        <v>0</v>
      </c>
      <c r="AY6" s="9">
        <f>0+0+0+0+1+1</f>
        <v>2</v>
      </c>
      <c r="AZ6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10.579807692307691</v>
      </c>
      <c r="BA6" s="10"/>
      <c r="BC6" s="10" t="s">
        <v>19</v>
      </c>
      <c r="BD6" s="9">
        <v>4</v>
      </c>
      <c r="BE6">
        <f>SeasonPER[[#This Row],[Minutes]]-WPER[[#This Row],[Minutes]]</f>
        <v>20</v>
      </c>
      <c r="BF6">
        <f>SeasonPER[[#This Row],[Fouls]]-WPER[[#This Row],[Fouls]]</f>
        <v>1</v>
      </c>
      <c r="BG6">
        <f>SeasonPER[[#This Row],[FG]]-WPER[[#This Row],[FG]]</f>
        <v>1</v>
      </c>
      <c r="BH6">
        <f>SeasonPER[[#This Row],[FGM]]-WPER[[#This Row],[FGM]]</f>
        <v>1</v>
      </c>
      <c r="BI6">
        <f>SeasonPER[[#This Row],[3P]]-WPER[[#This Row],[3P]]</f>
        <v>0</v>
      </c>
      <c r="BJ6">
        <f>SeasonPER[[#This Row],[FT]]-WPER[[#This Row],[FT]]</f>
        <v>0</v>
      </c>
      <c r="BK6">
        <f>SeasonPER[[#This Row],[FTM]]-WPER[[#This Row],[FTM]]</f>
        <v>0</v>
      </c>
      <c r="BL6">
        <f>SeasonPER[[#This Row],[Assists]]-WPER[[#This Row],[Assists]]</f>
        <v>1</v>
      </c>
      <c r="BM6">
        <f>SeasonPER[[#This Row],[OR]]-WPER[[#This Row],[OR]]</f>
        <v>2</v>
      </c>
      <c r="BN6">
        <f>SeasonPER[[#This Row],[DR]]-WPER[[#This Row],[DR]]</f>
        <v>2</v>
      </c>
      <c r="BO6">
        <f>SeasonPER[[#This Row],[Steals]]-WPER[[#This Row],[Steals]]</f>
        <v>0</v>
      </c>
      <c r="BP6">
        <f>SeasonPER[[#This Row],[Blocks]]-WPER[[#This Row],[Blocks]]</f>
        <v>0</v>
      </c>
      <c r="BQ6">
        <f>SeasonPER[[#This Row],[TO]]-WPER[[#This Row],[TO]]</f>
        <v>1</v>
      </c>
      <c r="BR6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5.9059999999999988</v>
      </c>
      <c r="BU6" t="s">
        <v>19</v>
      </c>
      <c r="BV6">
        <f>WPER[[#This Row],[PER]]-LPER[[#This Row],[PER]]</f>
        <v>4.6738076923076921</v>
      </c>
    </row>
    <row r="7" spans="1:74" x14ac:dyDescent="0.35">
      <c r="A7" t="s">
        <v>23</v>
      </c>
      <c r="B7">
        <v>5</v>
      </c>
      <c r="C7" s="10">
        <v>843</v>
      </c>
      <c r="D7" s="9">
        <v>59</v>
      </c>
      <c r="E7">
        <v>141</v>
      </c>
      <c r="F7">
        <v>142</v>
      </c>
      <c r="G7">
        <v>80</v>
      </c>
      <c r="H7">
        <v>84</v>
      </c>
      <c r="I7">
        <v>16</v>
      </c>
      <c r="J7">
        <v>34</v>
      </c>
      <c r="K7" s="9">
        <v>15</v>
      </c>
      <c r="L7" s="10">
        <v>67</v>
      </c>
      <c r="M7">
        <v>18</v>
      </c>
      <c r="N7">
        <v>5</v>
      </c>
      <c r="O7" s="9">
        <v>43</v>
      </c>
      <c r="P7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17.663001186239622</v>
      </c>
      <c r="S7" t="s">
        <v>73</v>
      </c>
      <c r="T7">
        <v>9</v>
      </c>
      <c r="U7" s="10">
        <v>102</v>
      </c>
      <c r="V7" s="9">
        <v>9</v>
      </c>
      <c r="W7" s="10">
        <v>11</v>
      </c>
      <c r="X7">
        <v>19</v>
      </c>
      <c r="Y7">
        <v>2</v>
      </c>
      <c r="Z7">
        <v>3</v>
      </c>
      <c r="AA7">
        <v>2</v>
      </c>
      <c r="AB7">
        <v>3</v>
      </c>
      <c r="AC7" s="9">
        <v>3</v>
      </c>
      <c r="AD7" s="10">
        <v>15</v>
      </c>
      <c r="AE7">
        <v>2</v>
      </c>
      <c r="AF7">
        <v>1</v>
      </c>
      <c r="AG7">
        <v>2</v>
      </c>
      <c r="AH7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7.1676176470588242</v>
      </c>
      <c r="AI7" s="10"/>
      <c r="AK7" s="10" t="s">
        <v>23</v>
      </c>
      <c r="AL7" s="9">
        <v>5</v>
      </c>
      <c r="AM7">
        <f>36+30+27+33+34+25+30+34+26+19+16+18+14</f>
        <v>342</v>
      </c>
      <c r="AN7" s="9">
        <f>1+2+3+2+2+3+3+0+3+0+1+0+5</f>
        <v>25</v>
      </c>
      <c r="AO7" s="10">
        <f>6+7+3+5+6+6+3+4+7+3+3+7+3</f>
        <v>63</v>
      </c>
      <c r="AP7">
        <f>5+9+3+5+5+4+4+6+1+6+2+4+3</f>
        <v>57</v>
      </c>
      <c r="AQ7">
        <f>3+4+2+2+1+4+2+3+6+1+3+5+2</f>
        <v>38</v>
      </c>
      <c r="AR7">
        <f>3+9+3+2+5+3+2+3+0+2+0+2+2</f>
        <v>36</v>
      </c>
      <c r="AS7">
        <f>1+2+0+1+0+0+1+2+0+0+0+0+0</f>
        <v>7</v>
      </c>
      <c r="AT7">
        <f>4+0+0+1+2+1+5+0+0+1+0+0+0</f>
        <v>14</v>
      </c>
      <c r="AU7" s="9">
        <f>0+1+0+0+0+1+0+0+1+3+1+0+0</f>
        <v>7</v>
      </c>
      <c r="AV7" s="10">
        <f>0+2+0+1+3+0+5+6+2+4+1+1+2</f>
        <v>27</v>
      </c>
      <c r="AW7">
        <f>0+0+2+0+2+0+1+1+0+1+0+0+0</f>
        <v>7</v>
      </c>
      <c r="AX7">
        <f>1+0+0+0+0+0+0+1+0+0+0+0+0</f>
        <v>2</v>
      </c>
      <c r="AY7" s="9">
        <f>2+1+1+2+3+2+1+0+0+0+1+0+1</f>
        <v>14</v>
      </c>
      <c r="AZ7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20.817827485380107</v>
      </c>
      <c r="BA7" s="10"/>
      <c r="BC7" s="10" t="s">
        <v>23</v>
      </c>
      <c r="BD7" s="9">
        <v>5</v>
      </c>
      <c r="BE7">
        <f>SeasonPER[[#This Row],[Minutes]]-WPER[[#This Row],[Minutes]]</f>
        <v>501</v>
      </c>
      <c r="BF7">
        <f>SeasonPER[[#This Row],[Fouls]]-WPER[[#This Row],[Fouls]]</f>
        <v>34</v>
      </c>
      <c r="BG7">
        <f>SeasonPER[[#This Row],[FG]]-WPER[[#This Row],[FG]]</f>
        <v>78</v>
      </c>
      <c r="BH7">
        <f>SeasonPER[[#This Row],[FGM]]-WPER[[#This Row],[FGM]]</f>
        <v>85</v>
      </c>
      <c r="BI7">
        <f>SeasonPER[[#This Row],[3P]]-WPER[[#This Row],[3P]]</f>
        <v>42</v>
      </c>
      <c r="BJ7">
        <f>SeasonPER[[#This Row],[FT]]-WPER[[#This Row],[FT]]</f>
        <v>48</v>
      </c>
      <c r="BK7">
        <f>SeasonPER[[#This Row],[FTM]]-WPER[[#This Row],[FTM]]</f>
        <v>9</v>
      </c>
      <c r="BL7">
        <f>SeasonPER[[#This Row],[Assists]]-WPER[[#This Row],[Assists]]</f>
        <v>20</v>
      </c>
      <c r="BM7">
        <f>SeasonPER[[#This Row],[OR]]-WPER[[#This Row],[OR]]</f>
        <v>8</v>
      </c>
      <c r="BN7">
        <f>SeasonPER[[#This Row],[DR]]-WPER[[#This Row],[DR]]</f>
        <v>40</v>
      </c>
      <c r="BO7">
        <f>SeasonPER[[#This Row],[Steals]]-WPER[[#This Row],[Steals]]</f>
        <v>11</v>
      </c>
      <c r="BP7">
        <f>SeasonPER[[#This Row],[Blocks]]-WPER[[#This Row],[Blocks]]</f>
        <v>3</v>
      </c>
      <c r="BQ7">
        <f>SeasonPER[[#This Row],[TO]]-WPER[[#This Row],[TO]]</f>
        <v>29</v>
      </c>
      <c r="BR7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15.509407185628742</v>
      </c>
      <c r="BU7" t="s">
        <v>23</v>
      </c>
      <c r="BV7">
        <f>WPER[[#This Row],[PER]]-LPER[[#This Row],[PER]]</f>
        <v>5.308420299751365</v>
      </c>
    </row>
    <row r="8" spans="1:74" x14ac:dyDescent="0.35">
      <c r="A8" t="s">
        <v>73</v>
      </c>
      <c r="B8">
        <v>9</v>
      </c>
      <c r="C8" s="10">
        <v>199</v>
      </c>
      <c r="D8" s="9">
        <v>22</v>
      </c>
      <c r="E8">
        <v>18</v>
      </c>
      <c r="F8">
        <v>39</v>
      </c>
      <c r="G8">
        <v>5</v>
      </c>
      <c r="H8">
        <v>3</v>
      </c>
      <c r="I8">
        <v>2</v>
      </c>
      <c r="J8">
        <v>9</v>
      </c>
      <c r="K8" s="9">
        <v>9</v>
      </c>
      <c r="L8" s="10">
        <v>22</v>
      </c>
      <c r="M8">
        <v>4</v>
      </c>
      <c r="N8">
        <v>3</v>
      </c>
      <c r="O8" s="9">
        <v>9</v>
      </c>
      <c r="P8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4.1996080402010056</v>
      </c>
      <c r="S8" t="s">
        <v>16</v>
      </c>
      <c r="T8">
        <v>10</v>
      </c>
      <c r="U8" s="10">
        <v>441</v>
      </c>
      <c r="V8" s="9">
        <v>20</v>
      </c>
      <c r="W8" s="10">
        <v>36</v>
      </c>
      <c r="X8">
        <v>35</v>
      </c>
      <c r="Y8">
        <v>0</v>
      </c>
      <c r="Z8">
        <v>25</v>
      </c>
      <c r="AA8">
        <v>11</v>
      </c>
      <c r="AB8">
        <v>41</v>
      </c>
      <c r="AC8" s="9">
        <v>9</v>
      </c>
      <c r="AD8" s="10">
        <v>49</v>
      </c>
      <c r="AE8">
        <v>14</v>
      </c>
      <c r="AF8">
        <v>1</v>
      </c>
      <c r="AG8">
        <v>17</v>
      </c>
      <c r="AH8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10.658419501133785</v>
      </c>
      <c r="AI8" s="10"/>
      <c r="AK8" s="10" t="s">
        <v>73</v>
      </c>
      <c r="AL8" s="9">
        <v>9</v>
      </c>
      <c r="AM8">
        <f>4+10+19+6+2+9+3+6+3+15+18</f>
        <v>95</v>
      </c>
      <c r="AN8" s="9">
        <f>0+3+0+0+0+2+1+2+0+2+3</f>
        <v>13</v>
      </c>
      <c r="AO8" s="10">
        <f>0+1+2+1+0+1+0+0+0+4+0</f>
        <v>9</v>
      </c>
      <c r="AP8">
        <f>1+1+1+2+0+1+0+1+0+6+4</f>
        <v>17</v>
      </c>
      <c r="AQ8">
        <f>0+0+0+0+0+1+0+0+0+2+0</f>
        <v>3</v>
      </c>
      <c r="AR8">
        <f>0+2+0+0+0+0+0+0+0+0+0</f>
        <v>2</v>
      </c>
      <c r="AS8">
        <f>0+0+0+0+0+0+0+0+0+0+0</f>
        <v>0</v>
      </c>
      <c r="AT8">
        <f>0+0+1+0+0+0+0+1+0+1+2</f>
        <v>5</v>
      </c>
      <c r="AU8" s="9">
        <f>0+1+0+0+0+0+0+0+0+3+3</f>
        <v>7</v>
      </c>
      <c r="AV8" s="10">
        <f>1+1+2+1+0+0+0+1+1+1+2</f>
        <v>10</v>
      </c>
      <c r="AW8">
        <f>0+0+0+0+0+0+0+0+0+1+0</f>
        <v>1</v>
      </c>
      <c r="AX8">
        <f>0+1+0+0+0+0+0+1+0+0+0</f>
        <v>2</v>
      </c>
      <c r="AY8" s="9">
        <f>0+0+0+0+0+0+0+0+1+1+2</f>
        <v>4</v>
      </c>
      <c r="AZ8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6.7803473684210509</v>
      </c>
      <c r="BA8" s="10"/>
      <c r="BC8" s="10" t="s">
        <v>73</v>
      </c>
      <c r="BD8" s="9">
        <v>9</v>
      </c>
      <c r="BE8">
        <f>SeasonPER[[#This Row],[Minutes]]-WPER[[#This Row],[Minutes]]</f>
        <v>104</v>
      </c>
      <c r="BF8">
        <f>SeasonPER[[#This Row],[Fouls]]-WPER[[#This Row],[Fouls]]</f>
        <v>9</v>
      </c>
      <c r="BG8">
        <f>SeasonPER[[#This Row],[FG]]-WPER[[#This Row],[FG]]</f>
        <v>9</v>
      </c>
      <c r="BH8">
        <f>SeasonPER[[#This Row],[FGM]]-WPER[[#This Row],[FGM]]</f>
        <v>22</v>
      </c>
      <c r="BI8">
        <f>SeasonPER[[#This Row],[3P]]-WPER[[#This Row],[3P]]</f>
        <v>2</v>
      </c>
      <c r="BJ8">
        <f>SeasonPER[[#This Row],[FT]]-WPER[[#This Row],[FT]]</f>
        <v>1</v>
      </c>
      <c r="BK8">
        <f>SeasonPER[[#This Row],[FTM]]-WPER[[#This Row],[FTM]]</f>
        <v>2</v>
      </c>
      <c r="BL8">
        <f>SeasonPER[[#This Row],[Assists]]-WPER[[#This Row],[Assists]]</f>
        <v>4</v>
      </c>
      <c r="BM8">
        <f>SeasonPER[[#This Row],[OR]]-WPER[[#This Row],[OR]]</f>
        <v>2</v>
      </c>
      <c r="BN8">
        <f>SeasonPER[[#This Row],[DR]]-WPER[[#This Row],[DR]]</f>
        <v>12</v>
      </c>
      <c r="BO8">
        <f>SeasonPER[[#This Row],[Steals]]-WPER[[#This Row],[Steals]]</f>
        <v>3</v>
      </c>
      <c r="BP8">
        <f>SeasonPER[[#This Row],[Blocks]]-WPER[[#This Row],[Blocks]]</f>
        <v>1</v>
      </c>
      <c r="BQ8">
        <f>SeasonPER[[#This Row],[TO]]-WPER[[#This Row],[TO]]</f>
        <v>5</v>
      </c>
      <c r="BR8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1.8422019230769227</v>
      </c>
      <c r="BU8" t="s">
        <v>73</v>
      </c>
      <c r="BV8">
        <f>WPER[[#This Row],[PER]]-LPER[[#This Row],[PER]]</f>
        <v>4.9381454453441282</v>
      </c>
    </row>
    <row r="9" spans="1:74" x14ac:dyDescent="0.35">
      <c r="A9" t="s">
        <v>16</v>
      </c>
      <c r="B9">
        <v>10</v>
      </c>
      <c r="C9" s="10">
        <v>803</v>
      </c>
      <c r="D9" s="9">
        <v>46</v>
      </c>
      <c r="E9">
        <v>63</v>
      </c>
      <c r="F9">
        <v>82</v>
      </c>
      <c r="G9">
        <v>1</v>
      </c>
      <c r="H9">
        <v>69</v>
      </c>
      <c r="I9">
        <v>19</v>
      </c>
      <c r="J9">
        <v>80</v>
      </c>
      <c r="K9" s="9">
        <v>17</v>
      </c>
      <c r="L9" s="10">
        <v>69</v>
      </c>
      <c r="M9">
        <v>21</v>
      </c>
      <c r="N9">
        <v>1</v>
      </c>
      <c r="O9" s="9">
        <v>31</v>
      </c>
      <c r="P9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10.294485678704854</v>
      </c>
      <c r="S9" t="s">
        <v>7</v>
      </c>
      <c r="T9">
        <v>13</v>
      </c>
      <c r="U9" s="10">
        <v>155</v>
      </c>
      <c r="V9" s="9">
        <v>23</v>
      </c>
      <c r="W9" s="10">
        <v>18</v>
      </c>
      <c r="X9">
        <v>12</v>
      </c>
      <c r="Y9">
        <v>0</v>
      </c>
      <c r="Z9">
        <v>2</v>
      </c>
      <c r="AA9">
        <v>9</v>
      </c>
      <c r="AB9">
        <v>4</v>
      </c>
      <c r="AC9" s="9">
        <v>17</v>
      </c>
      <c r="AD9" s="10">
        <v>20</v>
      </c>
      <c r="AE9">
        <v>5</v>
      </c>
      <c r="AF9">
        <v>5</v>
      </c>
      <c r="AG9">
        <v>13</v>
      </c>
      <c r="AH9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9.4052967741935483</v>
      </c>
      <c r="AI9" s="10"/>
      <c r="AK9" s="10" t="s">
        <v>16</v>
      </c>
      <c r="AL9" s="9">
        <v>10</v>
      </c>
      <c r="AM9">
        <f>37+38+31+27+29+29+27+26+22+34</f>
        <v>300</v>
      </c>
      <c r="AN9" s="9">
        <f>2+2+1+1+2+0+2+1+1+2</f>
        <v>14</v>
      </c>
      <c r="AO9" s="10">
        <f>2+5+3+6+0+3+2+2+0+3</f>
        <v>26</v>
      </c>
      <c r="AP9">
        <f>2+2+3+2+2+4+5+2+2+3</f>
        <v>27</v>
      </c>
      <c r="AQ9">
        <f>0+0+0+0+0+0+1+0+0+0</f>
        <v>1</v>
      </c>
      <c r="AR9">
        <f>4+3+1+0+2+0+4+4+0+5</f>
        <v>23</v>
      </c>
      <c r="AS9">
        <f>1+1+1+1+0+0+1+0+0+1</f>
        <v>6</v>
      </c>
      <c r="AT9">
        <f>2+6+5+3+5+3+1+4+4+2</f>
        <v>35</v>
      </c>
      <c r="AU9" s="9">
        <f>0+1+0+0+1+0+0+0+2+2</f>
        <v>6</v>
      </c>
      <c r="AV9" s="10">
        <f>6+3+3+3+4+1+2+2+3+2</f>
        <v>29</v>
      </c>
      <c r="AW9">
        <f>0+3+2+0+0+0+0+1+3+0</f>
        <v>9</v>
      </c>
      <c r="AX9">
        <f>0+1+0+0+0+0+0+0+0+0</f>
        <v>1</v>
      </c>
      <c r="AY9" s="9">
        <f>1+0+1+1+1+1+0+3+0+0</f>
        <v>8</v>
      </c>
      <c r="AZ9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13.04055</v>
      </c>
      <c r="BA9" s="10"/>
      <c r="BC9" s="10" t="s">
        <v>16</v>
      </c>
      <c r="BD9" s="9">
        <v>10</v>
      </c>
      <c r="BE9">
        <f>SeasonPER[[#This Row],[Minutes]]-WPER[[#This Row],[Minutes]]</f>
        <v>503</v>
      </c>
      <c r="BF9">
        <f>SeasonPER[[#This Row],[Fouls]]-WPER[[#This Row],[Fouls]]</f>
        <v>32</v>
      </c>
      <c r="BG9">
        <f>SeasonPER[[#This Row],[FG]]-WPER[[#This Row],[FG]]</f>
        <v>37</v>
      </c>
      <c r="BH9">
        <f>SeasonPER[[#This Row],[FGM]]-WPER[[#This Row],[FGM]]</f>
        <v>55</v>
      </c>
      <c r="BI9">
        <f>SeasonPER[[#This Row],[3P]]-WPER[[#This Row],[3P]]</f>
        <v>0</v>
      </c>
      <c r="BJ9">
        <f>SeasonPER[[#This Row],[FT]]-WPER[[#This Row],[FT]]</f>
        <v>46</v>
      </c>
      <c r="BK9">
        <f>SeasonPER[[#This Row],[FTM]]-WPER[[#This Row],[FTM]]</f>
        <v>13</v>
      </c>
      <c r="BL9">
        <f>SeasonPER[[#This Row],[Assists]]-WPER[[#This Row],[Assists]]</f>
        <v>45</v>
      </c>
      <c r="BM9">
        <f>SeasonPER[[#This Row],[OR]]-WPER[[#This Row],[OR]]</f>
        <v>11</v>
      </c>
      <c r="BN9">
        <f>SeasonPER[[#This Row],[DR]]-WPER[[#This Row],[DR]]</f>
        <v>40</v>
      </c>
      <c r="BO9">
        <f>SeasonPER[[#This Row],[Steals]]-WPER[[#This Row],[Steals]]</f>
        <v>12</v>
      </c>
      <c r="BP9">
        <f>SeasonPER[[#This Row],[Blocks]]-WPER[[#This Row],[Blocks]]</f>
        <v>0</v>
      </c>
      <c r="BQ9">
        <f>SeasonPER[[#This Row],[TO]]-WPER[[#This Row],[TO]]</f>
        <v>23</v>
      </c>
      <c r="BR9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8.6566739562624253</v>
      </c>
      <c r="BU9" t="s">
        <v>16</v>
      </c>
      <c r="BV9">
        <f>WPER[[#This Row],[PER]]-LPER[[#This Row],[PER]]</f>
        <v>4.3838760437375743</v>
      </c>
    </row>
    <row r="10" spans="1:74" x14ac:dyDescent="0.35">
      <c r="A10" t="s">
        <v>7</v>
      </c>
      <c r="B10">
        <v>13</v>
      </c>
      <c r="C10" s="10">
        <v>336</v>
      </c>
      <c r="D10" s="9">
        <v>48</v>
      </c>
      <c r="E10">
        <v>33</v>
      </c>
      <c r="F10">
        <v>26</v>
      </c>
      <c r="G10">
        <v>0</v>
      </c>
      <c r="H10">
        <v>8</v>
      </c>
      <c r="I10">
        <v>23</v>
      </c>
      <c r="J10">
        <v>18</v>
      </c>
      <c r="K10" s="9">
        <v>37</v>
      </c>
      <c r="L10" s="10">
        <v>50</v>
      </c>
      <c r="M10">
        <v>10</v>
      </c>
      <c r="N10">
        <v>9</v>
      </c>
      <c r="O10" s="9">
        <v>23</v>
      </c>
      <c r="P10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10.017916666666668</v>
      </c>
      <c r="S10" t="s">
        <v>20</v>
      </c>
      <c r="T10">
        <v>14</v>
      </c>
      <c r="U10" s="10">
        <v>118</v>
      </c>
      <c r="V10" s="9">
        <v>15</v>
      </c>
      <c r="W10" s="10">
        <v>13</v>
      </c>
      <c r="X10">
        <v>22</v>
      </c>
      <c r="Y10">
        <v>1</v>
      </c>
      <c r="Z10">
        <v>4</v>
      </c>
      <c r="AA10">
        <v>7</v>
      </c>
      <c r="AB10">
        <v>4</v>
      </c>
      <c r="AC10" s="9">
        <v>7</v>
      </c>
      <c r="AD10" s="10">
        <v>13</v>
      </c>
      <c r="AE10">
        <v>3</v>
      </c>
      <c r="AF10">
        <v>2</v>
      </c>
      <c r="AG10">
        <v>6</v>
      </c>
      <c r="AH10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5.2242203389830495</v>
      </c>
      <c r="AI10" s="10"/>
      <c r="AK10" s="10" t="s">
        <v>7</v>
      </c>
      <c r="AL10" s="9">
        <v>13</v>
      </c>
      <c r="AM10">
        <f>4+7+6+6+9+8+10+21+16+29</f>
        <v>116</v>
      </c>
      <c r="AN10" s="9">
        <f>0+1+1+1+2+1+4+2+3+3</f>
        <v>18</v>
      </c>
      <c r="AO10" s="10">
        <f>0+0+1+0+0+3+1+1+3+1</f>
        <v>10</v>
      </c>
      <c r="AP10">
        <f>0+0+1+0+0+0+4+1+2+3</f>
        <v>11</v>
      </c>
      <c r="AQ10">
        <f>0+0+0+0+0+0+0+0+0+0</f>
        <v>0</v>
      </c>
      <c r="AR10">
        <f>0+0+0+0+0+0+0+1+3+0</f>
        <v>4</v>
      </c>
      <c r="AS10">
        <f>0+0+0+0+0+1+0+1+3+3</f>
        <v>8</v>
      </c>
      <c r="AT10">
        <f>0+0+0+0+0+1+0+0+1+2</f>
        <v>4</v>
      </c>
      <c r="AU10" s="9">
        <f>0+0+2+0+1+1+3+2+4+5</f>
        <v>18</v>
      </c>
      <c r="AV10" s="10">
        <f>0+0+0+0+3+1+1+0+5+10</f>
        <v>20</v>
      </c>
      <c r="AW10">
        <f>0+0+0+0+1+0+1+1+1+0</f>
        <v>4</v>
      </c>
      <c r="AX10">
        <f>0+0+1+0+1+1+1+1+0+1</f>
        <v>6</v>
      </c>
      <c r="AY10" s="9">
        <f>0+2+1+1+0+1+1+1+2+0</f>
        <v>9</v>
      </c>
      <c r="AZ10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10.771146551724133</v>
      </c>
      <c r="BA10" s="10"/>
      <c r="BC10" s="10" t="s">
        <v>7</v>
      </c>
      <c r="BD10" s="9">
        <v>13</v>
      </c>
      <c r="BE10">
        <f>SeasonPER[[#This Row],[Minutes]]-WPER[[#This Row],[Minutes]]</f>
        <v>220</v>
      </c>
      <c r="BF10">
        <f>SeasonPER[[#This Row],[Fouls]]-WPER[[#This Row],[Fouls]]</f>
        <v>30</v>
      </c>
      <c r="BG10">
        <f>SeasonPER[[#This Row],[FG]]-WPER[[#This Row],[FG]]</f>
        <v>23</v>
      </c>
      <c r="BH10">
        <f>SeasonPER[[#This Row],[FGM]]-WPER[[#This Row],[FGM]]</f>
        <v>15</v>
      </c>
      <c r="BI10">
        <f>SeasonPER[[#This Row],[3P]]-WPER[[#This Row],[3P]]</f>
        <v>0</v>
      </c>
      <c r="BJ10">
        <f>SeasonPER[[#This Row],[FT]]-WPER[[#This Row],[FT]]</f>
        <v>4</v>
      </c>
      <c r="BK10">
        <f>SeasonPER[[#This Row],[FTM]]-WPER[[#This Row],[FTM]]</f>
        <v>15</v>
      </c>
      <c r="BL10">
        <f>SeasonPER[[#This Row],[Assists]]-WPER[[#This Row],[Assists]]</f>
        <v>14</v>
      </c>
      <c r="BM10">
        <f>SeasonPER[[#This Row],[OR]]-WPER[[#This Row],[OR]]</f>
        <v>19</v>
      </c>
      <c r="BN10">
        <f>SeasonPER[[#This Row],[DR]]-WPER[[#This Row],[DR]]</f>
        <v>30</v>
      </c>
      <c r="BO10">
        <f>SeasonPER[[#This Row],[Steals]]-WPER[[#This Row],[Steals]]</f>
        <v>6</v>
      </c>
      <c r="BP10">
        <f>SeasonPER[[#This Row],[Blocks]]-WPER[[#This Row],[Blocks]]</f>
        <v>3</v>
      </c>
      <c r="BQ10">
        <f>SeasonPER[[#This Row],[TO]]-WPER[[#This Row],[TO]]</f>
        <v>14</v>
      </c>
      <c r="BR10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9.6207590909090932</v>
      </c>
      <c r="BU10" t="s">
        <v>7</v>
      </c>
      <c r="BV10">
        <f>WPER[[#This Row],[PER]]-LPER[[#This Row],[PER]]</f>
        <v>1.1503874608150397</v>
      </c>
    </row>
    <row r="11" spans="1:74" x14ac:dyDescent="0.35">
      <c r="A11" t="s">
        <v>20</v>
      </c>
      <c r="B11">
        <v>14</v>
      </c>
      <c r="C11" s="10">
        <v>277</v>
      </c>
      <c r="D11" s="9">
        <v>33</v>
      </c>
      <c r="E11">
        <v>42</v>
      </c>
      <c r="F11">
        <v>51</v>
      </c>
      <c r="G11">
        <v>6</v>
      </c>
      <c r="H11">
        <v>9</v>
      </c>
      <c r="I11">
        <v>9</v>
      </c>
      <c r="J11">
        <v>15</v>
      </c>
      <c r="K11" s="9">
        <v>16</v>
      </c>
      <c r="L11" s="10">
        <v>33</v>
      </c>
      <c r="M11">
        <v>9</v>
      </c>
      <c r="N11">
        <v>6</v>
      </c>
      <c r="O11" s="9">
        <v>14</v>
      </c>
      <c r="P11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11.524537906137187</v>
      </c>
      <c r="S11" t="s">
        <v>22</v>
      </c>
      <c r="T11">
        <v>15</v>
      </c>
      <c r="U11" s="10">
        <v>560</v>
      </c>
      <c r="V11" s="9">
        <v>34</v>
      </c>
      <c r="W11" s="10">
        <v>86</v>
      </c>
      <c r="X11">
        <v>86</v>
      </c>
      <c r="Y11">
        <v>5</v>
      </c>
      <c r="Z11">
        <v>39</v>
      </c>
      <c r="AA11">
        <v>23</v>
      </c>
      <c r="AB11">
        <v>63</v>
      </c>
      <c r="AC11" s="9">
        <v>22</v>
      </c>
      <c r="AD11" s="10">
        <v>128</v>
      </c>
      <c r="AE11">
        <v>11</v>
      </c>
      <c r="AF11">
        <v>51</v>
      </c>
      <c r="AG11">
        <v>34</v>
      </c>
      <c r="AH11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19.189351785714287</v>
      </c>
      <c r="AI11" s="10"/>
      <c r="AK11" s="10" t="s">
        <v>20</v>
      </c>
      <c r="AL11" s="9">
        <v>14</v>
      </c>
      <c r="AM11">
        <f>2+2+8+7+7+19+13+21+21+22+10</f>
        <v>132</v>
      </c>
      <c r="AN11" s="9">
        <f>0+0+2+1+1+1+3+2+3+3+0</f>
        <v>16</v>
      </c>
      <c r="AO11" s="10">
        <f>0+0+1+1+1+2+4+3+3+3+3</f>
        <v>21</v>
      </c>
      <c r="AP11">
        <f>0+1+2+0+0+2+4+3+2+3+1</f>
        <v>18</v>
      </c>
      <c r="AQ11">
        <f>0+0+0+0+0+0+1+1+1+0+1</f>
        <v>4</v>
      </c>
      <c r="AR11">
        <f>0+0+0+0+1+1+0+0+4+1+0</f>
        <v>7</v>
      </c>
      <c r="AS11">
        <f>0+0+0+2+1+1+0+0+1+1+0</f>
        <v>6</v>
      </c>
      <c r="AT11">
        <f>0+0+0+2+0+0+0+1+2+5+1</f>
        <v>11</v>
      </c>
      <c r="AU11" s="9">
        <f>0+0+0+0+0+3+2+0+0+1+1</f>
        <v>7</v>
      </c>
      <c r="AV11" s="10">
        <f>0+0+0+1+1+5+2+3+7+4+0</f>
        <v>23</v>
      </c>
      <c r="AW11">
        <f>0+0+0+0+0+1+1+1+1+1+0</f>
        <v>5</v>
      </c>
      <c r="AX11">
        <f>0+0+0+0+0+1+1+0+2+0+0</f>
        <v>4</v>
      </c>
      <c r="AY11" s="9">
        <f>0+0+0+1+0+0+0+1+0+0+1</f>
        <v>3</v>
      </c>
      <c r="AZ11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18.915871212121214</v>
      </c>
      <c r="BA11" s="10"/>
      <c r="BC11" s="10" t="s">
        <v>20</v>
      </c>
      <c r="BD11" s="9">
        <v>14</v>
      </c>
      <c r="BE11">
        <f>SeasonPER[[#This Row],[Minutes]]-WPER[[#This Row],[Minutes]]</f>
        <v>145</v>
      </c>
      <c r="BF11">
        <f>SeasonPER[[#This Row],[Fouls]]-WPER[[#This Row],[Fouls]]</f>
        <v>17</v>
      </c>
      <c r="BG11">
        <f>SeasonPER[[#This Row],[FG]]-WPER[[#This Row],[FG]]</f>
        <v>21</v>
      </c>
      <c r="BH11">
        <f>SeasonPER[[#This Row],[FGM]]-WPER[[#This Row],[FGM]]</f>
        <v>33</v>
      </c>
      <c r="BI11">
        <f>SeasonPER[[#This Row],[3P]]-WPER[[#This Row],[3P]]</f>
        <v>2</v>
      </c>
      <c r="BJ11">
        <f>SeasonPER[[#This Row],[FT]]-WPER[[#This Row],[FT]]</f>
        <v>2</v>
      </c>
      <c r="BK11">
        <f>SeasonPER[[#This Row],[FTM]]-WPER[[#This Row],[FTM]]</f>
        <v>3</v>
      </c>
      <c r="BL11">
        <f>SeasonPER[[#This Row],[Assists]]-WPER[[#This Row],[Assists]]</f>
        <v>4</v>
      </c>
      <c r="BM11">
        <f>SeasonPER[[#This Row],[OR]]-WPER[[#This Row],[OR]]</f>
        <v>9</v>
      </c>
      <c r="BN11">
        <f>SeasonPER[[#This Row],[DR]]-WPER[[#This Row],[DR]]</f>
        <v>10</v>
      </c>
      <c r="BO11">
        <f>SeasonPER[[#This Row],[Steals]]-WPER[[#This Row],[Steals]]</f>
        <v>4</v>
      </c>
      <c r="BP11">
        <f>SeasonPER[[#This Row],[Blocks]]-WPER[[#This Row],[Blocks]]</f>
        <v>2</v>
      </c>
      <c r="BQ11">
        <f>SeasonPER[[#This Row],[TO]]-WPER[[#This Row],[TO]]</f>
        <v>11</v>
      </c>
      <c r="BR11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4.795875862068967</v>
      </c>
      <c r="BU11" t="s">
        <v>20</v>
      </c>
      <c r="BV11">
        <f>WPER[[#This Row],[PER]]-LPER[[#This Row],[PER]]</f>
        <v>14.119995350052246</v>
      </c>
    </row>
    <row r="12" spans="1:74" x14ac:dyDescent="0.35">
      <c r="A12" t="s">
        <v>22</v>
      </c>
      <c r="B12">
        <v>15</v>
      </c>
      <c r="C12" s="10">
        <v>837</v>
      </c>
      <c r="D12" s="9">
        <v>63</v>
      </c>
      <c r="E12">
        <v>138</v>
      </c>
      <c r="F12">
        <v>135</v>
      </c>
      <c r="G12">
        <v>7</v>
      </c>
      <c r="H12">
        <v>72</v>
      </c>
      <c r="I12">
        <v>36</v>
      </c>
      <c r="J12">
        <v>88</v>
      </c>
      <c r="K12" s="9">
        <v>43</v>
      </c>
      <c r="L12" s="10">
        <v>154</v>
      </c>
      <c r="M12">
        <v>17</v>
      </c>
      <c r="N12">
        <v>82</v>
      </c>
      <c r="O12" s="9">
        <v>50</v>
      </c>
      <c r="P12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20.228714456391877</v>
      </c>
      <c r="S12" t="s">
        <v>12</v>
      </c>
      <c r="T12">
        <v>21</v>
      </c>
      <c r="U12" s="10">
        <v>564</v>
      </c>
      <c r="V12" s="9">
        <v>32</v>
      </c>
      <c r="W12" s="10">
        <v>78</v>
      </c>
      <c r="X12">
        <v>82</v>
      </c>
      <c r="Y12">
        <v>37</v>
      </c>
      <c r="Z12">
        <v>16</v>
      </c>
      <c r="AA12">
        <v>4</v>
      </c>
      <c r="AB12">
        <v>18</v>
      </c>
      <c r="AC12" s="9">
        <v>31</v>
      </c>
      <c r="AD12" s="10">
        <v>106</v>
      </c>
      <c r="AE12">
        <v>11</v>
      </c>
      <c r="AF12">
        <v>3</v>
      </c>
      <c r="AG12">
        <v>26</v>
      </c>
      <c r="AH12" s="10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14.590656028368796</v>
      </c>
      <c r="AI12" s="10"/>
      <c r="AK12" s="10" t="s">
        <v>22</v>
      </c>
      <c r="AL12" s="9">
        <v>15</v>
      </c>
      <c r="AM12">
        <f>36+33+34+36+31+31+32+29+29+26+17</f>
        <v>334</v>
      </c>
      <c r="AN12" s="9">
        <f>1+1+2+2+2+2+0+2+1+3+3</f>
        <v>19</v>
      </c>
      <c r="AO12" s="10">
        <f>11+4+5+7+2+3+8+4+3+4+5</f>
        <v>56</v>
      </c>
      <c r="AP12">
        <f>6+2+6+8+5+4+5+4+2+4+6</f>
        <v>52</v>
      </c>
      <c r="AQ12">
        <f>0+1+1+0+1+0+0+0+0+0+0</f>
        <v>3</v>
      </c>
      <c r="AR12">
        <f>3+2+6+1+3+0+2+2+7+3+8</f>
        <v>37</v>
      </c>
      <c r="AS12">
        <f>3+0+0+1+1+0+0+0+2+1+2</f>
        <v>10</v>
      </c>
      <c r="AT12">
        <f>5+7+7+3+3+3+4+3+2+1+1</f>
        <v>39</v>
      </c>
      <c r="AU12" s="9">
        <f>2+1+4+1+3+1+1+1+3+2+3</f>
        <v>22</v>
      </c>
      <c r="AV12" s="10">
        <f>9+10+6+12+4+8+5+7+3+6+1</f>
        <v>71</v>
      </c>
      <c r="AW12">
        <f>0+1+1+0+1+1+0+0+0+0+1</f>
        <v>5</v>
      </c>
      <c r="AX12">
        <f>1+4+2+4+3+4+2+1+5+3+4</f>
        <v>33</v>
      </c>
      <c r="AY12" s="9">
        <f>2+2+1+3+2+2+1+1+0+0+2</f>
        <v>16</v>
      </c>
      <c r="AZ12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24.232284431137732</v>
      </c>
      <c r="BA12" s="10"/>
      <c r="BC12" s="10" t="s">
        <v>22</v>
      </c>
      <c r="BD12" s="9">
        <v>15</v>
      </c>
      <c r="BE12">
        <f>SeasonPER[[#This Row],[Minutes]]-WPER[[#This Row],[Minutes]]</f>
        <v>503</v>
      </c>
      <c r="BF12">
        <f>SeasonPER[[#This Row],[Fouls]]-WPER[[#This Row],[Fouls]]</f>
        <v>44</v>
      </c>
      <c r="BG12">
        <f>SeasonPER[[#This Row],[FG]]-WPER[[#This Row],[FG]]</f>
        <v>82</v>
      </c>
      <c r="BH12">
        <f>SeasonPER[[#This Row],[FGM]]-WPER[[#This Row],[FGM]]</f>
        <v>83</v>
      </c>
      <c r="BI12">
        <f>SeasonPER[[#This Row],[3P]]-WPER[[#This Row],[3P]]</f>
        <v>4</v>
      </c>
      <c r="BJ12">
        <f>SeasonPER[[#This Row],[FT]]-WPER[[#This Row],[FT]]</f>
        <v>35</v>
      </c>
      <c r="BK12">
        <f>SeasonPER[[#This Row],[FTM]]-WPER[[#This Row],[FTM]]</f>
        <v>26</v>
      </c>
      <c r="BL12">
        <f>SeasonPER[[#This Row],[Assists]]-WPER[[#This Row],[Assists]]</f>
        <v>49</v>
      </c>
      <c r="BM12">
        <f>SeasonPER[[#This Row],[OR]]-WPER[[#This Row],[OR]]</f>
        <v>21</v>
      </c>
      <c r="BN12">
        <f>SeasonPER[[#This Row],[DR]]-WPER[[#This Row],[DR]]</f>
        <v>83</v>
      </c>
      <c r="BO12">
        <f>SeasonPER[[#This Row],[Steals]]-WPER[[#This Row],[Steals]]</f>
        <v>12</v>
      </c>
      <c r="BP12">
        <f>SeasonPER[[#This Row],[Blocks]]-WPER[[#This Row],[Blocks]]</f>
        <v>49</v>
      </c>
      <c r="BQ12">
        <f>SeasonPER[[#This Row],[TO]]-WPER[[#This Row],[TO]]</f>
        <v>34</v>
      </c>
      <c r="BR12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17.570280318091452</v>
      </c>
      <c r="BU12" t="s">
        <v>22</v>
      </c>
      <c r="BV12">
        <f>WPER[[#This Row],[PER]]-LPER[[#This Row],[PER]]</f>
        <v>6.6620041130462795</v>
      </c>
    </row>
    <row r="13" spans="1:74" x14ac:dyDescent="0.35">
      <c r="A13" t="s">
        <v>12</v>
      </c>
      <c r="B13">
        <v>21</v>
      </c>
      <c r="C13" s="10">
        <v>875</v>
      </c>
      <c r="D13" s="9">
        <v>51</v>
      </c>
      <c r="E13">
        <v>116</v>
      </c>
      <c r="F13">
        <v>133</v>
      </c>
      <c r="G13">
        <v>47</v>
      </c>
      <c r="H13">
        <v>33</v>
      </c>
      <c r="I13">
        <v>12</v>
      </c>
      <c r="J13">
        <v>32</v>
      </c>
      <c r="K13" s="9">
        <v>44</v>
      </c>
      <c r="L13" s="10">
        <v>113</v>
      </c>
      <c r="M13">
        <v>18</v>
      </c>
      <c r="N13">
        <v>4</v>
      </c>
      <c r="O13" s="9">
        <v>38</v>
      </c>
      <c r="P13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12.788026285714288</v>
      </c>
      <c r="S13" t="s">
        <v>33</v>
      </c>
      <c r="T13">
        <v>99</v>
      </c>
      <c r="U13" s="10">
        <v>255</v>
      </c>
      <c r="V13" s="9">
        <v>17</v>
      </c>
      <c r="W13" s="10">
        <v>18</v>
      </c>
      <c r="X13">
        <v>32</v>
      </c>
      <c r="Y13">
        <v>9</v>
      </c>
      <c r="Z13">
        <v>7</v>
      </c>
      <c r="AA13">
        <v>5</v>
      </c>
      <c r="AB13">
        <v>25</v>
      </c>
      <c r="AC13" s="9">
        <v>2</v>
      </c>
      <c r="AD13" s="10">
        <v>23</v>
      </c>
      <c r="AE13">
        <v>4</v>
      </c>
      <c r="AF13">
        <v>0</v>
      </c>
      <c r="AG13">
        <v>12</v>
      </c>
      <c r="AH13" s="14">
        <f>(1/ConfPER[[#This Row],[Minutes]])*((ConfPER[[#This Row],[FG]]*85.91)+(ConfPER[[#This Row],[Steals]]*53.897)+(ConfPER[[#This Row],[3P]]*51.757)+(ConfPER[[#This Row],[FT]]*46.845)+(ConfPER[[#This Row],[Blocks]]*39.19)+(ConfPER[[#This Row],[OR]]*39.19)+(ConfPER[[#This Row],[Assists]]*34.677)+(ConfPER[[#This Row],[DR]]*14.707)-(ConfPER[[#This Row],[Fouls]]*17.174)-(ConfPER[[#This Row],[FTM]]*20.091)-(ConfPER[[#This Row],[FGM]]*39.19)-(ConfPER[[#This Row],[TO]]*53.897))</f>
        <v>6.0627647058823531</v>
      </c>
      <c r="AI13" s="10"/>
      <c r="AK13" s="10" t="s">
        <v>12</v>
      </c>
      <c r="AL13" s="9">
        <v>21</v>
      </c>
      <c r="AM13">
        <f>37+33+34+26+32+33+33+23+23+20+21+20+14</f>
        <v>349</v>
      </c>
      <c r="AN13" s="9">
        <f>2+2+2+2+1+1+2+3+2+0+1+3+1</f>
        <v>22</v>
      </c>
      <c r="AO13" s="10">
        <f>1+4+6+1+4+10+5+2+4+3+1+4+2</f>
        <v>47</v>
      </c>
      <c r="AP13">
        <f>7+7+5+2+6+5+3+7+2+1+3+2+3</f>
        <v>53</v>
      </c>
      <c r="AQ13">
        <f>0+3+2+0+1+5+3+2+1+1+1+1+1</f>
        <v>21</v>
      </c>
      <c r="AR13">
        <f>2+3+0+0+1+2+0+6+1+0+0+1+0</f>
        <v>16</v>
      </c>
      <c r="AS13">
        <f>0+1+0+0+1+0+0+0+2+0+0+1+0</f>
        <v>5</v>
      </c>
      <c r="AT13">
        <f>2+1+1+2+1+1+2+0+0+0+1+3+0</f>
        <v>14</v>
      </c>
      <c r="AU13" s="9">
        <f>0+2+1+3+2+5+0+2+2+1+0+2+0</f>
        <v>20</v>
      </c>
      <c r="AV13" s="10">
        <f>3+6+6+5+0+4+6+3+1+4+7+0+2</f>
        <v>47</v>
      </c>
      <c r="AW13">
        <f>0+0+0+0+0+1+0+0+0+1+1+1+0</f>
        <v>4</v>
      </c>
      <c r="AX13">
        <f>0+0+0+0+0+0+0+0+0+0+0+1+0</f>
        <v>1</v>
      </c>
      <c r="AY13" s="9">
        <f>0+1+1+2+1+2+0+1+2+0+1+2+1</f>
        <v>14</v>
      </c>
      <c r="AZ13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13.695017191977078</v>
      </c>
      <c r="BA13" s="10"/>
      <c r="BC13" s="10" t="s">
        <v>12</v>
      </c>
      <c r="BD13" s="9">
        <v>21</v>
      </c>
      <c r="BE13">
        <f>SeasonPER[[#This Row],[Minutes]]-WPER[[#This Row],[Minutes]]</f>
        <v>526</v>
      </c>
      <c r="BF13">
        <f>SeasonPER[[#This Row],[Fouls]]-WPER[[#This Row],[Fouls]]</f>
        <v>29</v>
      </c>
      <c r="BG13">
        <f>SeasonPER[[#This Row],[FG]]-WPER[[#This Row],[FG]]</f>
        <v>69</v>
      </c>
      <c r="BH13">
        <f>SeasonPER[[#This Row],[FGM]]-WPER[[#This Row],[FGM]]</f>
        <v>80</v>
      </c>
      <c r="BI13">
        <f>SeasonPER[[#This Row],[3P]]-WPER[[#This Row],[3P]]</f>
        <v>26</v>
      </c>
      <c r="BJ13">
        <f>SeasonPER[[#This Row],[FT]]-WPER[[#This Row],[FT]]</f>
        <v>17</v>
      </c>
      <c r="BK13">
        <f>SeasonPER[[#This Row],[FTM]]-WPER[[#This Row],[FTM]]</f>
        <v>7</v>
      </c>
      <c r="BL13">
        <f>SeasonPER[[#This Row],[Assists]]-WPER[[#This Row],[Assists]]</f>
        <v>18</v>
      </c>
      <c r="BM13">
        <f>SeasonPER[[#This Row],[OR]]-WPER[[#This Row],[OR]]</f>
        <v>24</v>
      </c>
      <c r="BN13">
        <f>SeasonPER[[#This Row],[DR]]-WPER[[#This Row],[DR]]</f>
        <v>66</v>
      </c>
      <c r="BO13">
        <f>SeasonPER[[#This Row],[Steals]]-WPER[[#This Row],[Steals]]</f>
        <v>14</v>
      </c>
      <c r="BP13">
        <f>SeasonPER[[#This Row],[Blocks]]-WPER[[#This Row],[Blocks]]</f>
        <v>3</v>
      </c>
      <c r="BQ13">
        <f>SeasonPER[[#This Row],[TO]]-WPER[[#This Row],[TO]]</f>
        <v>24</v>
      </c>
      <c r="BR13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12.186239543726233</v>
      </c>
      <c r="BU13" t="s">
        <v>12</v>
      </c>
      <c r="BV13">
        <f>WPER[[#This Row],[PER]]-LPER[[#This Row],[PER]]</f>
        <v>1.5087776482508453</v>
      </c>
    </row>
    <row r="14" spans="1:74" x14ac:dyDescent="0.35">
      <c r="A14" t="s">
        <v>21</v>
      </c>
      <c r="B14">
        <v>22</v>
      </c>
      <c r="C14" s="10">
        <v>42</v>
      </c>
      <c r="D14" s="9">
        <v>8</v>
      </c>
      <c r="E14">
        <v>2</v>
      </c>
      <c r="F14">
        <v>5</v>
      </c>
      <c r="G14">
        <v>1</v>
      </c>
      <c r="H14">
        <v>5</v>
      </c>
      <c r="I14">
        <v>1</v>
      </c>
      <c r="J14">
        <v>4</v>
      </c>
      <c r="K14" s="9">
        <v>3</v>
      </c>
      <c r="L14" s="10">
        <v>8</v>
      </c>
      <c r="M14">
        <v>1</v>
      </c>
      <c r="N14">
        <v>2</v>
      </c>
      <c r="O14" s="9">
        <v>5</v>
      </c>
      <c r="P14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8.1213095238095221</v>
      </c>
      <c r="AK14" s="10" t="s">
        <v>21</v>
      </c>
      <c r="AL14" s="9">
        <v>22</v>
      </c>
      <c r="AM14">
        <v>11</v>
      </c>
      <c r="AN14" s="9">
        <v>1</v>
      </c>
      <c r="AO14" s="10">
        <v>0</v>
      </c>
      <c r="AP14">
        <v>0</v>
      </c>
      <c r="AQ14">
        <v>0</v>
      </c>
      <c r="AR14">
        <v>5</v>
      </c>
      <c r="AS14">
        <v>1</v>
      </c>
      <c r="AT14">
        <v>2</v>
      </c>
      <c r="AU14" s="9">
        <v>2</v>
      </c>
      <c r="AV14" s="10">
        <v>2</v>
      </c>
      <c r="AW14">
        <v>0</v>
      </c>
      <c r="AX14">
        <v>1</v>
      </c>
      <c r="AY14" s="9">
        <v>3</v>
      </c>
      <c r="AZ14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22.873363636363631</v>
      </c>
      <c r="BA14" s="10"/>
      <c r="BC14" s="10" t="s">
        <v>21</v>
      </c>
      <c r="BD14" s="9">
        <v>22</v>
      </c>
      <c r="BE14">
        <f>SeasonPER[[#This Row],[Minutes]]-WPER[[#This Row],[Minutes]]</f>
        <v>31</v>
      </c>
      <c r="BF14">
        <f>SeasonPER[[#This Row],[Fouls]]-WPER[[#This Row],[Fouls]]</f>
        <v>7</v>
      </c>
      <c r="BG14">
        <f>SeasonPER[[#This Row],[FG]]-WPER[[#This Row],[FG]]</f>
        <v>2</v>
      </c>
      <c r="BH14">
        <f>SeasonPER[[#This Row],[FGM]]-WPER[[#This Row],[FGM]]</f>
        <v>5</v>
      </c>
      <c r="BI14">
        <f>SeasonPER[[#This Row],[3P]]-WPER[[#This Row],[3P]]</f>
        <v>1</v>
      </c>
      <c r="BJ14">
        <f>SeasonPER[[#This Row],[FT]]-WPER[[#This Row],[FT]]</f>
        <v>0</v>
      </c>
      <c r="BK14">
        <f>SeasonPER[[#This Row],[FTM]]-WPER[[#This Row],[FTM]]</f>
        <v>0</v>
      </c>
      <c r="BL14">
        <f>SeasonPER[[#This Row],[Assists]]-WPER[[#This Row],[Assists]]</f>
        <v>2</v>
      </c>
      <c r="BM14">
        <f>SeasonPER[[#This Row],[OR]]-WPER[[#This Row],[OR]]</f>
        <v>1</v>
      </c>
      <c r="BN14">
        <f>SeasonPER[[#This Row],[DR]]-WPER[[#This Row],[DR]]</f>
        <v>6</v>
      </c>
      <c r="BO14">
        <f>SeasonPER[[#This Row],[Steals]]-WPER[[#This Row],[Steals]]</f>
        <v>1</v>
      </c>
      <c r="BP14">
        <f>SeasonPER[[#This Row],[Blocks]]-WPER[[#This Row],[Blocks]]</f>
        <v>1</v>
      </c>
      <c r="BQ14">
        <f>SeasonPER[[#This Row],[TO]]-WPER[[#This Row],[TO]]</f>
        <v>2</v>
      </c>
      <c r="BR14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2.8867096774193541</v>
      </c>
      <c r="BU14" t="s">
        <v>21</v>
      </c>
      <c r="BV14">
        <f>WPER[[#This Row],[PER]]-LPER[[#This Row],[PER]]</f>
        <v>19.986653958944277</v>
      </c>
    </row>
    <row r="15" spans="1:74" x14ac:dyDescent="0.35">
      <c r="A15" t="s">
        <v>72</v>
      </c>
      <c r="B15">
        <v>23</v>
      </c>
      <c r="C15" s="10">
        <v>438</v>
      </c>
      <c r="D15" s="9">
        <v>22</v>
      </c>
      <c r="E15">
        <v>9</v>
      </c>
      <c r="F15">
        <v>16</v>
      </c>
      <c r="G15">
        <v>3</v>
      </c>
      <c r="H15">
        <v>5</v>
      </c>
      <c r="I15">
        <v>6</v>
      </c>
      <c r="J15">
        <v>10</v>
      </c>
      <c r="K15" s="9">
        <v>3</v>
      </c>
      <c r="L15" s="10">
        <v>22</v>
      </c>
      <c r="M15">
        <v>3</v>
      </c>
      <c r="N15">
        <v>0</v>
      </c>
      <c r="O15" s="9">
        <v>5</v>
      </c>
      <c r="P15" s="12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1.6378356164383554</v>
      </c>
      <c r="AK15" s="10" t="s">
        <v>72</v>
      </c>
      <c r="AL15" s="9">
        <v>23</v>
      </c>
      <c r="AM15">
        <f>3+27</f>
        <v>30</v>
      </c>
      <c r="AN15" s="9">
        <f>1+2</f>
        <v>3</v>
      </c>
      <c r="AO15" s="10">
        <f>0+4</f>
        <v>4</v>
      </c>
      <c r="AP15">
        <f>0+4</f>
        <v>4</v>
      </c>
      <c r="AQ15">
        <f>0+1</f>
        <v>1</v>
      </c>
      <c r="AR15">
        <f>0+0</f>
        <v>0</v>
      </c>
      <c r="AS15">
        <f>0+0</f>
        <v>0</v>
      </c>
      <c r="AT15">
        <f>1+3</f>
        <v>4</v>
      </c>
      <c r="AU15" s="9">
        <f>0+0</f>
        <v>0</v>
      </c>
      <c r="AV15" s="10">
        <f>0+4</f>
        <v>4</v>
      </c>
      <c r="AW15">
        <f>0+1</f>
        <v>1</v>
      </c>
      <c r="AX15">
        <f>0+0</f>
        <v>0</v>
      </c>
      <c r="AY15" s="9">
        <f>0+0</f>
        <v>0</v>
      </c>
      <c r="AZ15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14.618266666666663</v>
      </c>
      <c r="BA15" s="10"/>
      <c r="BC15" s="10" t="s">
        <v>72</v>
      </c>
      <c r="BD15" s="9">
        <v>23</v>
      </c>
      <c r="BE15">
        <f>SeasonPER[[#This Row],[Minutes]]-WPER[[#This Row],[Minutes]]</f>
        <v>408</v>
      </c>
      <c r="BF15">
        <f>SeasonPER[[#This Row],[Fouls]]-WPER[[#This Row],[Fouls]]</f>
        <v>19</v>
      </c>
      <c r="BG15">
        <f>SeasonPER[[#This Row],[FG]]-WPER[[#This Row],[FG]]</f>
        <v>5</v>
      </c>
      <c r="BH15">
        <f>SeasonPER[[#This Row],[FGM]]-WPER[[#This Row],[FGM]]</f>
        <v>12</v>
      </c>
      <c r="BI15">
        <f>SeasonPER[[#This Row],[3P]]-WPER[[#This Row],[3P]]</f>
        <v>2</v>
      </c>
      <c r="BJ15">
        <f>SeasonPER[[#This Row],[FT]]-WPER[[#This Row],[FT]]</f>
        <v>5</v>
      </c>
      <c r="BK15">
        <f>SeasonPER[[#This Row],[FTM]]-WPER[[#This Row],[FTM]]</f>
        <v>6</v>
      </c>
      <c r="BL15">
        <f>SeasonPER[[#This Row],[Assists]]-WPER[[#This Row],[Assists]]</f>
        <v>6</v>
      </c>
      <c r="BM15">
        <f>SeasonPER[[#This Row],[OR]]-WPER[[#This Row],[OR]]</f>
        <v>3</v>
      </c>
      <c r="BN15">
        <f>SeasonPER[[#This Row],[DR]]-WPER[[#This Row],[DR]]</f>
        <v>18</v>
      </c>
      <c r="BO15">
        <f>SeasonPER[[#This Row],[Steals]]-WPER[[#This Row],[Steals]]</f>
        <v>2</v>
      </c>
      <c r="BP15">
        <f>SeasonPER[[#This Row],[Blocks]]-WPER[[#This Row],[Blocks]]</f>
        <v>0</v>
      </c>
      <c r="BQ15">
        <f>SeasonPER[[#This Row],[TO]]-WPER[[#This Row],[TO]]</f>
        <v>5</v>
      </c>
      <c r="BR15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0.68339215686274557</v>
      </c>
      <c r="BU15" t="s">
        <v>72</v>
      </c>
      <c r="BV15">
        <f>WPER[[#This Row],[PER]]-LPER[[#This Row],[PER]]</f>
        <v>13.934874509803917</v>
      </c>
    </row>
    <row r="16" spans="1:74" x14ac:dyDescent="0.35">
      <c r="A16" t="s">
        <v>33</v>
      </c>
      <c r="B16">
        <v>99</v>
      </c>
      <c r="C16" s="10">
        <v>541</v>
      </c>
      <c r="D16" s="9">
        <v>35</v>
      </c>
      <c r="E16">
        <v>39</v>
      </c>
      <c r="F16">
        <v>75</v>
      </c>
      <c r="G16">
        <v>23</v>
      </c>
      <c r="H16">
        <v>12</v>
      </c>
      <c r="I16">
        <v>10</v>
      </c>
      <c r="J16">
        <v>59</v>
      </c>
      <c r="K16" s="9">
        <v>4</v>
      </c>
      <c r="L16" s="10">
        <v>43</v>
      </c>
      <c r="M16">
        <v>14</v>
      </c>
      <c r="N16">
        <v>0</v>
      </c>
      <c r="O16" s="9">
        <v>25</v>
      </c>
      <c r="P16" s="13">
        <f>(1/SeasonPER[[#This Row],[Minutes]])*((SeasonPER[[#This Row],[FG]]*85.91)+(SeasonPER[[#This Row],[Steals]]*53.897)+(SeasonPER[[#This Row],[3P]]*51.757)+(SeasonPER[[#This Row],[FT]]*46.845)+(SeasonPER[[#This Row],[Blocks]]*39.19)+(SeasonPER[[#This Row],[OR]]*39.19)+(SeasonPER[[#This Row],[Assists]]*34.677)+(SeasonPER[[#This Row],[DR]]*14.707)-(SeasonPER[[#This Row],[Fouls]]*17.174)-(SeasonPER[[#This Row],[FTM]]*20.091)-(SeasonPER[[#This Row],[FGM]]*39.19)-(SeasonPER[[#This Row],[TO]]*53.897))</f>
        <v>6.6617892791127566</v>
      </c>
      <c r="AK16" s="10" t="s">
        <v>33</v>
      </c>
      <c r="AL16" s="9">
        <v>99</v>
      </c>
      <c r="AM16">
        <f>20+26+18+2+11+13+11+24+16+16+16+10</f>
        <v>183</v>
      </c>
      <c r="AN16" s="9">
        <f>0+1+2+0+2+0+0+1+2+0+2+1</f>
        <v>11</v>
      </c>
      <c r="AO16" s="10">
        <f>1+3+2+1+0+1+0+1+3+1+1+2+0</f>
        <v>16</v>
      </c>
      <c r="AP16">
        <f>4+1+0+1+2+1+3+4+3+2+2+1</f>
        <v>24</v>
      </c>
      <c r="AQ16">
        <f>1+1+0+0+1+0+1+2+1+0+2+0</f>
        <v>9</v>
      </c>
      <c r="AR16">
        <f>0+2+2+0+0+0+0+0+0+0+1+0</f>
        <v>5</v>
      </c>
      <c r="AS16">
        <f>2+2+0+0+0+0+0+0+0+1+2+0</f>
        <v>7</v>
      </c>
      <c r="AT16">
        <f>1+2+2+2+0+1+2+0+5+1+4+2+1</f>
        <v>23</v>
      </c>
      <c r="AU16" s="9">
        <f>1+0+0+0+0+0+0+0+0+0+0+0</f>
        <v>1</v>
      </c>
      <c r="AV16" s="10">
        <f>1+5+0+0+1+0+1+3+3+1+0+0</f>
        <v>15</v>
      </c>
      <c r="AW16">
        <f>0+0+0+0+0+1+0+1+0+2+3+0</f>
        <v>7</v>
      </c>
      <c r="AX16">
        <f>0+0+0+0+0+0+0+0+0+0+0+0</f>
        <v>0</v>
      </c>
      <c r="AY16" s="9">
        <f>0+0+0+0+2+1+0+3+0+1+1+0</f>
        <v>8</v>
      </c>
      <c r="AZ16">
        <f>(1/WPER[[#This Row],[Minutes]])*((WPER[[#This Row],[FG]]*85.91)+(WPER[[#This Row],[Steals]]*53.897)+(WPER[[#This Row],[3P]]*51.757)+(WPER[[#This Row],[FT]]*46.845)+(WPER[[#This Row],[Blocks]]*39.19)+(WPER[[#This Row],[OR]]*39.19)+(WPER[[#This Row],[Assists]]*34.677)+(WPER[[#This Row],[DR]]*14.707)-(WPER[[#This Row],[Fouls]]*17.174)-(WPER[[#This Row],[FTM]]*20.091)-(WPER[[#This Row],[FGM]]*39.19)-(WPER[[#This Row],[TO]]*53.897))</f>
        <v>9.8795409836065549</v>
      </c>
      <c r="BA16" s="10"/>
      <c r="BC16" s="10" t="s">
        <v>33</v>
      </c>
      <c r="BD16" s="9">
        <v>99</v>
      </c>
      <c r="BE16">
        <f>SeasonPER[[#This Row],[Minutes]]-WPER[[#This Row],[Minutes]]</f>
        <v>358</v>
      </c>
      <c r="BF16">
        <f>SeasonPER[[#This Row],[Fouls]]-WPER[[#This Row],[Fouls]]</f>
        <v>24</v>
      </c>
      <c r="BG16">
        <f>SeasonPER[[#This Row],[FG]]-WPER[[#This Row],[FG]]</f>
        <v>23</v>
      </c>
      <c r="BH16">
        <f>SeasonPER[[#This Row],[FGM]]-WPER[[#This Row],[FGM]]</f>
        <v>51</v>
      </c>
      <c r="BI16">
        <f>SeasonPER[[#This Row],[3P]]-WPER[[#This Row],[3P]]</f>
        <v>14</v>
      </c>
      <c r="BJ16">
        <f>SeasonPER[[#This Row],[FT]]-WPER[[#This Row],[FT]]</f>
        <v>7</v>
      </c>
      <c r="BK16">
        <f>SeasonPER[[#This Row],[FTM]]-WPER[[#This Row],[FTM]]</f>
        <v>3</v>
      </c>
      <c r="BL16">
        <f>SeasonPER[[#This Row],[Assists]]-WPER[[#This Row],[Assists]]</f>
        <v>36</v>
      </c>
      <c r="BM16">
        <f>SeasonPER[[#This Row],[OR]]-WPER[[#This Row],[OR]]</f>
        <v>3</v>
      </c>
      <c r="BN16">
        <f>SeasonPER[[#This Row],[DR]]-WPER[[#This Row],[DR]]</f>
        <v>28</v>
      </c>
      <c r="BO16">
        <f>SeasonPER[[#This Row],[Steals]]-WPER[[#This Row],[Steals]]</f>
        <v>7</v>
      </c>
      <c r="BP16">
        <f>SeasonPER[[#This Row],[Blocks]]-WPER[[#This Row],[Blocks]]</f>
        <v>0</v>
      </c>
      <c r="BQ16">
        <f>SeasonPER[[#This Row],[TO]]-WPER[[#This Row],[TO]]</f>
        <v>17</v>
      </c>
      <c r="BR16" s="12">
        <f>(1/LPER[[#This Row],[Minutes]])*((LPER[[#This Row],[FG]]*85.91)+(LPER[[#This Row],[Steals]]*53.897)+(LPER[[#This Row],[3P]]*51.757)+(LPER[[#This Row],[FT]]*46.845)+(LPER[[#This Row],[Blocks]]*39.19)+(LPER[[#This Row],[OR]]*39.19)+(LPER[[#This Row],[Assists]]*34.677)+(LPER[[#This Row],[DR]]*14.707)-(LPER[[#This Row],[Fouls]]*17.174)-(LPER[[#This Row],[FTM]]*20.091)-(LPER[[#This Row],[FGM]]*39.19)-(LPER[[#This Row],[TO]]*53.897))</f>
        <v>5.0169608938547485</v>
      </c>
      <c r="BU16" t="s">
        <v>33</v>
      </c>
      <c r="BV16">
        <f>WPER[[#This Row],[PER]]-LPER[[#This Row],[PER]]</f>
        <v>4.8625800897518063</v>
      </c>
    </row>
    <row r="18" spans="3:18" x14ac:dyDescent="0.35">
      <c r="C18" s="35"/>
      <c r="D18" s="35"/>
    </row>
    <row r="19" spans="3:18" x14ac:dyDescent="0.35">
      <c r="Q19" t="s">
        <v>28</v>
      </c>
      <c r="R19" t="s">
        <v>6</v>
      </c>
    </row>
    <row r="20" spans="3:18" x14ac:dyDescent="0.35">
      <c r="Q20" t="s">
        <v>69</v>
      </c>
      <c r="R20" t="s">
        <v>742</v>
      </c>
    </row>
    <row r="21" spans="3:18" x14ac:dyDescent="0.35">
      <c r="Q21" t="s">
        <v>68</v>
      </c>
      <c r="R21" t="s">
        <v>743</v>
      </c>
    </row>
    <row r="22" spans="3:18" x14ac:dyDescent="0.35">
      <c r="Q22" t="s">
        <v>70</v>
      </c>
      <c r="R22" t="s">
        <v>741</v>
      </c>
    </row>
    <row r="23" spans="3:18" x14ac:dyDescent="0.35">
      <c r="Q23" t="s">
        <v>64</v>
      </c>
      <c r="R23" t="s">
        <v>744</v>
      </c>
    </row>
    <row r="24" spans="3:18" x14ac:dyDescent="0.35">
      <c r="Q24" t="s">
        <v>4</v>
      </c>
      <c r="R24" t="s">
        <v>745</v>
      </c>
    </row>
    <row r="25" spans="3:18" x14ac:dyDescent="0.35">
      <c r="Q25" t="s">
        <v>66</v>
      </c>
      <c r="R25" t="s">
        <v>746</v>
      </c>
    </row>
    <row r="26" spans="3:18" x14ac:dyDescent="0.35">
      <c r="Q26" t="s">
        <v>74</v>
      </c>
      <c r="R26" t="s">
        <v>747</v>
      </c>
    </row>
    <row r="27" spans="3:18" x14ac:dyDescent="0.35">
      <c r="Q27" t="s">
        <v>65</v>
      </c>
      <c r="R27" t="s">
        <v>748</v>
      </c>
    </row>
    <row r="28" spans="3:18" x14ac:dyDescent="0.35">
      <c r="Q28" t="s">
        <v>79</v>
      </c>
      <c r="R28" t="s">
        <v>749</v>
      </c>
    </row>
  </sheetData>
  <sortState xmlns:xlrd2="http://schemas.microsoft.com/office/spreadsheetml/2017/richdata2" ref="A3:O16">
    <sortCondition ref="B2:B16"/>
  </sortState>
  <mergeCells count="13">
    <mergeCell ref="W1:AC1"/>
    <mergeCell ref="E1:K1"/>
    <mergeCell ref="L1:O1"/>
    <mergeCell ref="C1:D1"/>
    <mergeCell ref="C18:D18"/>
    <mergeCell ref="U1:V1"/>
    <mergeCell ref="BG1:BM1"/>
    <mergeCell ref="BN1:BQ1"/>
    <mergeCell ref="AD1:AG1"/>
    <mergeCell ref="AM1:AN1"/>
    <mergeCell ref="AO1:AU1"/>
    <mergeCell ref="AV1:AY1"/>
    <mergeCell ref="BE1:BF1"/>
  </mergeCells>
  <pageMargins left="0.7" right="0.7" top="0.75" bottom="0.75" header="0.3" footer="0.3"/>
  <pageSetup orientation="portrait" r:id="rId1"/>
  <ignoredErrors>
    <ignoredError sqref="AT15" formula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381E-C8BE-450C-96AD-19A6924D3EA1}">
  <dimension ref="A1:AI125"/>
  <sheetViews>
    <sheetView topLeftCell="O1" workbookViewId="0">
      <pane ySplit="1" topLeftCell="A2" activePane="bottomLeft" state="frozen"/>
      <selection activeCell="O5" sqref="O5"/>
      <selection pane="bottomLeft" activeCell="AI16" sqref="AI16"/>
    </sheetView>
  </sheetViews>
  <sheetFormatPr defaultRowHeight="14.5" x14ac:dyDescent="0.35"/>
  <cols>
    <col min="1" max="1" width="12.54296875" bestFit="1" customWidth="1"/>
    <col min="2" max="2" width="12.26953125" bestFit="1" customWidth="1"/>
    <col min="3" max="3" width="5.54296875" bestFit="1" customWidth="1"/>
    <col min="4" max="4" width="10.36328125" bestFit="1" customWidth="1"/>
    <col min="5" max="5" width="10.6328125" bestFit="1" customWidth="1"/>
    <col min="6" max="6" width="15.90625" customWidth="1"/>
    <col min="7" max="7" width="13.453125" bestFit="1" customWidth="1"/>
    <col min="8" max="8" width="5.7265625" bestFit="1" customWidth="1"/>
    <col min="9" max="9" width="8.453125" style="25" bestFit="1" customWidth="1"/>
    <col min="10" max="10" width="8.7265625" style="25"/>
    <col min="11" max="12" width="8.453125" style="24" bestFit="1" customWidth="1"/>
    <col min="13" max="13" width="8.453125" style="25" bestFit="1" customWidth="1"/>
    <col min="14" max="14" width="9.36328125" style="25" bestFit="1" customWidth="1"/>
    <col min="15" max="15" width="7.90625" style="24" bestFit="1" customWidth="1"/>
    <col min="16" max="16" width="8.26953125" style="25" customWidth="1"/>
    <col min="17" max="17" width="8.453125" style="25" bestFit="1" customWidth="1"/>
    <col min="18" max="18" width="8.7265625" style="25"/>
    <col min="19" max="19" width="7.36328125" style="25" bestFit="1" customWidth="1"/>
    <col min="20" max="20" width="7.08984375" style="24" bestFit="1" customWidth="1"/>
    <col min="21" max="21" width="8.1796875" style="24" bestFit="1" customWidth="1"/>
    <col min="22" max="23" width="6.90625" style="24" bestFit="1" customWidth="1"/>
    <col min="24" max="24" width="6.81640625" style="24" bestFit="1" customWidth="1"/>
    <col min="25" max="25" width="6.08984375" style="25" bestFit="1" customWidth="1"/>
    <col min="26" max="26" width="9.81640625" style="25" bestFit="1" customWidth="1"/>
    <col min="27" max="27" width="9.90625" style="25" bestFit="1" customWidth="1"/>
    <col min="28" max="28" width="10.453125" style="25" bestFit="1" customWidth="1"/>
    <col min="29" max="30" width="10.6328125" style="25" bestFit="1" customWidth="1"/>
    <col min="31" max="31" width="8.453125" style="24" bestFit="1" customWidth="1"/>
    <col min="34" max="34" width="16.08984375" bestFit="1" customWidth="1"/>
    <col min="35" max="35" width="25.7265625" bestFit="1" customWidth="1"/>
  </cols>
  <sheetData>
    <row r="1" spans="1:35" s="42" customFormat="1" x14ac:dyDescent="0.35">
      <c r="A1" s="42" t="s">
        <v>94</v>
      </c>
      <c r="B1" s="42" t="s">
        <v>95</v>
      </c>
      <c r="C1" s="42" t="s">
        <v>96</v>
      </c>
      <c r="D1" s="42" t="s">
        <v>144</v>
      </c>
      <c r="E1" s="42" t="s">
        <v>97</v>
      </c>
      <c r="F1" s="42" t="s">
        <v>98</v>
      </c>
      <c r="G1" s="42" t="s">
        <v>99</v>
      </c>
      <c r="H1" s="42" t="s">
        <v>105</v>
      </c>
      <c r="I1" s="44" t="s">
        <v>152</v>
      </c>
      <c r="J1" s="44" t="s">
        <v>151</v>
      </c>
      <c r="K1" s="45" t="s">
        <v>399</v>
      </c>
      <c r="L1" s="45" t="s">
        <v>400</v>
      </c>
      <c r="M1" s="44" t="s">
        <v>150</v>
      </c>
      <c r="N1" s="44" t="s">
        <v>396</v>
      </c>
      <c r="O1" s="45" t="s">
        <v>397</v>
      </c>
      <c r="P1" s="44" t="s">
        <v>149</v>
      </c>
      <c r="Q1" s="44" t="s">
        <v>148</v>
      </c>
      <c r="R1" s="44" t="s">
        <v>147</v>
      </c>
      <c r="S1" s="44" t="s">
        <v>401</v>
      </c>
      <c r="T1" s="45" t="s">
        <v>153</v>
      </c>
      <c r="U1" s="45" t="s">
        <v>157</v>
      </c>
      <c r="V1" s="45" t="s">
        <v>154</v>
      </c>
      <c r="W1" s="45" t="s">
        <v>155</v>
      </c>
      <c r="X1" s="45" t="s">
        <v>156</v>
      </c>
      <c r="Y1" s="44" t="s">
        <v>100</v>
      </c>
      <c r="Z1" s="44" t="s">
        <v>101</v>
      </c>
      <c r="AA1" s="44" t="s">
        <v>102</v>
      </c>
      <c r="AB1" s="44" t="s">
        <v>103</v>
      </c>
      <c r="AC1" s="44" t="s">
        <v>104</v>
      </c>
      <c r="AD1" s="44" t="s">
        <v>158</v>
      </c>
      <c r="AE1" s="45" t="s">
        <v>398</v>
      </c>
    </row>
    <row r="2" spans="1:35" x14ac:dyDescent="0.35">
      <c r="A2" t="s">
        <v>121</v>
      </c>
      <c r="B2" t="s">
        <v>122</v>
      </c>
      <c r="C2">
        <v>78</v>
      </c>
      <c r="D2" t="s">
        <v>145</v>
      </c>
      <c r="E2" t="s">
        <v>405</v>
      </c>
      <c r="F2" t="s">
        <v>130</v>
      </c>
      <c r="G2" t="s">
        <v>112</v>
      </c>
      <c r="H2">
        <v>21</v>
      </c>
      <c r="I2" s="25">
        <v>0.90476000000000001</v>
      </c>
      <c r="J2" s="25">
        <v>2.0476200000000002</v>
      </c>
      <c r="K2" s="24">
        <v>9.604E-2</v>
      </c>
      <c r="L2" s="24">
        <v>0.13750000000000001</v>
      </c>
      <c r="M2" s="25">
        <v>0.66666999999999998</v>
      </c>
      <c r="N2" s="25">
        <v>1.75</v>
      </c>
      <c r="O2" s="24">
        <v>0.10345</v>
      </c>
      <c r="P2" s="25">
        <v>0.23810000000000001</v>
      </c>
      <c r="Q2" s="25">
        <v>0.33333000000000002</v>
      </c>
      <c r="R2" s="27">
        <v>0.38095000000000001</v>
      </c>
      <c r="S2" s="25">
        <v>0.19048000000000001</v>
      </c>
      <c r="T2" s="24">
        <v>0.30435000000000001</v>
      </c>
      <c r="U2" s="24">
        <v>0.30435000000000001</v>
      </c>
      <c r="V2" s="24">
        <v>0</v>
      </c>
      <c r="W2" s="24">
        <v>0.83333000000000002</v>
      </c>
      <c r="X2" s="24">
        <v>0.37108999999999998</v>
      </c>
      <c r="Y2" s="25">
        <v>0.50129999999999997</v>
      </c>
      <c r="Z2" s="25">
        <v>2.7099999999999999E-2</v>
      </c>
      <c r="AA2" s="25">
        <v>0.47420000000000001</v>
      </c>
      <c r="AB2" s="25">
        <v>97.57</v>
      </c>
      <c r="AC2" s="27">
        <v>98.02</v>
      </c>
      <c r="AD2" s="25">
        <f>AB2-AC2</f>
        <v>-0.45000000000000284</v>
      </c>
      <c r="AE2" s="24">
        <v>8.3779999999999993E-2</v>
      </c>
      <c r="AH2" t="s">
        <v>28</v>
      </c>
      <c r="AI2" t="s">
        <v>6</v>
      </c>
    </row>
    <row r="3" spans="1:35" x14ac:dyDescent="0.35">
      <c r="A3" t="s">
        <v>378</v>
      </c>
      <c r="B3" t="s">
        <v>379</v>
      </c>
      <c r="C3">
        <v>76</v>
      </c>
      <c r="D3" t="s">
        <v>145</v>
      </c>
      <c r="E3" t="s">
        <v>406</v>
      </c>
      <c r="F3" t="s">
        <v>362</v>
      </c>
      <c r="G3" t="s">
        <v>357</v>
      </c>
      <c r="H3" s="26">
        <v>26</v>
      </c>
      <c r="I3" s="27">
        <v>10.34615</v>
      </c>
      <c r="J3" s="27">
        <v>6.2307699999999997</v>
      </c>
      <c r="K3" s="24">
        <v>5.4140000000000001E-2</v>
      </c>
      <c r="L3" s="24">
        <v>0.85</v>
      </c>
      <c r="M3" s="25">
        <v>1.4230799999999999</v>
      </c>
      <c r="N3" s="25">
        <v>0.66071000000000002</v>
      </c>
      <c r="O3" s="24">
        <v>0.11609999999999999</v>
      </c>
      <c r="P3" s="27">
        <v>1.4615400000000001</v>
      </c>
      <c r="Q3" s="25">
        <v>0.19231000000000001</v>
      </c>
      <c r="R3" s="25">
        <v>2.1538499999999998</v>
      </c>
      <c r="S3" s="25">
        <v>1.80769</v>
      </c>
      <c r="T3" s="24">
        <v>0.44105</v>
      </c>
      <c r="U3" s="24">
        <v>0.4738</v>
      </c>
      <c r="V3" s="24">
        <v>0.26316000000000001</v>
      </c>
      <c r="W3" s="24">
        <v>0.71233000000000002</v>
      </c>
      <c r="X3" s="28">
        <v>0.51512999999999998</v>
      </c>
      <c r="Y3" s="27">
        <v>1.9877</v>
      </c>
      <c r="Z3" s="25">
        <v>0.41160000000000002</v>
      </c>
      <c r="AA3" s="25">
        <v>1.5761000000000001</v>
      </c>
      <c r="AB3" s="25">
        <v>100.39</v>
      </c>
      <c r="AC3" s="27">
        <v>100.38</v>
      </c>
      <c r="AD3" s="27">
        <f>AB3-AC3</f>
        <v>1.0000000000005116E-2</v>
      </c>
      <c r="AE3" s="24">
        <v>0.20571</v>
      </c>
      <c r="AH3" t="s">
        <v>96</v>
      </c>
      <c r="AI3" t="s">
        <v>750</v>
      </c>
    </row>
    <row r="4" spans="1:35" x14ac:dyDescent="0.35">
      <c r="A4" t="s">
        <v>192</v>
      </c>
      <c r="B4" t="s">
        <v>193</v>
      </c>
      <c r="C4">
        <v>77</v>
      </c>
      <c r="D4" t="s">
        <v>145</v>
      </c>
      <c r="E4" t="s">
        <v>405</v>
      </c>
      <c r="F4" t="s">
        <v>194</v>
      </c>
      <c r="G4" t="s">
        <v>196</v>
      </c>
      <c r="H4" s="26">
        <v>30</v>
      </c>
      <c r="I4" s="25">
        <v>3.1</v>
      </c>
      <c r="J4" s="25">
        <v>2.5</v>
      </c>
      <c r="K4" s="24">
        <v>4.7600000000000003E-2</v>
      </c>
      <c r="L4" s="24">
        <v>0.13736000000000001</v>
      </c>
      <c r="M4" s="25">
        <v>1.4</v>
      </c>
      <c r="N4" s="25">
        <v>1.0769200000000001</v>
      </c>
      <c r="O4" s="24">
        <v>0.14474999999999999</v>
      </c>
      <c r="P4" s="25">
        <v>0.9</v>
      </c>
      <c r="Q4" s="25">
        <v>0</v>
      </c>
      <c r="R4" s="25">
        <v>1.3</v>
      </c>
      <c r="S4" s="25">
        <v>1.8333299999999999</v>
      </c>
      <c r="T4" s="24">
        <v>0.29762</v>
      </c>
      <c r="U4" s="24">
        <v>0.33928999999999998</v>
      </c>
      <c r="V4" s="24">
        <v>0.31818000000000002</v>
      </c>
      <c r="W4" s="24">
        <v>0.66666999999999998</v>
      </c>
      <c r="X4" s="24">
        <v>0.43135000000000001</v>
      </c>
      <c r="Y4" s="25">
        <v>0.63190000000000002</v>
      </c>
      <c r="Z4" s="25">
        <v>-0.2918</v>
      </c>
      <c r="AA4" s="25">
        <v>0.92379999999999995</v>
      </c>
      <c r="AB4" s="25">
        <v>86.47</v>
      </c>
      <c r="AC4" s="27">
        <v>101.36</v>
      </c>
      <c r="AD4" s="25">
        <f>AB4-AC4</f>
        <v>-14.89</v>
      </c>
      <c r="AE4" s="24">
        <v>0.14637</v>
      </c>
      <c r="AH4" t="s">
        <v>105</v>
      </c>
      <c r="AI4" t="s">
        <v>751</v>
      </c>
    </row>
    <row r="5" spans="1:35" x14ac:dyDescent="0.35">
      <c r="A5" t="s">
        <v>343</v>
      </c>
      <c r="B5" t="s">
        <v>344</v>
      </c>
      <c r="C5">
        <v>75</v>
      </c>
      <c r="D5" t="s">
        <v>145</v>
      </c>
      <c r="E5" t="s">
        <v>405</v>
      </c>
      <c r="F5" t="s">
        <v>361</v>
      </c>
      <c r="G5" t="s">
        <v>357</v>
      </c>
      <c r="H5">
        <v>23</v>
      </c>
      <c r="I5" s="25">
        <v>0.60870000000000002</v>
      </c>
      <c r="J5" s="25">
        <v>0.65217000000000003</v>
      </c>
      <c r="K5" s="24">
        <v>4.1309999999999999E-2</v>
      </c>
      <c r="M5" s="25">
        <v>0.17391000000000001</v>
      </c>
      <c r="N5" s="25">
        <v>0.4</v>
      </c>
      <c r="O5" s="24">
        <v>8.5980000000000001E-2</v>
      </c>
      <c r="P5" s="25">
        <v>0.21739</v>
      </c>
      <c r="Q5" s="25">
        <v>0</v>
      </c>
      <c r="R5" s="27">
        <v>0.43478</v>
      </c>
      <c r="S5" s="25">
        <v>0.39129999999999998</v>
      </c>
      <c r="T5" s="24">
        <v>0.35714000000000001</v>
      </c>
      <c r="U5" s="24">
        <v>0.39285999999999999</v>
      </c>
      <c r="V5" s="24">
        <v>0.2</v>
      </c>
      <c r="W5" s="24">
        <v>0.42857000000000001</v>
      </c>
      <c r="X5" s="24">
        <v>0.40936</v>
      </c>
      <c r="Y5" s="25">
        <v>-4.8099999999999997E-2</v>
      </c>
      <c r="Z5" s="25">
        <v>-0.21179999999999999</v>
      </c>
      <c r="AA5" s="25">
        <v>0.16370000000000001</v>
      </c>
      <c r="AB5" s="25">
        <v>63.54</v>
      </c>
      <c r="AC5" s="27">
        <v>101.49</v>
      </c>
      <c r="AD5" s="25">
        <f>AB5-AC5</f>
        <v>-37.949999999999996</v>
      </c>
      <c r="AE5" s="24">
        <v>0.16056000000000001</v>
      </c>
      <c r="AH5" t="s">
        <v>152</v>
      </c>
      <c r="AI5" t="s">
        <v>752</v>
      </c>
    </row>
    <row r="6" spans="1:35" x14ac:dyDescent="0.35">
      <c r="A6" t="s">
        <v>226</v>
      </c>
      <c r="B6" t="s">
        <v>227</v>
      </c>
      <c r="C6">
        <v>75</v>
      </c>
      <c r="D6" t="s">
        <v>145</v>
      </c>
      <c r="E6" t="s">
        <v>406</v>
      </c>
      <c r="F6" t="s">
        <v>241</v>
      </c>
      <c r="G6" t="s">
        <v>215</v>
      </c>
      <c r="H6" s="26">
        <v>31</v>
      </c>
      <c r="I6" s="25">
        <v>9.2903199999999995</v>
      </c>
      <c r="J6" s="25">
        <v>3.6128999999999998</v>
      </c>
      <c r="K6" s="24">
        <v>1.9470000000000001E-2</v>
      </c>
      <c r="L6" s="24">
        <v>0.11049</v>
      </c>
      <c r="M6" s="25">
        <v>2.9032300000000002</v>
      </c>
      <c r="N6" s="25">
        <v>1.0714300000000001</v>
      </c>
      <c r="O6" s="24">
        <v>0.18154999999999999</v>
      </c>
      <c r="P6" s="27">
        <v>1.5483899999999999</v>
      </c>
      <c r="Q6" s="25">
        <v>0.19355</v>
      </c>
      <c r="R6" s="25">
        <v>2.7096800000000001</v>
      </c>
      <c r="S6" s="25">
        <v>2.4193500000000001</v>
      </c>
      <c r="T6" s="24">
        <v>0.34727000000000002</v>
      </c>
      <c r="U6" s="24">
        <v>0.39550000000000002</v>
      </c>
      <c r="V6" s="24">
        <v>0.29411999999999999</v>
      </c>
      <c r="W6" s="28">
        <v>0.76363999999999999</v>
      </c>
      <c r="X6" s="24">
        <v>0.42959000000000003</v>
      </c>
      <c r="Y6" s="25">
        <v>0.72589999999999999</v>
      </c>
      <c r="Z6" s="25">
        <v>-1.0502</v>
      </c>
      <c r="AA6" s="25">
        <v>1.7761</v>
      </c>
      <c r="AB6" s="25">
        <v>84.19</v>
      </c>
      <c r="AC6" s="27">
        <v>101.78</v>
      </c>
      <c r="AD6" s="25">
        <f>AB6-AC6</f>
        <v>-17.590000000000003</v>
      </c>
      <c r="AE6" s="24">
        <v>0.22273999999999999</v>
      </c>
      <c r="AH6" t="s">
        <v>151</v>
      </c>
      <c r="AI6" t="s">
        <v>753</v>
      </c>
    </row>
    <row r="7" spans="1:35" x14ac:dyDescent="0.35">
      <c r="A7" t="s">
        <v>138</v>
      </c>
      <c r="B7" t="s">
        <v>139</v>
      </c>
      <c r="C7">
        <v>78</v>
      </c>
      <c r="D7" t="s">
        <v>145</v>
      </c>
      <c r="E7" t="s">
        <v>406</v>
      </c>
      <c r="F7" t="s">
        <v>143</v>
      </c>
      <c r="G7" t="s">
        <v>112</v>
      </c>
      <c r="H7">
        <v>23</v>
      </c>
      <c r="I7" s="25">
        <v>3.4347799999999999</v>
      </c>
      <c r="J7" s="25">
        <v>2.5217399999999999</v>
      </c>
      <c r="K7" s="24">
        <v>9.8949999999999996E-2</v>
      </c>
      <c r="L7" s="24">
        <v>0.20696000000000001</v>
      </c>
      <c r="M7" s="25">
        <v>0.17391000000000001</v>
      </c>
      <c r="N7" s="25">
        <v>0.36364000000000002</v>
      </c>
      <c r="O7" s="24">
        <v>3.6249999999999998E-2</v>
      </c>
      <c r="P7" s="25">
        <v>0.17391000000000001</v>
      </c>
      <c r="Q7" s="25">
        <v>0.30435000000000001</v>
      </c>
      <c r="R7" s="27">
        <v>0.47826000000000002</v>
      </c>
      <c r="S7" s="27">
        <v>1.17391</v>
      </c>
      <c r="T7" s="24">
        <v>0.59184000000000003</v>
      </c>
      <c r="U7" s="24">
        <v>0.61224000000000001</v>
      </c>
      <c r="V7" s="24">
        <v>0.28571000000000002</v>
      </c>
      <c r="W7" s="24">
        <v>0.82608999999999999</v>
      </c>
      <c r="X7" s="24">
        <v>0.66835999999999995</v>
      </c>
      <c r="Y7" s="25">
        <v>0.95840000000000003</v>
      </c>
      <c r="Z7" s="25">
        <v>0.52629999999999999</v>
      </c>
      <c r="AA7" s="25">
        <v>0.43209999999999998</v>
      </c>
      <c r="AB7" s="27">
        <v>125.24</v>
      </c>
      <c r="AC7" s="27">
        <v>101.85</v>
      </c>
      <c r="AD7" s="27">
        <f>AB7-AC7</f>
        <v>23.39</v>
      </c>
      <c r="AE7" s="24">
        <v>0.15637999999999999</v>
      </c>
      <c r="AH7" t="s">
        <v>399</v>
      </c>
      <c r="AI7" t="s">
        <v>754</v>
      </c>
    </row>
    <row r="8" spans="1:35" x14ac:dyDescent="0.35">
      <c r="A8" t="s">
        <v>224</v>
      </c>
      <c r="B8" t="s">
        <v>225</v>
      </c>
      <c r="C8">
        <v>75</v>
      </c>
      <c r="D8" t="s">
        <v>145</v>
      </c>
      <c r="E8" t="s">
        <v>406</v>
      </c>
      <c r="F8" t="s">
        <v>240</v>
      </c>
      <c r="G8" t="s">
        <v>215</v>
      </c>
      <c r="H8">
        <v>16</v>
      </c>
      <c r="I8" s="25">
        <v>3.125</v>
      </c>
      <c r="J8" s="25">
        <v>1.75</v>
      </c>
      <c r="K8" s="24">
        <v>3.3050000000000003E-2</v>
      </c>
      <c r="L8" s="24">
        <v>0.20469999999999999</v>
      </c>
      <c r="M8" s="25">
        <v>0.4375</v>
      </c>
      <c r="N8" s="25">
        <v>0.7</v>
      </c>
      <c r="O8" s="24">
        <v>9.078E-2</v>
      </c>
      <c r="P8" s="25">
        <v>0.25</v>
      </c>
      <c r="Q8" s="25">
        <v>0</v>
      </c>
      <c r="R8" s="25">
        <v>0.625</v>
      </c>
      <c r="S8" s="25">
        <v>0.75</v>
      </c>
      <c r="T8" s="24">
        <v>0.44736999999999999</v>
      </c>
      <c r="U8" s="24">
        <v>0.47367999999999999</v>
      </c>
      <c r="V8" s="24">
        <v>0.5</v>
      </c>
      <c r="W8" s="24">
        <v>0.82352999999999998</v>
      </c>
      <c r="X8" s="24">
        <v>0.54944999999999999</v>
      </c>
      <c r="Y8" s="25">
        <v>0.3377</v>
      </c>
      <c r="Z8" s="25">
        <v>7.1400000000000005E-2</v>
      </c>
      <c r="AA8" s="25">
        <v>0.26629999999999998</v>
      </c>
      <c r="AB8" s="25">
        <v>100.29</v>
      </c>
      <c r="AC8" s="27">
        <v>101.88</v>
      </c>
      <c r="AD8" s="25">
        <f>AB8-AC8</f>
        <v>-1.5899999999999892</v>
      </c>
      <c r="AE8" s="24">
        <v>0.19963</v>
      </c>
      <c r="AH8" t="s">
        <v>400</v>
      </c>
      <c r="AI8" t="s">
        <v>755</v>
      </c>
    </row>
    <row r="9" spans="1:35" x14ac:dyDescent="0.35">
      <c r="A9" t="s">
        <v>355</v>
      </c>
      <c r="B9" t="s">
        <v>356</v>
      </c>
      <c r="C9">
        <v>78</v>
      </c>
      <c r="D9" t="s">
        <v>146</v>
      </c>
      <c r="E9" t="s">
        <v>405</v>
      </c>
      <c r="F9" t="s">
        <v>367</v>
      </c>
      <c r="G9" t="s">
        <v>357</v>
      </c>
      <c r="H9">
        <v>23</v>
      </c>
      <c r="I9" s="25">
        <v>1.5652200000000001</v>
      </c>
      <c r="J9" s="25">
        <v>1.5652200000000001</v>
      </c>
      <c r="K9" s="24">
        <v>7.1220000000000006E-2</v>
      </c>
      <c r="L9" s="24">
        <v>0.4</v>
      </c>
      <c r="M9" s="25">
        <v>0.21739</v>
      </c>
      <c r="N9" s="25">
        <v>0.625</v>
      </c>
      <c r="O9" s="24">
        <v>5.525E-2</v>
      </c>
      <c r="P9" s="25">
        <v>0.13042999999999999</v>
      </c>
      <c r="Q9" s="25">
        <v>0</v>
      </c>
      <c r="R9" s="27">
        <v>0.34782999999999997</v>
      </c>
      <c r="S9" s="25">
        <v>0.73912999999999995</v>
      </c>
      <c r="T9" s="24">
        <v>0.35714000000000001</v>
      </c>
      <c r="U9" s="24">
        <v>0.42857000000000001</v>
      </c>
      <c r="V9" s="24">
        <v>0.3</v>
      </c>
      <c r="X9" s="24">
        <v>0.42857000000000001</v>
      </c>
      <c r="AA9" s="25">
        <v>0.31219999999999998</v>
      </c>
      <c r="AC9" s="27">
        <v>101.95</v>
      </c>
      <c r="AD9" s="25">
        <f>AB9-AC9</f>
        <v>-101.95</v>
      </c>
      <c r="AE9" s="24">
        <v>0.16077</v>
      </c>
      <c r="AH9" t="s">
        <v>150</v>
      </c>
      <c r="AI9" t="s">
        <v>756</v>
      </c>
    </row>
    <row r="10" spans="1:35" x14ac:dyDescent="0.35">
      <c r="A10" t="s">
        <v>380</v>
      </c>
      <c r="B10" t="s">
        <v>381</v>
      </c>
      <c r="C10">
        <v>76</v>
      </c>
      <c r="D10" t="s">
        <v>145</v>
      </c>
      <c r="E10" t="s">
        <v>406</v>
      </c>
      <c r="F10" t="s">
        <v>365</v>
      </c>
      <c r="G10" t="s">
        <v>357</v>
      </c>
      <c r="H10" s="26">
        <v>32</v>
      </c>
      <c r="I10" s="27">
        <v>10.34375</v>
      </c>
      <c r="J10" s="27">
        <v>4.34375</v>
      </c>
      <c r="K10" s="24">
        <v>4.8529999999999997E-2</v>
      </c>
      <c r="L10" s="24">
        <v>0.81</v>
      </c>
      <c r="M10" s="25">
        <v>1.625</v>
      </c>
      <c r="N10" s="25">
        <v>1.1555599999999999</v>
      </c>
      <c r="O10" s="24">
        <v>0.12504999999999999</v>
      </c>
      <c r="P10" s="27">
        <v>1.3125</v>
      </c>
      <c r="Q10" s="25">
        <v>0.34375</v>
      </c>
      <c r="R10" s="25">
        <v>1.40625</v>
      </c>
      <c r="S10" s="25">
        <v>2.5625</v>
      </c>
      <c r="T10" s="24">
        <v>0.40078000000000003</v>
      </c>
      <c r="U10" s="24">
        <v>0.47665000000000002</v>
      </c>
      <c r="V10" s="24">
        <v>0.35135</v>
      </c>
      <c r="W10" s="28">
        <v>0.77476999999999996</v>
      </c>
      <c r="X10" s="28">
        <v>0.54120000000000001</v>
      </c>
      <c r="Y10" s="27">
        <v>2.6916000000000002</v>
      </c>
      <c r="Z10" s="25">
        <v>1.2274</v>
      </c>
      <c r="AA10" s="25">
        <v>1.4641999999999999</v>
      </c>
      <c r="AB10" s="27">
        <v>111.14</v>
      </c>
      <c r="AC10" s="27">
        <v>101.98</v>
      </c>
      <c r="AD10" s="27">
        <f>AB10-AC10</f>
        <v>9.1599999999999966</v>
      </c>
      <c r="AE10" s="24">
        <v>0.21467</v>
      </c>
      <c r="AH10" t="s">
        <v>396</v>
      </c>
      <c r="AI10" t="s">
        <v>757</v>
      </c>
    </row>
    <row r="11" spans="1:35" x14ac:dyDescent="0.35">
      <c r="A11" t="s">
        <v>197</v>
      </c>
      <c r="B11" t="s">
        <v>198</v>
      </c>
      <c r="C11">
        <v>75</v>
      </c>
      <c r="D11" t="s">
        <v>145</v>
      </c>
      <c r="E11" t="s">
        <v>406</v>
      </c>
      <c r="F11" t="s">
        <v>194</v>
      </c>
      <c r="G11" t="s">
        <v>196</v>
      </c>
      <c r="H11" s="26">
        <v>29</v>
      </c>
      <c r="I11" s="25">
        <v>8.6206899999999997</v>
      </c>
      <c r="J11" s="25">
        <v>2.0689700000000002</v>
      </c>
      <c r="K11" s="24">
        <v>2.3029999999999998E-2</v>
      </c>
      <c r="L11" s="24">
        <v>9.7000000000000003E-2</v>
      </c>
      <c r="M11" s="25">
        <v>2.55172</v>
      </c>
      <c r="N11" s="25">
        <v>1.48</v>
      </c>
      <c r="O11" s="24">
        <v>0.24390999999999999</v>
      </c>
      <c r="P11" s="27">
        <v>1.1379300000000001</v>
      </c>
      <c r="Q11" s="25">
        <v>0</v>
      </c>
      <c r="R11" s="25">
        <v>1.72414</v>
      </c>
      <c r="S11" s="25">
        <v>2</v>
      </c>
      <c r="T11" s="24">
        <v>0.45556000000000002</v>
      </c>
      <c r="U11" s="28">
        <v>0.52222000000000002</v>
      </c>
      <c r="V11" s="28">
        <v>0.42857000000000001</v>
      </c>
      <c r="W11" s="28">
        <v>0.78481000000000001</v>
      </c>
      <c r="X11" s="28">
        <v>0.58194000000000001</v>
      </c>
      <c r="Y11" s="27">
        <v>2.0295999999999998</v>
      </c>
      <c r="Z11" s="25">
        <v>0.98440000000000005</v>
      </c>
      <c r="AA11" s="25">
        <v>1.0452999999999999</v>
      </c>
      <c r="AB11" s="27">
        <v>111.47</v>
      </c>
      <c r="AC11" s="27">
        <v>103.01</v>
      </c>
      <c r="AD11" s="27">
        <f>AB11-AC11</f>
        <v>8.4599999999999937</v>
      </c>
      <c r="AE11" s="24">
        <v>0.21423</v>
      </c>
      <c r="AH11" t="s">
        <v>397</v>
      </c>
      <c r="AI11" t="s">
        <v>758</v>
      </c>
    </row>
    <row r="12" spans="1:35" x14ac:dyDescent="0.35">
      <c r="A12" t="s">
        <v>296</v>
      </c>
      <c r="B12" t="s">
        <v>297</v>
      </c>
      <c r="C12">
        <v>77</v>
      </c>
      <c r="D12" t="s">
        <v>146</v>
      </c>
      <c r="E12" t="s">
        <v>406</v>
      </c>
      <c r="F12" t="s">
        <v>271</v>
      </c>
      <c r="G12" t="s">
        <v>267</v>
      </c>
      <c r="H12">
        <v>10</v>
      </c>
      <c r="I12" s="25">
        <v>0.8</v>
      </c>
      <c r="J12" s="25">
        <v>1.4</v>
      </c>
      <c r="K12" s="24">
        <v>0.13117000000000001</v>
      </c>
      <c r="L12" s="24">
        <v>0.12959999999999999</v>
      </c>
      <c r="M12" s="25">
        <v>0.1</v>
      </c>
      <c r="N12" s="25">
        <v>1</v>
      </c>
      <c r="O12" s="24">
        <v>2.528E-2</v>
      </c>
      <c r="P12" s="25">
        <v>0.5</v>
      </c>
      <c r="Q12" s="25">
        <v>0.1</v>
      </c>
      <c r="R12" s="25">
        <v>0.1</v>
      </c>
      <c r="S12" s="25">
        <v>0.7</v>
      </c>
      <c r="T12" s="24">
        <v>0.75</v>
      </c>
      <c r="U12" s="24">
        <v>0.75</v>
      </c>
      <c r="W12" s="24">
        <v>0.4</v>
      </c>
      <c r="X12" s="24">
        <v>0.64515999999999996</v>
      </c>
      <c r="Y12" s="25">
        <v>0.21740000000000001</v>
      </c>
      <c r="Z12" s="25">
        <v>0.1075</v>
      </c>
      <c r="AA12" s="25">
        <v>0.1099</v>
      </c>
      <c r="AB12" s="27">
        <v>141.66999999999999</v>
      </c>
      <c r="AC12" s="27">
        <v>103.4</v>
      </c>
      <c r="AD12" s="25">
        <f>AB12-AC12</f>
        <v>38.269999999999982</v>
      </c>
      <c r="AE12" s="24">
        <v>6.0659999999999999E-2</v>
      </c>
      <c r="AH12" t="s">
        <v>149</v>
      </c>
      <c r="AI12" t="s">
        <v>759</v>
      </c>
    </row>
    <row r="13" spans="1:35" x14ac:dyDescent="0.35">
      <c r="A13" t="s">
        <v>316</v>
      </c>
      <c r="B13" t="s">
        <v>317</v>
      </c>
      <c r="C13">
        <v>75</v>
      </c>
      <c r="D13" t="s">
        <v>145</v>
      </c>
      <c r="E13" t="s">
        <v>406</v>
      </c>
      <c r="F13" t="s">
        <v>331</v>
      </c>
      <c r="G13" t="s">
        <v>305</v>
      </c>
      <c r="H13" s="26">
        <v>29</v>
      </c>
      <c r="I13" s="25">
        <v>1.9655199999999999</v>
      </c>
      <c r="J13" s="25">
        <v>0.51724000000000003</v>
      </c>
      <c r="K13" s="24">
        <v>8.6199999999999992E-3</v>
      </c>
      <c r="L13" s="24">
        <v>5.5919999999999997E-2</v>
      </c>
      <c r="M13" s="25">
        <v>0.82759000000000005</v>
      </c>
      <c r="N13" s="25">
        <v>1.6</v>
      </c>
      <c r="O13" s="24">
        <v>0.15254000000000001</v>
      </c>
      <c r="P13" s="25">
        <v>0.55171999999999999</v>
      </c>
      <c r="Q13" s="25">
        <v>0.10345</v>
      </c>
      <c r="R13" s="27">
        <v>0.51724000000000003</v>
      </c>
      <c r="S13" s="25">
        <v>1.0344800000000001</v>
      </c>
      <c r="T13" s="24">
        <v>0.31342999999999999</v>
      </c>
      <c r="U13" s="24">
        <v>0.33582000000000001</v>
      </c>
      <c r="V13" s="24">
        <v>0.15789</v>
      </c>
      <c r="W13" s="24">
        <v>0.57142999999999999</v>
      </c>
      <c r="X13" s="24">
        <v>0.37402000000000002</v>
      </c>
      <c r="Y13" s="25">
        <v>7.0900000000000005E-2</v>
      </c>
      <c r="Z13" s="25">
        <v>-0.40079999999999999</v>
      </c>
      <c r="AA13" s="25">
        <v>0.47170000000000001</v>
      </c>
      <c r="AB13" s="25">
        <v>77.569999999999993</v>
      </c>
      <c r="AC13" s="27">
        <v>103.89</v>
      </c>
      <c r="AD13" s="25">
        <f>AB13-AC13</f>
        <v>-26.320000000000007</v>
      </c>
      <c r="AE13" s="24">
        <v>0.17591999999999999</v>
      </c>
      <c r="AH13" t="s">
        <v>148</v>
      </c>
      <c r="AI13" t="s">
        <v>760</v>
      </c>
    </row>
    <row r="14" spans="1:35" x14ac:dyDescent="0.35">
      <c r="A14" t="s">
        <v>372</v>
      </c>
      <c r="B14" t="s">
        <v>373</v>
      </c>
      <c r="C14">
        <v>76</v>
      </c>
      <c r="D14" t="s">
        <v>145</v>
      </c>
      <c r="E14" t="s">
        <v>406</v>
      </c>
      <c r="F14" t="s">
        <v>362</v>
      </c>
      <c r="G14" t="s">
        <v>357</v>
      </c>
      <c r="H14">
        <v>6</v>
      </c>
      <c r="I14" s="25">
        <v>2</v>
      </c>
      <c r="J14" s="25">
        <v>1</v>
      </c>
      <c r="K14" s="24">
        <v>3.934E-2</v>
      </c>
      <c r="M14" s="25">
        <v>0.83333000000000002</v>
      </c>
      <c r="N14" s="25">
        <v>0.71428999999999998</v>
      </c>
      <c r="O14" s="24">
        <v>0.11465</v>
      </c>
      <c r="P14" s="25">
        <v>1</v>
      </c>
      <c r="Q14" s="25">
        <v>0.16667000000000001</v>
      </c>
      <c r="R14" s="25">
        <v>1.1666700000000001</v>
      </c>
      <c r="S14" s="25">
        <v>1.6666700000000001</v>
      </c>
      <c r="T14" s="24">
        <v>0.36364000000000002</v>
      </c>
      <c r="U14" s="24">
        <v>0.40909000000000001</v>
      </c>
      <c r="V14" s="24">
        <v>1</v>
      </c>
      <c r="W14" s="24">
        <v>0.5</v>
      </c>
      <c r="X14" s="24">
        <v>0.44118000000000002</v>
      </c>
      <c r="Y14" s="25">
        <v>4.7699999999999999E-2</v>
      </c>
      <c r="Z14" s="25">
        <v>-0.1033</v>
      </c>
      <c r="AA14" s="25">
        <v>0.151</v>
      </c>
      <c r="AB14" s="25">
        <v>75.62</v>
      </c>
      <c r="AC14" s="27">
        <v>104.22</v>
      </c>
      <c r="AD14" s="25">
        <f>AB14-AC14</f>
        <v>-28.599999999999994</v>
      </c>
      <c r="AE14" s="24">
        <v>0.11913</v>
      </c>
      <c r="AH14" t="s">
        <v>147</v>
      </c>
      <c r="AI14" t="s">
        <v>761</v>
      </c>
    </row>
    <row r="15" spans="1:35" x14ac:dyDescent="0.35">
      <c r="A15" t="s">
        <v>72</v>
      </c>
      <c r="B15" t="s">
        <v>369</v>
      </c>
      <c r="C15">
        <v>75</v>
      </c>
      <c r="D15" t="s">
        <v>145</v>
      </c>
      <c r="E15" t="s">
        <v>406</v>
      </c>
      <c r="F15" t="s">
        <v>367</v>
      </c>
      <c r="G15" t="s">
        <v>357</v>
      </c>
      <c r="H15" s="26">
        <v>30</v>
      </c>
      <c r="I15" s="27">
        <v>15.866669999999999</v>
      </c>
      <c r="J15" s="25">
        <v>3.5666699999999998</v>
      </c>
      <c r="K15" s="24">
        <v>1.274E-2</v>
      </c>
      <c r="L15" s="24">
        <v>0.16</v>
      </c>
      <c r="M15" s="25">
        <v>2.3333300000000001</v>
      </c>
      <c r="N15" s="25">
        <v>1.3725499999999999</v>
      </c>
      <c r="O15" s="24">
        <v>0.15051999999999999</v>
      </c>
      <c r="P15" s="25">
        <v>0.7</v>
      </c>
      <c r="Q15" s="25">
        <v>0.16667000000000001</v>
      </c>
      <c r="R15" s="25">
        <v>1.7</v>
      </c>
      <c r="S15" s="27">
        <v>1.23333</v>
      </c>
      <c r="T15" s="24">
        <v>0.44784000000000002</v>
      </c>
      <c r="U15" s="28">
        <v>0.55088999999999999</v>
      </c>
      <c r="V15" s="28">
        <v>0.39319999999999999</v>
      </c>
      <c r="W15" s="28">
        <v>0.76785999999999999</v>
      </c>
      <c r="X15" s="28">
        <v>0.56991999999999998</v>
      </c>
      <c r="Y15" s="27">
        <v>3.4967000000000001</v>
      </c>
      <c r="Z15" s="25">
        <v>1.8282</v>
      </c>
      <c r="AA15" s="25">
        <v>1.6686000000000001</v>
      </c>
      <c r="AB15" s="27">
        <v>111.77</v>
      </c>
      <c r="AC15" s="27">
        <v>104.38</v>
      </c>
      <c r="AD15" s="27">
        <f>AB15-AC15</f>
        <v>7.3900000000000006</v>
      </c>
      <c r="AE15" s="24">
        <v>0.24592</v>
      </c>
      <c r="AH15" t="s">
        <v>401</v>
      </c>
      <c r="AI15" t="s">
        <v>762</v>
      </c>
    </row>
    <row r="16" spans="1:35" x14ac:dyDescent="0.35">
      <c r="A16" t="s">
        <v>338</v>
      </c>
      <c r="B16" t="s">
        <v>339</v>
      </c>
      <c r="C16">
        <v>75</v>
      </c>
      <c r="D16" t="s">
        <v>145</v>
      </c>
      <c r="E16" t="s">
        <v>405</v>
      </c>
      <c r="F16" t="s">
        <v>360</v>
      </c>
      <c r="G16" t="s">
        <v>357</v>
      </c>
      <c r="H16" s="26">
        <v>33</v>
      </c>
      <c r="I16" s="27">
        <v>12.36364</v>
      </c>
      <c r="J16" s="25">
        <v>2.8484799999999999</v>
      </c>
      <c r="K16" s="24">
        <v>2.2409999999999999E-2</v>
      </c>
      <c r="L16" s="24">
        <v>0.4</v>
      </c>
      <c r="M16" s="27">
        <v>4.2424200000000001</v>
      </c>
      <c r="N16" s="25">
        <v>1.4736800000000001</v>
      </c>
      <c r="O16" s="24">
        <v>0.30237999999999998</v>
      </c>
      <c r="P16" s="27">
        <v>1.6969700000000001</v>
      </c>
      <c r="Q16" s="25">
        <v>6.0609999999999997E-2</v>
      </c>
      <c r="R16" s="25">
        <v>2.87879</v>
      </c>
      <c r="S16" s="25">
        <v>1.9697</v>
      </c>
      <c r="T16" s="24">
        <v>0.41270000000000001</v>
      </c>
      <c r="U16" s="24">
        <v>0.45369999999999999</v>
      </c>
      <c r="V16" s="24">
        <v>0.29244999999999999</v>
      </c>
      <c r="W16" s="28">
        <v>0.77381</v>
      </c>
      <c r="X16" s="24">
        <v>0.49157000000000001</v>
      </c>
      <c r="Y16" s="27">
        <v>2.1480999999999999</v>
      </c>
      <c r="Z16" s="25">
        <v>0.60940000000000005</v>
      </c>
      <c r="AA16" s="25">
        <v>1.5387</v>
      </c>
      <c r="AB16" s="25">
        <v>100.26</v>
      </c>
      <c r="AC16" s="27">
        <v>104.67</v>
      </c>
      <c r="AD16" s="25">
        <f>AB16-AC16</f>
        <v>-4.4099999999999966</v>
      </c>
      <c r="AE16" s="24">
        <v>0.25583</v>
      </c>
      <c r="AH16" t="s">
        <v>153</v>
      </c>
      <c r="AI16" t="s">
        <v>763</v>
      </c>
    </row>
    <row r="17" spans="1:35" x14ac:dyDescent="0.35">
      <c r="A17" t="s">
        <v>140</v>
      </c>
      <c r="B17" t="s">
        <v>141</v>
      </c>
      <c r="C17">
        <v>78</v>
      </c>
      <c r="D17" t="s">
        <v>146</v>
      </c>
      <c r="E17" t="s">
        <v>406</v>
      </c>
      <c r="F17" t="s">
        <v>143</v>
      </c>
      <c r="G17" t="s">
        <v>112</v>
      </c>
      <c r="H17">
        <v>12</v>
      </c>
      <c r="I17" s="25">
        <v>2.4166699999999999</v>
      </c>
      <c r="J17" s="25">
        <v>2.6666699999999999</v>
      </c>
      <c r="K17" s="24">
        <v>0.11214</v>
      </c>
      <c r="L17" s="24">
        <v>0.12701000000000001</v>
      </c>
      <c r="M17" s="25">
        <v>0.25</v>
      </c>
      <c r="N17" s="25">
        <v>0.42857000000000001</v>
      </c>
      <c r="O17" s="24">
        <v>3.7530000000000001E-2</v>
      </c>
      <c r="P17" s="25">
        <v>0.33333000000000002</v>
      </c>
      <c r="Q17" s="25">
        <v>0</v>
      </c>
      <c r="R17" s="25">
        <v>0.58333000000000002</v>
      </c>
      <c r="S17" s="25">
        <v>3.25</v>
      </c>
      <c r="T17" s="24">
        <v>0.33333000000000002</v>
      </c>
      <c r="U17" s="24">
        <v>0.37879000000000002</v>
      </c>
      <c r="V17" s="24">
        <v>0.375</v>
      </c>
      <c r="W17" s="24">
        <v>0.57142999999999999</v>
      </c>
      <c r="X17" s="24">
        <v>0.40166000000000002</v>
      </c>
      <c r="Y17" s="25">
        <v>0.19700000000000001</v>
      </c>
      <c r="Z17" s="25">
        <v>-4.7E-2</v>
      </c>
      <c r="AA17" s="25">
        <v>0.24399999999999999</v>
      </c>
      <c r="AB17" s="25">
        <v>90.53</v>
      </c>
      <c r="AC17" s="27">
        <v>104.84</v>
      </c>
      <c r="AD17" s="25">
        <f>AB17-AC17</f>
        <v>-14.310000000000002</v>
      </c>
      <c r="AE17" s="24">
        <v>0.14094000000000001</v>
      </c>
      <c r="AH17" t="s">
        <v>157</v>
      </c>
      <c r="AI17" t="s">
        <v>764</v>
      </c>
    </row>
    <row r="18" spans="1:35" x14ac:dyDescent="0.35">
      <c r="A18" t="s">
        <v>175</v>
      </c>
      <c r="B18" t="s">
        <v>176</v>
      </c>
      <c r="C18">
        <v>76</v>
      </c>
      <c r="D18" t="s">
        <v>145</v>
      </c>
      <c r="E18" t="s">
        <v>406</v>
      </c>
      <c r="F18" t="s">
        <v>170</v>
      </c>
      <c r="G18" t="s">
        <v>168</v>
      </c>
      <c r="H18" s="26">
        <v>29</v>
      </c>
      <c r="I18" s="25">
        <v>9.0344800000000003</v>
      </c>
      <c r="J18" s="25">
        <v>2.4137900000000001</v>
      </c>
      <c r="K18" s="24">
        <v>2.383E-2</v>
      </c>
      <c r="L18" s="24">
        <v>9.4789999999999999E-2</v>
      </c>
      <c r="M18" s="25">
        <v>0.68966000000000005</v>
      </c>
      <c r="N18" s="25">
        <v>0.68966000000000005</v>
      </c>
      <c r="O18" s="24">
        <v>5.8119999999999998E-2</v>
      </c>
      <c r="P18" s="25">
        <v>0.86207</v>
      </c>
      <c r="Q18" s="25">
        <v>0.10345</v>
      </c>
      <c r="R18" s="27">
        <v>1</v>
      </c>
      <c r="S18" s="25">
        <v>0.96552000000000004</v>
      </c>
      <c r="T18" s="24">
        <v>0.33206000000000002</v>
      </c>
      <c r="U18" s="24">
        <v>0.44656000000000001</v>
      </c>
      <c r="V18" s="24">
        <v>0.31746000000000002</v>
      </c>
      <c r="W18" s="24">
        <v>0.65115999999999996</v>
      </c>
      <c r="X18" s="24">
        <v>0.46636</v>
      </c>
      <c r="Y18" s="25">
        <v>1.3502000000000001</v>
      </c>
      <c r="Z18" s="25">
        <v>0.24809999999999999</v>
      </c>
      <c r="AA18" s="25">
        <v>1.1021000000000001</v>
      </c>
      <c r="AB18" s="25">
        <v>98.86</v>
      </c>
      <c r="AC18" s="27">
        <v>104.86</v>
      </c>
      <c r="AD18" s="25">
        <f>AB18-AC18</f>
        <v>-6</v>
      </c>
      <c r="AE18" s="24">
        <v>0.21762000000000001</v>
      </c>
      <c r="AH18" t="s">
        <v>154</v>
      </c>
      <c r="AI18" t="s">
        <v>765</v>
      </c>
    </row>
    <row r="19" spans="1:35" x14ac:dyDescent="0.35">
      <c r="A19" t="s">
        <v>159</v>
      </c>
      <c r="B19" t="s">
        <v>412</v>
      </c>
      <c r="C19">
        <v>75</v>
      </c>
      <c r="D19" t="s">
        <v>145</v>
      </c>
      <c r="E19" t="s">
        <v>405</v>
      </c>
      <c r="F19" t="s">
        <v>169</v>
      </c>
      <c r="G19" t="s">
        <v>168</v>
      </c>
      <c r="H19" s="26">
        <v>34</v>
      </c>
      <c r="I19" s="27">
        <v>10.235290000000001</v>
      </c>
      <c r="J19" s="27">
        <v>4.2941200000000004</v>
      </c>
      <c r="K19" s="24">
        <v>2.164E-2</v>
      </c>
      <c r="L19" s="24">
        <v>0.16278999999999999</v>
      </c>
      <c r="M19" s="25">
        <v>0.61765000000000003</v>
      </c>
      <c r="N19" s="25">
        <v>0.39623000000000003</v>
      </c>
      <c r="O19" s="24">
        <v>5.1319999999999998E-2</v>
      </c>
      <c r="P19" s="27">
        <v>1.0882400000000001</v>
      </c>
      <c r="Q19" s="25">
        <v>0.38235000000000002</v>
      </c>
      <c r="R19" s="25">
        <v>1.5588200000000001</v>
      </c>
      <c r="S19" s="25">
        <v>1.6764699999999999</v>
      </c>
      <c r="T19" s="24">
        <v>0.42159999999999997</v>
      </c>
      <c r="U19" s="28">
        <v>0.50871</v>
      </c>
      <c r="V19" s="28">
        <v>0.37313000000000002</v>
      </c>
      <c r="W19" s="28">
        <v>0.8</v>
      </c>
      <c r="X19" s="28">
        <v>0.54751000000000005</v>
      </c>
      <c r="Y19" s="25">
        <v>1.9068000000000001</v>
      </c>
      <c r="Z19" s="25">
        <v>0.53890000000000005</v>
      </c>
      <c r="AA19" s="25">
        <v>1.3678999999999999</v>
      </c>
      <c r="AB19" s="25">
        <v>101.75</v>
      </c>
      <c r="AC19" s="27">
        <v>104.88</v>
      </c>
      <c r="AD19" s="25">
        <f>AB19-AC19</f>
        <v>-3.1299999999999955</v>
      </c>
      <c r="AE19" s="24">
        <v>0.21043999999999999</v>
      </c>
      <c r="AH19" t="s">
        <v>155</v>
      </c>
      <c r="AI19" t="s">
        <v>766</v>
      </c>
    </row>
    <row r="20" spans="1:35" x14ac:dyDescent="0.35">
      <c r="A20" t="s">
        <v>264</v>
      </c>
      <c r="B20" t="s">
        <v>265</v>
      </c>
      <c r="C20">
        <v>78</v>
      </c>
      <c r="D20" t="s">
        <v>146</v>
      </c>
      <c r="E20" t="s">
        <v>405</v>
      </c>
      <c r="F20" t="s">
        <v>270</v>
      </c>
      <c r="G20" t="s">
        <v>267</v>
      </c>
      <c r="H20">
        <v>24</v>
      </c>
      <c r="I20" s="25">
        <v>2.0833300000000001</v>
      </c>
      <c r="J20" s="25">
        <v>1.0416700000000001</v>
      </c>
      <c r="K20" s="24">
        <v>5.4170000000000003E-2</v>
      </c>
      <c r="L20" s="24">
        <v>0.14077000000000001</v>
      </c>
      <c r="M20" s="25">
        <v>4.1669999999999999E-2</v>
      </c>
      <c r="N20" s="25">
        <v>8.3330000000000001E-2</v>
      </c>
      <c r="O20" s="24">
        <v>1.286E-2</v>
      </c>
      <c r="P20" s="25">
        <v>0.29166999999999998</v>
      </c>
      <c r="Q20" s="25">
        <v>0.125</v>
      </c>
      <c r="R20" s="27">
        <v>0.5</v>
      </c>
      <c r="S20" s="25">
        <v>1.0833299999999999</v>
      </c>
      <c r="T20" s="24">
        <v>0.375</v>
      </c>
      <c r="U20" s="24">
        <v>0.5</v>
      </c>
      <c r="V20" s="24">
        <v>0.36364000000000002</v>
      </c>
      <c r="W20" s="24">
        <v>0.5</v>
      </c>
      <c r="X20" s="24">
        <v>0.50200999999999996</v>
      </c>
      <c r="Y20" s="25">
        <v>0.11360000000000001</v>
      </c>
      <c r="Z20" s="25">
        <v>-0.14499999999999999</v>
      </c>
      <c r="AA20" s="25">
        <v>0.2586</v>
      </c>
      <c r="AB20" s="25">
        <v>85.41</v>
      </c>
      <c r="AC20" s="25">
        <v>105.05</v>
      </c>
      <c r="AD20" s="25">
        <f>AB20-AC20</f>
        <v>-19.64</v>
      </c>
      <c r="AE20" s="24">
        <v>0.20963000000000001</v>
      </c>
      <c r="AH20" t="s">
        <v>156</v>
      </c>
      <c r="AI20" t="s">
        <v>767</v>
      </c>
    </row>
    <row r="21" spans="1:35" x14ac:dyDescent="0.35">
      <c r="A21" t="s">
        <v>334</v>
      </c>
      <c r="B21" t="s">
        <v>335</v>
      </c>
      <c r="C21">
        <v>75</v>
      </c>
      <c r="D21" t="s">
        <v>145</v>
      </c>
      <c r="E21" t="s">
        <v>405</v>
      </c>
      <c r="F21" t="s">
        <v>358</v>
      </c>
      <c r="G21" t="s">
        <v>357</v>
      </c>
      <c r="H21" s="26">
        <v>33</v>
      </c>
      <c r="I21" s="25">
        <v>2.9393899999999999</v>
      </c>
      <c r="J21" s="25">
        <v>0.84848000000000001</v>
      </c>
      <c r="K21" s="24">
        <v>7.11E-3</v>
      </c>
      <c r="L21" s="24">
        <v>0.04</v>
      </c>
      <c r="M21" s="25">
        <v>0.66666999999999998</v>
      </c>
      <c r="N21" s="25">
        <v>3.1428600000000002</v>
      </c>
      <c r="O21" s="24">
        <v>8.362E-2</v>
      </c>
      <c r="P21" s="25">
        <v>0.63636000000000004</v>
      </c>
      <c r="Q21" s="25">
        <v>6.0609999999999997E-2</v>
      </c>
      <c r="R21" s="27">
        <v>0.21212</v>
      </c>
      <c r="S21" s="25">
        <v>0.63636000000000004</v>
      </c>
      <c r="T21" s="24">
        <v>0.36957000000000001</v>
      </c>
      <c r="U21" s="24">
        <v>0.46195999999999998</v>
      </c>
      <c r="V21" s="24">
        <v>0.28333000000000003</v>
      </c>
      <c r="W21" s="28">
        <v>0.75</v>
      </c>
      <c r="X21" s="24">
        <v>0.4899</v>
      </c>
      <c r="Y21" s="25">
        <v>0.995</v>
      </c>
      <c r="Z21" s="25">
        <v>0.21510000000000001</v>
      </c>
      <c r="AA21" s="25">
        <v>0.77990000000000004</v>
      </c>
      <c r="AB21" s="25">
        <v>103</v>
      </c>
      <c r="AC21" s="25">
        <v>105.06</v>
      </c>
      <c r="AD21" s="25">
        <f>AB21-AC21</f>
        <v>-2.0600000000000023</v>
      </c>
      <c r="AE21" s="24">
        <v>0.11912</v>
      </c>
      <c r="AH21" t="s">
        <v>100</v>
      </c>
      <c r="AI21" t="s">
        <v>768</v>
      </c>
    </row>
    <row r="22" spans="1:35" x14ac:dyDescent="0.35">
      <c r="A22" t="s">
        <v>228</v>
      </c>
      <c r="B22" t="s">
        <v>229</v>
      </c>
      <c r="C22">
        <v>75</v>
      </c>
      <c r="D22" t="s">
        <v>145</v>
      </c>
      <c r="E22" t="s">
        <v>406</v>
      </c>
      <c r="F22" t="s">
        <v>240</v>
      </c>
      <c r="G22" t="s">
        <v>215</v>
      </c>
      <c r="H22">
        <v>24</v>
      </c>
      <c r="I22" s="25">
        <v>2.0833300000000001</v>
      </c>
      <c r="J22" s="25">
        <v>1.2083299999999999</v>
      </c>
      <c r="K22" s="24">
        <v>3.3189999999999997E-2</v>
      </c>
      <c r="L22" s="24">
        <v>0.10681</v>
      </c>
      <c r="M22" s="25">
        <v>0.41666999999999998</v>
      </c>
      <c r="N22" s="25">
        <v>0.625</v>
      </c>
      <c r="O22" s="24">
        <v>6.6890000000000005E-2</v>
      </c>
      <c r="P22" s="25">
        <v>0.29166999999999998</v>
      </c>
      <c r="Q22" s="25">
        <v>4.1669999999999999E-2</v>
      </c>
      <c r="R22" s="27">
        <v>0.66666999999999998</v>
      </c>
      <c r="S22" s="25">
        <v>0.66666999999999998</v>
      </c>
      <c r="T22" s="24">
        <v>0.29630000000000001</v>
      </c>
      <c r="U22" s="24">
        <v>0.37963000000000002</v>
      </c>
      <c r="V22" s="24">
        <v>0.29032000000000002</v>
      </c>
      <c r="W22" s="24">
        <v>0.69230999999999998</v>
      </c>
      <c r="X22" s="24">
        <v>0.41876000000000002</v>
      </c>
      <c r="Y22" s="25">
        <v>9.5899999999999999E-2</v>
      </c>
      <c r="Z22" s="25">
        <v>-0.29039999999999999</v>
      </c>
      <c r="AA22" s="25">
        <v>0.38629999999999998</v>
      </c>
      <c r="AB22" s="25">
        <v>78.959999999999994</v>
      </c>
      <c r="AC22" s="25">
        <v>105.23</v>
      </c>
      <c r="AD22" s="25">
        <f>AB22-AC22</f>
        <v>-26.27000000000001</v>
      </c>
      <c r="AE22" s="24">
        <v>0.15776000000000001</v>
      </c>
      <c r="AH22" t="s">
        <v>101</v>
      </c>
      <c r="AI22" t="s">
        <v>769</v>
      </c>
    </row>
    <row r="23" spans="1:35" x14ac:dyDescent="0.35">
      <c r="A23" t="s">
        <v>119</v>
      </c>
      <c r="B23" t="s">
        <v>120</v>
      </c>
      <c r="C23">
        <v>77</v>
      </c>
      <c r="D23" t="s">
        <v>146</v>
      </c>
      <c r="E23" t="s">
        <v>405</v>
      </c>
      <c r="F23" t="s">
        <v>129</v>
      </c>
      <c r="G23" t="s">
        <v>112</v>
      </c>
      <c r="H23">
        <v>11</v>
      </c>
      <c r="I23" s="25">
        <v>2</v>
      </c>
      <c r="J23" s="25">
        <v>1.36364</v>
      </c>
      <c r="K23" s="24">
        <v>3.209E-2</v>
      </c>
      <c r="L23" s="24">
        <v>0.22764000000000001</v>
      </c>
      <c r="M23" s="25">
        <v>0.18182000000000001</v>
      </c>
      <c r="O23" s="24">
        <v>6.2920000000000004E-2</v>
      </c>
      <c r="P23" s="25">
        <v>0.18182000000000001</v>
      </c>
      <c r="Q23" s="25">
        <v>0.54544999999999999</v>
      </c>
      <c r="R23" s="25">
        <v>0</v>
      </c>
      <c r="S23" s="25">
        <v>0.63636000000000004</v>
      </c>
      <c r="T23" s="24">
        <v>0.83333000000000002</v>
      </c>
      <c r="U23" s="24">
        <v>0.83333000000000002</v>
      </c>
      <c r="W23" s="24">
        <v>1</v>
      </c>
      <c r="X23" s="24">
        <v>0.85270999999999997</v>
      </c>
      <c r="Y23" s="25">
        <v>0.35189999999999999</v>
      </c>
      <c r="Z23" s="25">
        <v>0.2336</v>
      </c>
      <c r="AA23" s="25">
        <v>0.1183</v>
      </c>
      <c r="AB23" s="27">
        <v>175.96</v>
      </c>
      <c r="AC23" s="25">
        <v>105.31</v>
      </c>
      <c r="AD23" s="25">
        <f>AB23-AC23</f>
        <v>70.650000000000006</v>
      </c>
      <c r="AE23" s="24">
        <v>9.3820000000000001E-2</v>
      </c>
      <c r="AH23" t="s">
        <v>102</v>
      </c>
      <c r="AI23" t="s">
        <v>770</v>
      </c>
    </row>
    <row r="24" spans="1:35" x14ac:dyDescent="0.35">
      <c r="A24" t="s">
        <v>132</v>
      </c>
      <c r="B24" t="s">
        <v>133</v>
      </c>
      <c r="C24">
        <v>75</v>
      </c>
      <c r="D24" t="s">
        <v>145</v>
      </c>
      <c r="E24" t="s">
        <v>406</v>
      </c>
      <c r="F24" t="s">
        <v>128</v>
      </c>
      <c r="G24" t="s">
        <v>112</v>
      </c>
      <c r="H24" s="26">
        <v>29</v>
      </c>
      <c r="I24" s="27">
        <v>20.37931</v>
      </c>
      <c r="J24" s="27">
        <v>5.4482799999999996</v>
      </c>
      <c r="K24" s="24">
        <v>3.4439999999999998E-2</v>
      </c>
      <c r="L24" s="24">
        <v>0.14291000000000001</v>
      </c>
      <c r="M24" s="27">
        <v>3.0689700000000002</v>
      </c>
      <c r="N24" s="25">
        <v>0.88119000000000003</v>
      </c>
      <c r="O24" s="24">
        <v>0.21240000000000001</v>
      </c>
      <c r="P24" s="27">
        <v>1.9655199999999999</v>
      </c>
      <c r="Q24" s="25">
        <v>0.37930999999999998</v>
      </c>
      <c r="R24" s="25">
        <v>3.4827599999999999</v>
      </c>
      <c r="S24" s="25">
        <v>2.1724100000000002</v>
      </c>
      <c r="T24" s="24">
        <v>0.43353999999999998</v>
      </c>
      <c r="U24" s="24">
        <v>0.46421000000000001</v>
      </c>
      <c r="V24" s="24">
        <v>0.27272999999999997</v>
      </c>
      <c r="W24" s="28">
        <v>0.75690999999999997</v>
      </c>
      <c r="X24" s="28">
        <v>0.51970000000000005</v>
      </c>
      <c r="Y24" s="27">
        <v>2.1867000000000001</v>
      </c>
      <c r="Z24" s="25">
        <v>0.63049999999999995</v>
      </c>
      <c r="AA24" s="25">
        <v>1.5562</v>
      </c>
      <c r="AB24" s="25">
        <v>98.95</v>
      </c>
      <c r="AC24" s="25">
        <v>105.55</v>
      </c>
      <c r="AD24" s="25">
        <f>AB24-AC24</f>
        <v>-6.5999999999999943</v>
      </c>
      <c r="AE24" s="24">
        <v>0.33649000000000001</v>
      </c>
      <c r="AH24" t="s">
        <v>103</v>
      </c>
      <c r="AI24" t="s">
        <v>771</v>
      </c>
    </row>
    <row r="25" spans="1:35" x14ac:dyDescent="0.35">
      <c r="A25" t="s">
        <v>177</v>
      </c>
      <c r="B25" t="s">
        <v>178</v>
      </c>
      <c r="C25">
        <v>76</v>
      </c>
      <c r="D25" t="s">
        <v>145</v>
      </c>
      <c r="E25" t="s">
        <v>406</v>
      </c>
      <c r="F25" t="s">
        <v>187</v>
      </c>
      <c r="G25" t="s">
        <v>168</v>
      </c>
      <c r="H25" s="26">
        <v>29</v>
      </c>
      <c r="I25" s="25">
        <v>1.34483</v>
      </c>
      <c r="J25" s="25">
        <v>1.9655199999999999</v>
      </c>
      <c r="K25" s="24">
        <v>7.6100000000000001E-2</v>
      </c>
      <c r="L25" s="24">
        <v>0.17444999999999999</v>
      </c>
      <c r="M25" s="25">
        <v>0.13793</v>
      </c>
      <c r="N25" s="25">
        <v>0.8</v>
      </c>
      <c r="O25" s="24">
        <v>2.7269999999999999E-2</v>
      </c>
      <c r="P25" s="25">
        <v>0.51724000000000003</v>
      </c>
      <c r="Q25" s="25">
        <v>0.17241000000000001</v>
      </c>
      <c r="R25" s="27">
        <v>0.17241000000000001</v>
      </c>
      <c r="S25" s="27">
        <v>1.1379300000000001</v>
      </c>
      <c r="T25" s="24">
        <v>0.62068999999999996</v>
      </c>
      <c r="U25" s="28">
        <v>0.62068999999999996</v>
      </c>
      <c r="W25" s="24">
        <v>0.5</v>
      </c>
      <c r="X25" s="28">
        <v>0.61709000000000003</v>
      </c>
      <c r="Y25" s="25">
        <v>0.6825</v>
      </c>
      <c r="Z25" s="25">
        <v>0.2777</v>
      </c>
      <c r="AA25" s="25">
        <v>0.40479999999999999</v>
      </c>
      <c r="AB25" s="27">
        <v>124.58</v>
      </c>
      <c r="AC25" s="25">
        <v>105.83</v>
      </c>
      <c r="AD25" s="27">
        <f>AB25-AC25</f>
        <v>18.75</v>
      </c>
      <c r="AE25" s="24">
        <v>6.8890000000000007E-2</v>
      </c>
      <c r="AH25" t="s">
        <v>104</v>
      </c>
      <c r="AI25" t="s">
        <v>772</v>
      </c>
    </row>
    <row r="26" spans="1:35" x14ac:dyDescent="0.35">
      <c r="A26" t="s">
        <v>277</v>
      </c>
      <c r="B26" t="s">
        <v>278</v>
      </c>
      <c r="C26">
        <v>75</v>
      </c>
      <c r="D26" t="s">
        <v>145</v>
      </c>
      <c r="E26" t="s">
        <v>406</v>
      </c>
      <c r="F26" t="s">
        <v>271</v>
      </c>
      <c r="G26" t="s">
        <v>267</v>
      </c>
      <c r="H26" s="26">
        <v>30</v>
      </c>
      <c r="I26" s="27">
        <v>12.1</v>
      </c>
      <c r="J26" s="27">
        <v>4.3666700000000001</v>
      </c>
      <c r="K26" s="24">
        <v>8.6800000000000002E-3</v>
      </c>
      <c r="L26" s="24">
        <v>0.17479</v>
      </c>
      <c r="M26" s="27">
        <v>3.9</v>
      </c>
      <c r="N26" s="25">
        <v>1.42683</v>
      </c>
      <c r="O26" s="24">
        <v>0.26756000000000002</v>
      </c>
      <c r="P26" s="27">
        <v>1.6</v>
      </c>
      <c r="Q26" s="25">
        <v>0.16667000000000001</v>
      </c>
      <c r="R26" s="25">
        <v>2.73333</v>
      </c>
      <c r="S26" s="25">
        <v>1.8333299999999999</v>
      </c>
      <c r="T26" s="24">
        <v>0.50922999999999996</v>
      </c>
      <c r="U26" s="28">
        <v>0.54427999999999999</v>
      </c>
      <c r="V26" s="24">
        <v>0.28788000000000002</v>
      </c>
      <c r="W26" s="28">
        <v>0.78161000000000003</v>
      </c>
      <c r="X26" s="28">
        <v>0.58681000000000005</v>
      </c>
      <c r="Y26" s="27">
        <v>2.3449</v>
      </c>
      <c r="Z26" s="25">
        <v>1.0618000000000001</v>
      </c>
      <c r="AA26" s="25">
        <v>1.2830999999999999</v>
      </c>
      <c r="AB26" s="25">
        <v>105.53</v>
      </c>
      <c r="AC26" s="25">
        <v>105.88</v>
      </c>
      <c r="AD26" s="25">
        <f>AB26-AC26</f>
        <v>-0.34999999999999432</v>
      </c>
      <c r="AE26" s="24">
        <v>0.24496999999999999</v>
      </c>
      <c r="AH26" t="s">
        <v>158</v>
      </c>
      <c r="AI26" t="s">
        <v>773</v>
      </c>
    </row>
    <row r="27" spans="1:35" x14ac:dyDescent="0.35">
      <c r="A27" t="s">
        <v>282</v>
      </c>
      <c r="B27" t="s">
        <v>283</v>
      </c>
      <c r="C27">
        <v>76</v>
      </c>
      <c r="D27" t="s">
        <v>145</v>
      </c>
      <c r="E27" t="s">
        <v>406</v>
      </c>
      <c r="F27" t="s">
        <v>268</v>
      </c>
      <c r="G27" t="s">
        <v>267</v>
      </c>
      <c r="H27" s="26">
        <v>30</v>
      </c>
      <c r="I27" s="27">
        <v>12.93333</v>
      </c>
      <c r="J27" s="27">
        <v>5.1333299999999999</v>
      </c>
      <c r="K27" s="24">
        <v>6.2659999999999993E-2</v>
      </c>
      <c r="L27" s="24">
        <v>0.15173</v>
      </c>
      <c r="M27" s="25">
        <v>1.93333</v>
      </c>
      <c r="N27" s="25">
        <v>0.78378000000000003</v>
      </c>
      <c r="O27" s="24">
        <v>0.14851</v>
      </c>
      <c r="P27" s="27">
        <v>1.2</v>
      </c>
      <c r="Q27" s="25">
        <v>0.36667</v>
      </c>
      <c r="R27" s="25">
        <v>2.4666700000000001</v>
      </c>
      <c r="S27" s="25">
        <v>1.56667</v>
      </c>
      <c r="T27" s="24">
        <v>0.41082999999999997</v>
      </c>
      <c r="U27" s="24">
        <v>0.48408000000000001</v>
      </c>
      <c r="V27" s="24">
        <v>0.30667</v>
      </c>
      <c r="W27" s="28">
        <v>0.8</v>
      </c>
      <c r="X27" s="28">
        <v>0.53859000000000001</v>
      </c>
      <c r="Y27" s="27">
        <v>2.3666</v>
      </c>
      <c r="Z27" s="25">
        <v>1.0225</v>
      </c>
      <c r="AA27" s="25">
        <v>1.3441000000000001</v>
      </c>
      <c r="AB27" s="25">
        <v>104.54</v>
      </c>
      <c r="AC27" s="25">
        <v>105.88</v>
      </c>
      <c r="AD27" s="25">
        <f>AB27-AC27</f>
        <v>-1.3399999999999892</v>
      </c>
      <c r="AE27" s="24">
        <v>0.25731999999999999</v>
      </c>
      <c r="AH27" t="s">
        <v>398</v>
      </c>
      <c r="AI27" t="s">
        <v>774</v>
      </c>
    </row>
    <row r="28" spans="1:35" x14ac:dyDescent="0.35">
      <c r="A28" t="s">
        <v>175</v>
      </c>
      <c r="B28" t="s">
        <v>223</v>
      </c>
      <c r="C28">
        <v>75</v>
      </c>
      <c r="D28" t="s">
        <v>145</v>
      </c>
      <c r="E28" t="s">
        <v>406</v>
      </c>
      <c r="F28" t="s">
        <v>220</v>
      </c>
      <c r="G28" t="s">
        <v>215</v>
      </c>
      <c r="H28" s="26">
        <v>31</v>
      </c>
      <c r="I28" s="25">
        <v>2.5806499999999999</v>
      </c>
      <c r="J28" s="25">
        <v>1.2258100000000001</v>
      </c>
      <c r="K28" s="24">
        <v>2.811E-2</v>
      </c>
      <c r="L28" s="24">
        <v>9.1120000000000007E-2</v>
      </c>
      <c r="M28" s="25">
        <v>0.51612999999999998</v>
      </c>
      <c r="N28" s="25">
        <v>2.2857099999999999</v>
      </c>
      <c r="O28" s="24">
        <v>8.523E-2</v>
      </c>
      <c r="P28" s="25">
        <v>0.32257999999999998</v>
      </c>
      <c r="Q28" s="25">
        <v>3.2259999999999997E-2</v>
      </c>
      <c r="R28" s="27">
        <v>0.22581000000000001</v>
      </c>
      <c r="S28" s="27">
        <v>1.09677</v>
      </c>
      <c r="T28" s="24">
        <v>0.36364000000000002</v>
      </c>
      <c r="U28" s="24">
        <v>0.46753</v>
      </c>
      <c r="V28" s="28">
        <v>0.4</v>
      </c>
      <c r="W28" s="24">
        <v>0.61538000000000004</v>
      </c>
      <c r="X28" s="24">
        <v>0.48368</v>
      </c>
      <c r="Y28" s="25">
        <v>0.75839999999999996</v>
      </c>
      <c r="Z28" s="25">
        <v>0.24759999999999999</v>
      </c>
      <c r="AA28" s="25">
        <v>0.51080000000000003</v>
      </c>
      <c r="AB28" s="25">
        <v>107.18</v>
      </c>
      <c r="AC28" s="25">
        <v>106.05</v>
      </c>
      <c r="AD28" s="27">
        <f>AB28-AC28</f>
        <v>1.1300000000000097</v>
      </c>
      <c r="AE28" s="24">
        <v>0.13125000000000001</v>
      </c>
    </row>
    <row r="29" spans="1:35" x14ac:dyDescent="0.35">
      <c r="A29" t="s">
        <v>181</v>
      </c>
      <c r="B29" t="s">
        <v>182</v>
      </c>
      <c r="C29">
        <v>77</v>
      </c>
      <c r="D29" t="s">
        <v>146</v>
      </c>
      <c r="E29" t="s">
        <v>406</v>
      </c>
      <c r="F29" t="s">
        <v>169</v>
      </c>
      <c r="G29" t="s">
        <v>168</v>
      </c>
      <c r="H29" s="26">
        <v>30</v>
      </c>
      <c r="I29" s="27">
        <v>10.43333</v>
      </c>
      <c r="J29" s="25">
        <v>3.7</v>
      </c>
      <c r="K29" s="24">
        <v>4.0579999999999998E-2</v>
      </c>
      <c r="L29" s="24">
        <v>0.13206000000000001</v>
      </c>
      <c r="M29" s="25">
        <v>0.5</v>
      </c>
      <c r="N29" s="25">
        <v>0.38462000000000002</v>
      </c>
      <c r="O29" s="24">
        <v>4.6800000000000001E-2</v>
      </c>
      <c r="P29" s="27">
        <v>0.96667000000000003</v>
      </c>
      <c r="Q29" s="25">
        <v>0.3</v>
      </c>
      <c r="R29" s="25">
        <v>1.3</v>
      </c>
      <c r="S29" s="25">
        <v>2</v>
      </c>
      <c r="T29" s="24">
        <v>0.38491999999999998</v>
      </c>
      <c r="U29" s="28">
        <v>0.50595000000000001</v>
      </c>
      <c r="V29" s="28">
        <v>0.37195</v>
      </c>
      <c r="W29" s="28">
        <v>0.78378000000000003</v>
      </c>
      <c r="X29" s="28">
        <v>0.54988999999999999</v>
      </c>
      <c r="Y29" s="25">
        <v>1.8204</v>
      </c>
      <c r="Z29" s="25">
        <v>0.81079999999999997</v>
      </c>
      <c r="AA29" s="25">
        <v>1.0097</v>
      </c>
      <c r="AB29" s="25">
        <v>106.74</v>
      </c>
      <c r="AC29" s="25">
        <v>106.24</v>
      </c>
      <c r="AD29" s="27">
        <f>AB29-AC29</f>
        <v>0.5</v>
      </c>
      <c r="AE29" s="24">
        <v>0.22897000000000001</v>
      </c>
    </row>
    <row r="30" spans="1:35" x14ac:dyDescent="0.35">
      <c r="A30" t="s">
        <v>216</v>
      </c>
      <c r="B30" t="s">
        <v>122</v>
      </c>
      <c r="C30">
        <v>77</v>
      </c>
      <c r="D30" t="s">
        <v>145</v>
      </c>
      <c r="E30" t="s">
        <v>405</v>
      </c>
      <c r="F30" t="s">
        <v>219</v>
      </c>
      <c r="G30" t="s">
        <v>215</v>
      </c>
      <c r="H30" s="26">
        <v>30</v>
      </c>
      <c r="I30" s="27">
        <v>12.73333</v>
      </c>
      <c r="J30" s="27">
        <v>5.9666699999999997</v>
      </c>
      <c r="K30" s="24">
        <v>7.3130000000000001E-2</v>
      </c>
      <c r="L30" s="24">
        <v>0.11896</v>
      </c>
      <c r="M30" s="25">
        <v>1.0333300000000001</v>
      </c>
      <c r="N30" s="25">
        <v>0.72092999999999996</v>
      </c>
      <c r="O30" s="24">
        <v>6.6019999999999995E-2</v>
      </c>
      <c r="P30" s="27">
        <v>1.4666699999999999</v>
      </c>
      <c r="Q30" s="25">
        <v>0.46666999999999997</v>
      </c>
      <c r="R30" s="25">
        <v>1.43333</v>
      </c>
      <c r="S30" s="25">
        <v>2.5</v>
      </c>
      <c r="T30" s="24">
        <v>0.53932999999999998</v>
      </c>
      <c r="U30" s="28">
        <v>0.54307000000000005</v>
      </c>
      <c r="V30" s="24">
        <v>0.28571000000000002</v>
      </c>
      <c r="W30" s="24">
        <v>0.62161999999999995</v>
      </c>
      <c r="X30" s="28">
        <v>0.57513000000000003</v>
      </c>
      <c r="Y30" s="27">
        <v>3.1903999999999999</v>
      </c>
      <c r="Z30" s="25">
        <v>1.7090000000000001</v>
      </c>
      <c r="AA30" s="25">
        <v>1.4814000000000001</v>
      </c>
      <c r="AB30" s="27">
        <v>114.87</v>
      </c>
      <c r="AC30" s="25">
        <v>106.44</v>
      </c>
      <c r="AD30" s="27">
        <f>AB30-AC30</f>
        <v>8.4300000000000068</v>
      </c>
      <c r="AE30" s="24">
        <v>0.17996999999999999</v>
      </c>
    </row>
    <row r="31" spans="1:35" x14ac:dyDescent="0.35">
      <c r="A31" t="s">
        <v>348</v>
      </c>
      <c r="B31" t="s">
        <v>349</v>
      </c>
      <c r="C31">
        <v>77</v>
      </c>
      <c r="D31" t="s">
        <v>145</v>
      </c>
      <c r="E31" t="s">
        <v>405</v>
      </c>
      <c r="F31" t="s">
        <v>364</v>
      </c>
      <c r="G31" t="s">
        <v>357</v>
      </c>
      <c r="H31" s="26">
        <v>32</v>
      </c>
      <c r="I31" s="27">
        <v>11.3125</v>
      </c>
      <c r="J31" s="27">
        <v>6.0625</v>
      </c>
      <c r="K31" s="24">
        <v>8.1939999999999999E-2</v>
      </c>
      <c r="L31" s="24">
        <v>0.97</v>
      </c>
      <c r="M31" s="25">
        <v>1.4375</v>
      </c>
      <c r="N31" s="25">
        <v>1.48387</v>
      </c>
      <c r="O31" s="24">
        <v>0.11096</v>
      </c>
      <c r="P31" s="27">
        <v>1.15625</v>
      </c>
      <c r="Q31" s="25">
        <v>0</v>
      </c>
      <c r="R31" s="27">
        <v>0.96875</v>
      </c>
      <c r="S31" s="25">
        <v>1.71875</v>
      </c>
      <c r="T31" s="24">
        <v>0.49225000000000002</v>
      </c>
      <c r="U31" s="28">
        <v>0.52132000000000001</v>
      </c>
      <c r="V31" s="24">
        <v>0.28301999999999999</v>
      </c>
      <c r="W31" s="28">
        <v>0.80171999999999999</v>
      </c>
      <c r="X31" s="28">
        <v>0.58575999999999995</v>
      </c>
      <c r="Y31" s="27">
        <v>3.5897999999999999</v>
      </c>
      <c r="Z31" s="25">
        <v>2.3264</v>
      </c>
      <c r="AA31" s="25">
        <v>1.2634000000000001</v>
      </c>
      <c r="AB31" s="27">
        <v>123.52</v>
      </c>
      <c r="AC31" s="25">
        <v>106.54</v>
      </c>
      <c r="AD31" s="27">
        <f>AB31-AC31</f>
        <v>16.97999999999999</v>
      </c>
      <c r="AE31" s="24">
        <v>0.19621</v>
      </c>
    </row>
    <row r="32" spans="1:35" x14ac:dyDescent="0.35">
      <c r="A32" t="s">
        <v>286</v>
      </c>
      <c r="B32" t="s">
        <v>287</v>
      </c>
      <c r="C32">
        <v>76</v>
      </c>
      <c r="D32" t="s">
        <v>145</v>
      </c>
      <c r="E32" t="s">
        <v>406</v>
      </c>
      <c r="F32" t="s">
        <v>266</v>
      </c>
      <c r="G32" t="s">
        <v>267</v>
      </c>
      <c r="H32" s="26">
        <v>30</v>
      </c>
      <c r="I32" s="27">
        <v>13.33333</v>
      </c>
      <c r="J32" s="27">
        <v>4.0999999999999996</v>
      </c>
      <c r="K32" s="24">
        <v>1.6240000000000001E-2</v>
      </c>
      <c r="L32" s="24">
        <v>0.14580000000000001</v>
      </c>
      <c r="M32" s="25">
        <v>2.8</v>
      </c>
      <c r="N32" s="25">
        <v>1.13514</v>
      </c>
      <c r="O32" s="24">
        <v>0.18187999999999999</v>
      </c>
      <c r="P32" s="27">
        <v>1.8</v>
      </c>
      <c r="Q32" s="25">
        <v>0.3</v>
      </c>
      <c r="R32" s="25">
        <v>2.4666700000000001</v>
      </c>
      <c r="S32" s="25">
        <v>2.4</v>
      </c>
      <c r="T32" s="24">
        <v>0.38153999999999999</v>
      </c>
      <c r="U32" s="24">
        <v>0.46461999999999998</v>
      </c>
      <c r="V32" s="24">
        <v>0.33128999999999997</v>
      </c>
      <c r="W32" s="28">
        <v>0.76563000000000003</v>
      </c>
      <c r="X32" s="28">
        <v>0.52451999999999999</v>
      </c>
      <c r="Y32" s="25">
        <v>1.9487000000000001</v>
      </c>
      <c r="Z32" s="25">
        <v>0.63029999999999997</v>
      </c>
      <c r="AA32" s="25">
        <v>1.3184</v>
      </c>
      <c r="AB32" s="25">
        <v>100.75</v>
      </c>
      <c r="AC32" s="25">
        <v>106.72</v>
      </c>
      <c r="AD32" s="25">
        <f>AB32-AC32</f>
        <v>-5.9699999999999989</v>
      </c>
      <c r="AE32" s="24">
        <v>0.25380999999999998</v>
      </c>
    </row>
    <row r="33" spans="1:31" x14ac:dyDescent="0.35">
      <c r="A33" t="s">
        <v>160</v>
      </c>
      <c r="B33" t="s">
        <v>161</v>
      </c>
      <c r="C33">
        <v>75</v>
      </c>
      <c r="D33" t="s">
        <v>145</v>
      </c>
      <c r="E33" t="s">
        <v>405</v>
      </c>
      <c r="F33" t="s">
        <v>170</v>
      </c>
      <c r="G33" t="s">
        <v>168</v>
      </c>
      <c r="H33">
        <v>16</v>
      </c>
      <c r="I33" s="25">
        <v>2.1875</v>
      </c>
      <c r="J33" s="25">
        <v>0.5</v>
      </c>
      <c r="K33" s="24">
        <v>1.3559999999999999E-2</v>
      </c>
      <c r="L33" s="24">
        <v>0.10295</v>
      </c>
      <c r="M33" s="25">
        <v>6.25E-2</v>
      </c>
      <c r="N33" s="25">
        <v>0.33333000000000002</v>
      </c>
      <c r="O33" s="24">
        <v>2.5850000000000001E-2</v>
      </c>
      <c r="P33" s="25">
        <v>6.25E-2</v>
      </c>
      <c r="Q33" s="25">
        <v>6.25E-2</v>
      </c>
      <c r="R33" s="25">
        <v>0.1875</v>
      </c>
      <c r="S33" s="25">
        <v>0.1875</v>
      </c>
      <c r="T33" s="24">
        <v>0.31579000000000002</v>
      </c>
      <c r="U33" s="24">
        <v>0.42104999999999998</v>
      </c>
      <c r="V33" s="24">
        <v>0.27585999999999999</v>
      </c>
      <c r="W33" s="24">
        <v>0.75</v>
      </c>
      <c r="X33" s="24">
        <v>0.43969999999999998</v>
      </c>
      <c r="Y33" s="25">
        <v>0.10639999999999999</v>
      </c>
      <c r="Z33" s="25">
        <v>-4.1000000000000003E-3</v>
      </c>
      <c r="AA33" s="25">
        <v>0.1105</v>
      </c>
      <c r="AB33" s="25">
        <v>94.4</v>
      </c>
      <c r="AC33" s="25">
        <v>107.01</v>
      </c>
      <c r="AD33" s="25">
        <f>AB33-AC33</f>
        <v>-12.61</v>
      </c>
      <c r="AE33" s="24">
        <v>0.25930999999999998</v>
      </c>
    </row>
    <row r="34" spans="1:31" x14ac:dyDescent="0.35">
      <c r="A34" t="s">
        <v>24</v>
      </c>
      <c r="B34" t="s">
        <v>236</v>
      </c>
      <c r="C34">
        <v>77</v>
      </c>
      <c r="D34" t="s">
        <v>145</v>
      </c>
      <c r="E34" t="s">
        <v>406</v>
      </c>
      <c r="F34" t="s">
        <v>244</v>
      </c>
      <c r="G34" t="s">
        <v>215</v>
      </c>
      <c r="H34">
        <v>12</v>
      </c>
      <c r="I34" s="25">
        <v>1.25</v>
      </c>
      <c r="J34" s="25">
        <v>1.4166700000000001</v>
      </c>
      <c r="K34" s="24">
        <v>5.3449999999999998E-2</v>
      </c>
      <c r="L34" s="24">
        <v>0.12767000000000001</v>
      </c>
      <c r="M34" s="25">
        <v>0.16667000000000001</v>
      </c>
      <c r="N34" s="25">
        <v>0.33333000000000002</v>
      </c>
      <c r="O34" s="24">
        <v>3.295E-2</v>
      </c>
      <c r="P34" s="25">
        <v>0.66666999999999998</v>
      </c>
      <c r="Q34" s="25">
        <v>0.16667000000000001</v>
      </c>
      <c r="R34" s="25">
        <v>0.5</v>
      </c>
      <c r="S34" s="25">
        <v>0.66666999999999998</v>
      </c>
      <c r="T34" s="24">
        <v>0.33333000000000002</v>
      </c>
      <c r="U34" s="24">
        <v>0.33333000000000002</v>
      </c>
      <c r="V34" s="24">
        <v>0</v>
      </c>
      <c r="W34" s="24">
        <v>0.75</v>
      </c>
      <c r="X34" s="24">
        <v>0.52447999999999995</v>
      </c>
      <c r="Y34" s="25">
        <v>0.1305</v>
      </c>
      <c r="Z34" s="25">
        <v>-1.7999999999999999E-2</v>
      </c>
      <c r="AA34" s="25">
        <v>0.1484</v>
      </c>
      <c r="AB34" s="25">
        <v>91.58</v>
      </c>
      <c r="AC34" s="25">
        <v>107.13</v>
      </c>
      <c r="AD34" s="25">
        <f>AB34-AC34</f>
        <v>-15.549999999999997</v>
      </c>
      <c r="AE34" s="24">
        <v>0.10047</v>
      </c>
    </row>
    <row r="35" spans="1:31" x14ac:dyDescent="0.35">
      <c r="A35" t="s">
        <v>294</v>
      </c>
      <c r="B35" t="s">
        <v>295</v>
      </c>
      <c r="C35">
        <v>77</v>
      </c>
      <c r="D35" t="s">
        <v>145</v>
      </c>
      <c r="E35" t="s">
        <v>406</v>
      </c>
      <c r="F35" t="s">
        <v>269</v>
      </c>
      <c r="G35" t="s">
        <v>267</v>
      </c>
      <c r="H35">
        <v>13</v>
      </c>
      <c r="I35" s="25">
        <v>3.30769</v>
      </c>
      <c r="J35" s="25">
        <v>2.2307700000000001</v>
      </c>
      <c r="K35" s="24">
        <v>5.0340000000000003E-2</v>
      </c>
      <c r="L35" s="24">
        <v>0.21612999999999999</v>
      </c>
      <c r="M35" s="25">
        <v>0.61538000000000004</v>
      </c>
      <c r="N35" s="25">
        <v>0.88888999999999996</v>
      </c>
      <c r="O35" s="24">
        <v>0.13127</v>
      </c>
      <c r="P35" s="25">
        <v>0.15384999999999999</v>
      </c>
      <c r="Q35" s="25">
        <v>0.15384999999999999</v>
      </c>
      <c r="R35" s="25">
        <v>0.69230999999999998</v>
      </c>
      <c r="S35" s="25">
        <v>0.76922999999999997</v>
      </c>
      <c r="T35" s="24">
        <v>0.35714000000000001</v>
      </c>
      <c r="U35" s="24">
        <v>0.40476000000000001</v>
      </c>
      <c r="V35" s="24">
        <v>0.17391000000000001</v>
      </c>
      <c r="W35" s="24">
        <v>0.81818000000000002</v>
      </c>
      <c r="X35" s="24">
        <v>0.45939999999999998</v>
      </c>
      <c r="Y35" s="25">
        <v>0.1482</v>
      </c>
      <c r="Z35" s="25">
        <v>-2.4500000000000001E-2</v>
      </c>
      <c r="AA35" s="25">
        <v>0.17269999999999999</v>
      </c>
      <c r="AB35" s="25">
        <v>93.01</v>
      </c>
      <c r="AC35" s="25">
        <v>107.28</v>
      </c>
      <c r="AD35" s="25">
        <f>AB35-AC35</f>
        <v>-14.269999999999996</v>
      </c>
      <c r="AE35" s="24">
        <v>0.22366</v>
      </c>
    </row>
    <row r="36" spans="1:31" x14ac:dyDescent="0.35">
      <c r="A36" t="s">
        <v>390</v>
      </c>
      <c r="B36" t="s">
        <v>391</v>
      </c>
      <c r="C36">
        <v>78</v>
      </c>
      <c r="D36" t="s">
        <v>146</v>
      </c>
      <c r="E36" t="s">
        <v>406</v>
      </c>
      <c r="F36" t="s">
        <v>367</v>
      </c>
      <c r="G36" t="s">
        <v>357</v>
      </c>
      <c r="H36" s="26">
        <v>30</v>
      </c>
      <c r="I36" s="25">
        <v>2.1</v>
      </c>
      <c r="J36" s="25">
        <v>1.0333300000000001</v>
      </c>
      <c r="K36" s="24">
        <v>6.2729999999999994E-2</v>
      </c>
      <c r="L36" s="24">
        <v>0.32</v>
      </c>
      <c r="M36" s="25">
        <v>0.2</v>
      </c>
      <c r="N36" s="25">
        <v>1.2</v>
      </c>
      <c r="O36" s="24">
        <v>4.1739999999999999E-2</v>
      </c>
      <c r="P36" s="25">
        <v>6.6669999999999993E-2</v>
      </c>
      <c r="Q36" s="25">
        <v>6.6669999999999993E-2</v>
      </c>
      <c r="R36" s="27">
        <v>0.16667000000000001</v>
      </c>
      <c r="S36" s="25">
        <v>0.33333000000000002</v>
      </c>
      <c r="T36" s="24">
        <v>0.31429000000000001</v>
      </c>
      <c r="U36" s="24">
        <v>0.4</v>
      </c>
      <c r="V36" s="24">
        <v>0.25531999999999999</v>
      </c>
      <c r="W36" s="28">
        <v>1</v>
      </c>
      <c r="X36" s="24">
        <v>0.43092000000000003</v>
      </c>
      <c r="Y36" s="25">
        <v>0.44440000000000002</v>
      </c>
      <c r="Z36" s="25">
        <v>8.5999999999999993E-2</v>
      </c>
      <c r="AA36" s="25">
        <v>0.35849999999999999</v>
      </c>
      <c r="AB36" s="25">
        <v>99.64</v>
      </c>
      <c r="AC36" s="25">
        <v>107.36</v>
      </c>
      <c r="AD36" s="25">
        <f>AB36-AC36</f>
        <v>-7.7199999999999989</v>
      </c>
      <c r="AE36" s="24">
        <v>0.15847</v>
      </c>
    </row>
    <row r="37" spans="1:31" x14ac:dyDescent="0.35">
      <c r="A37" t="s">
        <v>280</v>
      </c>
      <c r="B37" t="s">
        <v>281</v>
      </c>
      <c r="C37">
        <v>76</v>
      </c>
      <c r="D37" t="s">
        <v>145</v>
      </c>
      <c r="E37" t="s">
        <v>406</v>
      </c>
      <c r="F37" t="s">
        <v>303</v>
      </c>
      <c r="G37" t="s">
        <v>267</v>
      </c>
      <c r="H37" s="26">
        <v>28</v>
      </c>
      <c r="I37" s="25">
        <v>7.0714300000000003</v>
      </c>
      <c r="J37" s="25">
        <v>3.6785700000000001</v>
      </c>
      <c r="K37" s="24">
        <v>3.2660000000000002E-2</v>
      </c>
      <c r="L37" s="24">
        <v>0.13699</v>
      </c>
      <c r="M37" s="25">
        <v>1.4642900000000001</v>
      </c>
      <c r="N37" s="25">
        <v>1.13889</v>
      </c>
      <c r="O37" s="24">
        <v>0.10582999999999999</v>
      </c>
      <c r="P37" s="27">
        <v>1.0357099999999999</v>
      </c>
      <c r="Q37" s="25">
        <v>0.5</v>
      </c>
      <c r="R37" s="25">
        <v>1.2857099999999999</v>
      </c>
      <c r="S37" s="25">
        <v>2.2142900000000001</v>
      </c>
      <c r="T37" s="24">
        <v>0.44</v>
      </c>
      <c r="U37" s="28">
        <v>0.5</v>
      </c>
      <c r="V37" s="24">
        <v>0.33961999999999998</v>
      </c>
      <c r="W37" s="24">
        <v>0.70587999999999995</v>
      </c>
      <c r="X37" s="28">
        <v>0.55030999999999997</v>
      </c>
      <c r="Y37" s="25">
        <v>1.4569000000000001</v>
      </c>
      <c r="Z37" s="25">
        <v>0.46879999999999999</v>
      </c>
      <c r="AA37" s="25">
        <v>0.98819999999999997</v>
      </c>
      <c r="AB37" s="25">
        <v>103.46</v>
      </c>
      <c r="AC37" s="25">
        <v>107.43</v>
      </c>
      <c r="AD37" s="25">
        <f>AB37-AC37</f>
        <v>-3.9700000000000131</v>
      </c>
      <c r="AE37" s="24">
        <v>0.159</v>
      </c>
    </row>
    <row r="38" spans="1:31" x14ac:dyDescent="0.35">
      <c r="A38" t="s">
        <v>383</v>
      </c>
      <c r="B38" t="s">
        <v>384</v>
      </c>
      <c r="C38">
        <v>77</v>
      </c>
      <c r="D38" t="s">
        <v>145</v>
      </c>
      <c r="E38" t="s">
        <v>406</v>
      </c>
      <c r="F38" t="s">
        <v>360</v>
      </c>
      <c r="G38" t="s">
        <v>357</v>
      </c>
      <c r="H38" s="26">
        <v>29</v>
      </c>
      <c r="I38" s="25">
        <v>4.3793100000000003</v>
      </c>
      <c r="J38" s="25">
        <v>2.3793099999999998</v>
      </c>
      <c r="K38" s="24">
        <v>0.10416</v>
      </c>
      <c r="L38" s="24">
        <v>0.99</v>
      </c>
      <c r="M38" s="25">
        <v>0.62068999999999996</v>
      </c>
      <c r="N38" s="25">
        <v>0.54544999999999999</v>
      </c>
      <c r="O38" s="24">
        <v>8.8069999999999996E-2</v>
      </c>
      <c r="P38" s="25">
        <v>0.48276000000000002</v>
      </c>
      <c r="Q38" s="25">
        <v>3.4479999999999997E-2</v>
      </c>
      <c r="R38" s="25">
        <v>1.1379300000000001</v>
      </c>
      <c r="S38" s="25">
        <v>1</v>
      </c>
      <c r="T38" s="24">
        <v>0.42342000000000002</v>
      </c>
      <c r="U38" s="24">
        <v>0.46395999999999998</v>
      </c>
      <c r="V38" s="24">
        <v>0.33333000000000002</v>
      </c>
      <c r="W38" s="28">
        <v>0.75</v>
      </c>
      <c r="X38" s="28">
        <v>0.50758999999999999</v>
      </c>
      <c r="Y38" s="25">
        <v>0.63380000000000003</v>
      </c>
      <c r="Z38" s="25">
        <v>0.1105</v>
      </c>
      <c r="AA38" s="25">
        <v>0.52329999999999999</v>
      </c>
      <c r="AB38" s="25">
        <v>98.02</v>
      </c>
      <c r="AC38" s="25">
        <v>107.47</v>
      </c>
      <c r="AD38" s="25">
        <f>AB38-AC38</f>
        <v>-9.4500000000000028</v>
      </c>
      <c r="AE38" s="24">
        <v>0.19617999999999999</v>
      </c>
    </row>
    <row r="39" spans="1:31" x14ac:dyDescent="0.35">
      <c r="A39" t="s">
        <v>251</v>
      </c>
      <c r="B39" t="s">
        <v>252</v>
      </c>
      <c r="C39">
        <v>76</v>
      </c>
      <c r="D39" t="s">
        <v>145</v>
      </c>
      <c r="E39" t="s">
        <v>405</v>
      </c>
      <c r="F39" t="s">
        <v>270</v>
      </c>
      <c r="G39" t="s">
        <v>267</v>
      </c>
      <c r="H39" s="26">
        <v>33</v>
      </c>
      <c r="I39" s="25">
        <v>2.90909</v>
      </c>
      <c r="J39" s="25">
        <v>1.1515200000000001</v>
      </c>
      <c r="K39" s="24">
        <v>2.8840000000000001E-2</v>
      </c>
      <c r="L39" s="24">
        <v>9.6250000000000002E-2</v>
      </c>
      <c r="M39" s="25">
        <v>0.81818000000000002</v>
      </c>
      <c r="N39" s="25">
        <v>1.5</v>
      </c>
      <c r="O39" s="24">
        <v>0.13481000000000001</v>
      </c>
      <c r="P39" s="25">
        <v>0.54544999999999999</v>
      </c>
      <c r="Q39" s="25">
        <v>0</v>
      </c>
      <c r="R39" s="27">
        <v>0.54544999999999999</v>
      </c>
      <c r="S39" s="27">
        <v>1.1515200000000001</v>
      </c>
      <c r="T39" s="24">
        <v>0.30556</v>
      </c>
      <c r="U39" s="24">
        <v>0.38425999999999999</v>
      </c>
      <c r="V39" s="24">
        <v>0.25373000000000001</v>
      </c>
      <c r="W39" s="28">
        <v>0.76471</v>
      </c>
      <c r="X39" s="24">
        <v>0.41558</v>
      </c>
      <c r="Y39" s="25">
        <v>0.28949999999999998</v>
      </c>
      <c r="Z39" s="25">
        <v>-0.2341</v>
      </c>
      <c r="AA39" s="25">
        <v>0.52359999999999995</v>
      </c>
      <c r="AB39" s="25">
        <v>88.06</v>
      </c>
      <c r="AC39" s="25">
        <v>107.71</v>
      </c>
      <c r="AD39" s="25">
        <f>AB39-AC39</f>
        <v>-19.649999999999991</v>
      </c>
      <c r="AE39" s="24">
        <v>0.1895</v>
      </c>
    </row>
    <row r="40" spans="1:31" x14ac:dyDescent="0.35">
      <c r="A40" t="s">
        <v>298</v>
      </c>
      <c r="B40" t="s">
        <v>122</v>
      </c>
      <c r="C40">
        <v>78</v>
      </c>
      <c r="D40" t="s">
        <v>146</v>
      </c>
      <c r="E40" t="s">
        <v>406</v>
      </c>
      <c r="F40" t="s">
        <v>270</v>
      </c>
      <c r="G40" t="s">
        <v>267</v>
      </c>
      <c r="H40" s="26">
        <v>31</v>
      </c>
      <c r="I40" s="27">
        <v>10.709680000000001</v>
      </c>
      <c r="J40" s="27">
        <v>4</v>
      </c>
      <c r="K40" s="24">
        <v>4.6289999999999998E-2</v>
      </c>
      <c r="L40" s="24">
        <v>0.14280000000000001</v>
      </c>
      <c r="M40" s="25">
        <v>1.03226</v>
      </c>
      <c r="N40" s="25">
        <v>0.72726999999999997</v>
      </c>
      <c r="O40" s="24">
        <v>7.9430000000000001E-2</v>
      </c>
      <c r="P40" s="25">
        <v>0.87097000000000002</v>
      </c>
      <c r="Q40" s="25">
        <v>9.6769999999999995E-2</v>
      </c>
      <c r="R40" s="25">
        <v>1.4193499999999999</v>
      </c>
      <c r="S40" s="25">
        <v>2.74194</v>
      </c>
      <c r="T40" s="24">
        <v>0.50990000000000002</v>
      </c>
      <c r="U40" s="28">
        <v>0.61138999999999999</v>
      </c>
      <c r="V40" s="28">
        <v>0.45055000000000001</v>
      </c>
      <c r="W40" s="28">
        <v>0.85858999999999996</v>
      </c>
      <c r="X40" s="28">
        <v>0.67589999999999995</v>
      </c>
      <c r="Y40" s="27">
        <v>3.1454</v>
      </c>
      <c r="Z40" s="25">
        <v>2.0310999999999999</v>
      </c>
      <c r="AA40" s="25">
        <v>1.1143000000000001</v>
      </c>
      <c r="AB40" s="27">
        <v>122.63</v>
      </c>
      <c r="AC40" s="25">
        <v>107.81</v>
      </c>
      <c r="AD40" s="27">
        <f>AB40-AC40</f>
        <v>14.819999999999993</v>
      </c>
      <c r="AE40" s="24">
        <v>0.19159999999999999</v>
      </c>
    </row>
    <row r="41" spans="1:31" x14ac:dyDescent="0.35">
      <c r="A41" t="s">
        <v>301</v>
      </c>
      <c r="B41" t="s">
        <v>122</v>
      </c>
      <c r="C41">
        <v>78</v>
      </c>
      <c r="D41" t="s">
        <v>146</v>
      </c>
      <c r="E41" t="s">
        <v>406</v>
      </c>
      <c r="F41" t="s">
        <v>271</v>
      </c>
      <c r="G41" t="s">
        <v>267</v>
      </c>
      <c r="H41" s="26">
        <v>31</v>
      </c>
      <c r="I41" s="25">
        <v>8.2903199999999995</v>
      </c>
      <c r="J41" s="27">
        <v>4.5806500000000003</v>
      </c>
      <c r="K41" s="24">
        <v>5.3190000000000001E-2</v>
      </c>
      <c r="L41" s="24">
        <v>0.14557999999999999</v>
      </c>
      <c r="M41" s="25">
        <v>1.8064499999999999</v>
      </c>
      <c r="N41" s="25">
        <v>1.24444</v>
      </c>
      <c r="O41" s="24">
        <v>0.11586</v>
      </c>
      <c r="P41" s="27">
        <v>1.09677</v>
      </c>
      <c r="Q41" s="25">
        <v>0.67742000000000002</v>
      </c>
      <c r="R41" s="25">
        <v>1.4516100000000001</v>
      </c>
      <c r="S41" s="25">
        <v>1.8064499999999999</v>
      </c>
      <c r="T41" s="24">
        <v>0.40528999999999998</v>
      </c>
      <c r="U41" s="28">
        <v>0.50880999999999998</v>
      </c>
      <c r="V41" s="28">
        <v>0.36719000000000002</v>
      </c>
      <c r="W41" s="28">
        <v>0.8125</v>
      </c>
      <c r="X41" s="28">
        <v>0.53297000000000005</v>
      </c>
      <c r="Y41" s="25">
        <v>1.7997000000000001</v>
      </c>
      <c r="Z41" s="25">
        <v>0.66930000000000001</v>
      </c>
      <c r="AA41" s="25">
        <v>1.1304000000000001</v>
      </c>
      <c r="AB41" s="25">
        <v>104.22</v>
      </c>
      <c r="AC41" s="25">
        <v>107.81</v>
      </c>
      <c r="AD41" s="25">
        <f>AB41-AC41</f>
        <v>-3.5900000000000034</v>
      </c>
      <c r="AE41" s="24">
        <v>0.17932000000000001</v>
      </c>
    </row>
    <row r="42" spans="1:31" x14ac:dyDescent="0.35">
      <c r="A42" t="s">
        <v>416</v>
      </c>
      <c r="B42" t="s">
        <v>233</v>
      </c>
      <c r="C42">
        <v>76</v>
      </c>
      <c r="D42" t="s">
        <v>145</v>
      </c>
      <c r="E42" t="s">
        <v>406</v>
      </c>
      <c r="F42" t="s">
        <v>219</v>
      </c>
      <c r="G42" t="s">
        <v>215</v>
      </c>
      <c r="H42">
        <v>16</v>
      </c>
      <c r="I42" s="25">
        <v>0.8125</v>
      </c>
      <c r="J42" s="25">
        <v>1.4375</v>
      </c>
      <c r="K42" s="24">
        <v>8.8669999999999999E-2</v>
      </c>
      <c r="L42" s="24">
        <v>0.12989000000000001</v>
      </c>
      <c r="M42" s="25">
        <v>0.4375</v>
      </c>
      <c r="N42" s="25">
        <v>1.1666700000000001</v>
      </c>
      <c r="O42" s="24">
        <v>0.10753</v>
      </c>
      <c r="P42" s="25">
        <v>0.1875</v>
      </c>
      <c r="Q42" s="25">
        <v>6.25E-2</v>
      </c>
      <c r="R42" s="25">
        <v>0.375</v>
      </c>
      <c r="S42" s="25">
        <v>1.125</v>
      </c>
      <c r="T42" s="24">
        <v>0.16667000000000001</v>
      </c>
      <c r="U42" s="24">
        <v>0.19444</v>
      </c>
      <c r="V42" s="24">
        <v>0.2</v>
      </c>
      <c r="W42" s="24">
        <v>0.54544999999999999</v>
      </c>
      <c r="X42" s="24">
        <v>0.28509000000000001</v>
      </c>
      <c r="Y42" s="25">
        <v>4.7000000000000002E-3</v>
      </c>
      <c r="Z42" s="25">
        <v>-0.1444</v>
      </c>
      <c r="AA42" s="25">
        <v>0.14910000000000001</v>
      </c>
      <c r="AB42" s="25">
        <v>74.69</v>
      </c>
      <c r="AC42" s="25">
        <v>107.9</v>
      </c>
      <c r="AD42" s="25">
        <f>AB42-AC42</f>
        <v>-33.210000000000008</v>
      </c>
      <c r="AE42" s="24">
        <v>0.12293</v>
      </c>
    </row>
    <row r="43" spans="1:31" x14ac:dyDescent="0.35">
      <c r="A43" t="s">
        <v>230</v>
      </c>
      <c r="B43" t="s">
        <v>371</v>
      </c>
      <c r="C43">
        <v>76</v>
      </c>
      <c r="D43" t="s">
        <v>145</v>
      </c>
      <c r="E43" t="s">
        <v>406</v>
      </c>
      <c r="F43" t="s">
        <v>242</v>
      </c>
      <c r="G43" t="s">
        <v>215</v>
      </c>
      <c r="H43">
        <v>22</v>
      </c>
      <c r="I43" s="25">
        <v>2.6363599999999998</v>
      </c>
      <c r="J43" s="25">
        <v>1.86364</v>
      </c>
      <c r="K43" s="24">
        <v>6.1940000000000002E-2</v>
      </c>
      <c r="L43" s="24">
        <v>0.10621</v>
      </c>
      <c r="M43" s="25">
        <v>0.90908999999999995</v>
      </c>
      <c r="N43" s="25">
        <v>1.3333299999999999</v>
      </c>
      <c r="O43" s="24">
        <v>0.14960999999999999</v>
      </c>
      <c r="P43" s="25">
        <v>0.63636000000000004</v>
      </c>
      <c r="Q43" s="25">
        <v>0</v>
      </c>
      <c r="R43" s="27">
        <v>0.68181999999999998</v>
      </c>
      <c r="S43" s="27">
        <v>1.5</v>
      </c>
      <c r="T43" s="24">
        <v>0.41378999999999999</v>
      </c>
      <c r="U43" s="24">
        <v>0.41378999999999999</v>
      </c>
      <c r="V43" s="24">
        <v>0</v>
      </c>
      <c r="W43" s="24">
        <v>0.35714000000000001</v>
      </c>
      <c r="X43" s="24">
        <v>0.41252</v>
      </c>
      <c r="Y43" s="25">
        <v>0.20830000000000001</v>
      </c>
      <c r="Z43" s="25">
        <v>-0.16309999999999999</v>
      </c>
      <c r="AA43" s="25">
        <v>0.37130000000000002</v>
      </c>
      <c r="AB43" s="25">
        <v>87.45</v>
      </c>
      <c r="AC43" s="25">
        <v>108.03</v>
      </c>
      <c r="AD43" s="25">
        <f>AB43-AC43</f>
        <v>-20.58</v>
      </c>
      <c r="AE43" s="24">
        <v>0.15526999999999999</v>
      </c>
    </row>
    <row r="44" spans="1:31" x14ac:dyDescent="0.35">
      <c r="A44" t="s">
        <v>173</v>
      </c>
      <c r="B44" t="s">
        <v>174</v>
      </c>
      <c r="C44">
        <v>75</v>
      </c>
      <c r="D44" t="s">
        <v>145</v>
      </c>
      <c r="E44" t="s">
        <v>406</v>
      </c>
      <c r="F44" t="s">
        <v>186</v>
      </c>
      <c r="G44" t="s">
        <v>168</v>
      </c>
      <c r="H44" s="26">
        <v>27</v>
      </c>
      <c r="I44" s="25">
        <v>6.5555599999999998</v>
      </c>
      <c r="J44" s="25">
        <v>2.2963</v>
      </c>
      <c r="K44" s="24">
        <v>2.0320000000000001E-2</v>
      </c>
      <c r="L44" s="24">
        <v>0.11706</v>
      </c>
      <c r="M44" s="25">
        <v>0.88888999999999996</v>
      </c>
      <c r="N44" s="25">
        <v>1.2631600000000001</v>
      </c>
      <c r="O44" s="24">
        <v>9.9690000000000001E-2</v>
      </c>
      <c r="P44" s="25">
        <v>0.48148000000000002</v>
      </c>
      <c r="Q44" s="25">
        <v>0.25925999999999999</v>
      </c>
      <c r="R44" s="27">
        <v>0.70369999999999999</v>
      </c>
      <c r="S44" s="27">
        <v>1.2222200000000001</v>
      </c>
      <c r="T44" s="24">
        <v>0.52293999999999996</v>
      </c>
      <c r="U44" s="28">
        <v>0.67430999999999996</v>
      </c>
      <c r="V44" s="28">
        <v>0.46478999999999998</v>
      </c>
      <c r="W44" s="28">
        <v>0.88234999999999997</v>
      </c>
      <c r="X44" s="28">
        <v>0.71370999999999996</v>
      </c>
      <c r="Y44" s="25">
        <v>1.8879999999999999</v>
      </c>
      <c r="Z44" s="25">
        <v>1.2122999999999999</v>
      </c>
      <c r="AA44" s="25">
        <v>0.67569999999999997</v>
      </c>
      <c r="AB44" s="27">
        <v>130.63</v>
      </c>
      <c r="AC44" s="25">
        <v>108.18</v>
      </c>
      <c r="AD44" s="27">
        <f>AB44-AC44</f>
        <v>22.449999999999989</v>
      </c>
      <c r="AE44" s="24">
        <v>0.14466999999999999</v>
      </c>
    </row>
    <row r="45" spans="1:31" x14ac:dyDescent="0.35">
      <c r="A45" t="s">
        <v>210</v>
      </c>
      <c r="B45" t="s">
        <v>211</v>
      </c>
      <c r="C45">
        <v>77</v>
      </c>
      <c r="D45" t="s">
        <v>145</v>
      </c>
      <c r="E45" t="s">
        <v>406</v>
      </c>
      <c r="F45" t="s">
        <v>212</v>
      </c>
      <c r="G45" t="s">
        <v>196</v>
      </c>
      <c r="H45">
        <v>22</v>
      </c>
      <c r="I45" s="25">
        <v>1.04545</v>
      </c>
      <c r="J45" s="25">
        <v>0.81818000000000002</v>
      </c>
      <c r="K45" s="24">
        <v>3.5220000000000001E-2</v>
      </c>
      <c r="L45" s="24">
        <v>0.11146</v>
      </c>
      <c r="M45" s="25">
        <v>0.27272999999999997</v>
      </c>
      <c r="N45" s="25">
        <v>1.2</v>
      </c>
      <c r="O45" s="24">
        <v>6.3700000000000007E-2</v>
      </c>
      <c r="P45" s="25">
        <v>0.27272999999999997</v>
      </c>
      <c r="Q45" s="25">
        <v>0</v>
      </c>
      <c r="R45" s="27">
        <v>0.22727</v>
      </c>
      <c r="S45" s="25">
        <v>0.68181999999999998</v>
      </c>
      <c r="T45" s="24">
        <v>0.25</v>
      </c>
      <c r="U45" s="24">
        <v>0.32812999999999998</v>
      </c>
      <c r="V45" s="24">
        <v>0.17857000000000001</v>
      </c>
      <c r="W45" s="24">
        <v>1</v>
      </c>
      <c r="X45" s="24">
        <v>0.34954000000000002</v>
      </c>
      <c r="Y45" s="25">
        <v>7.3300000000000004E-2</v>
      </c>
      <c r="Z45" s="25">
        <v>-0.1077</v>
      </c>
      <c r="AA45" s="25">
        <v>0.18090000000000001</v>
      </c>
      <c r="AB45" s="25">
        <v>82.23</v>
      </c>
      <c r="AC45" s="25">
        <v>108.43</v>
      </c>
      <c r="AD45" s="25">
        <f>AB45-AC45</f>
        <v>-26.200000000000003</v>
      </c>
      <c r="AE45" s="24">
        <v>0.13195000000000001</v>
      </c>
    </row>
    <row r="46" spans="1:31" x14ac:dyDescent="0.35">
      <c r="A46" t="s">
        <v>72</v>
      </c>
      <c r="B46" t="s">
        <v>347</v>
      </c>
      <c r="C46">
        <v>76</v>
      </c>
      <c r="D46" t="s">
        <v>145</v>
      </c>
      <c r="E46" t="s">
        <v>405</v>
      </c>
      <c r="F46" t="s">
        <v>360</v>
      </c>
      <c r="G46" t="s">
        <v>357</v>
      </c>
      <c r="H46">
        <v>8</v>
      </c>
      <c r="I46" s="25">
        <v>1.25</v>
      </c>
      <c r="J46" s="25">
        <v>1</v>
      </c>
      <c r="K46" s="24">
        <v>9.8900000000000002E-2</v>
      </c>
      <c r="M46" s="25">
        <v>0.25</v>
      </c>
      <c r="N46" s="25">
        <v>1</v>
      </c>
      <c r="O46" s="24">
        <v>8.0729999999999996E-2</v>
      </c>
      <c r="P46" s="25">
        <v>0.125</v>
      </c>
      <c r="Q46" s="25">
        <v>0</v>
      </c>
      <c r="R46" s="25">
        <v>0.25</v>
      </c>
      <c r="S46" s="25">
        <v>1</v>
      </c>
      <c r="T46" s="24">
        <v>0.83333000000000002</v>
      </c>
      <c r="U46" s="24">
        <v>0.83333000000000002</v>
      </c>
      <c r="X46" s="24">
        <v>0.83333000000000002</v>
      </c>
      <c r="AA46" s="25">
        <v>5.5500000000000001E-2</v>
      </c>
      <c r="AC46" s="25">
        <v>108.53</v>
      </c>
      <c r="AD46" s="25">
        <f>AB46-AC46</f>
        <v>-108.53</v>
      </c>
      <c r="AE46" s="24">
        <v>8.8050000000000003E-2</v>
      </c>
    </row>
    <row r="47" spans="1:31" x14ac:dyDescent="0.35">
      <c r="A47" t="s">
        <v>234</v>
      </c>
      <c r="B47" t="s">
        <v>235</v>
      </c>
      <c r="C47">
        <v>76</v>
      </c>
      <c r="D47" t="s">
        <v>145</v>
      </c>
      <c r="E47" t="s">
        <v>406</v>
      </c>
      <c r="F47" t="s">
        <v>242</v>
      </c>
      <c r="G47" t="s">
        <v>215</v>
      </c>
      <c r="H47">
        <v>24</v>
      </c>
      <c r="I47" s="27">
        <v>10.375</v>
      </c>
      <c r="J47" s="25">
        <v>3.125</v>
      </c>
      <c r="K47" s="24">
        <v>2.376E-2</v>
      </c>
      <c r="L47" s="24">
        <v>0.10120999999999999</v>
      </c>
      <c r="M47" s="27">
        <v>3.375</v>
      </c>
      <c r="N47" s="25">
        <v>1.8</v>
      </c>
      <c r="O47" s="24">
        <v>0.26254</v>
      </c>
      <c r="P47" s="27">
        <v>1.3333299999999999</v>
      </c>
      <c r="Q47" s="25">
        <v>8.3330000000000001E-2</v>
      </c>
      <c r="R47" s="25">
        <v>1.875</v>
      </c>
      <c r="S47" s="25">
        <v>2</v>
      </c>
      <c r="T47" s="24">
        <v>0.43980999999999998</v>
      </c>
      <c r="U47" s="24">
        <v>0.5</v>
      </c>
      <c r="V47" s="24">
        <v>0.36620000000000003</v>
      </c>
      <c r="W47" s="24">
        <v>0.70213000000000003</v>
      </c>
      <c r="X47" s="24">
        <v>0.52598</v>
      </c>
      <c r="Y47" s="25">
        <v>1.5831999999999999</v>
      </c>
      <c r="Z47" s="25">
        <v>0.70099999999999996</v>
      </c>
      <c r="AA47" s="25">
        <v>0.88229999999999997</v>
      </c>
      <c r="AB47" s="25">
        <v>104.98</v>
      </c>
      <c r="AC47" s="25">
        <v>108.77</v>
      </c>
      <c r="AD47" s="25">
        <f>AB47-AC47</f>
        <v>-3.789999999999992</v>
      </c>
      <c r="AE47" s="24">
        <v>0.20957000000000001</v>
      </c>
    </row>
    <row r="48" spans="1:31" x14ac:dyDescent="0.35">
      <c r="A48" t="s">
        <v>413</v>
      </c>
      <c r="B48" t="s">
        <v>185</v>
      </c>
      <c r="C48">
        <v>78</v>
      </c>
      <c r="D48" t="s">
        <v>145</v>
      </c>
      <c r="E48" t="s">
        <v>406</v>
      </c>
      <c r="F48" t="s">
        <v>172</v>
      </c>
      <c r="G48" t="s">
        <v>168</v>
      </c>
      <c r="H48" s="26">
        <v>28</v>
      </c>
      <c r="I48" s="25">
        <v>1.2857099999999999</v>
      </c>
      <c r="J48" s="25">
        <v>1.75</v>
      </c>
      <c r="K48" s="24">
        <v>0.10745</v>
      </c>
      <c r="L48" s="24">
        <v>0.15745000000000001</v>
      </c>
      <c r="M48" s="25">
        <v>0.32142999999999999</v>
      </c>
      <c r="N48" s="25">
        <v>0.9</v>
      </c>
      <c r="O48" s="24">
        <v>8.2290000000000002E-2</v>
      </c>
      <c r="P48" s="25">
        <v>0.32142999999999999</v>
      </c>
      <c r="Q48" s="25">
        <v>0.21429000000000001</v>
      </c>
      <c r="R48" s="27">
        <v>0.35714000000000001</v>
      </c>
      <c r="S48" s="27">
        <v>1.2142900000000001</v>
      </c>
      <c r="T48" s="24">
        <v>0.19148999999999999</v>
      </c>
      <c r="U48" s="24">
        <v>0.20213</v>
      </c>
      <c r="V48" s="24">
        <v>6.25E-2</v>
      </c>
      <c r="W48" s="24">
        <v>0.70833000000000002</v>
      </c>
      <c r="X48" s="24">
        <v>0.3125</v>
      </c>
      <c r="Y48" s="25">
        <v>3.8899999999999997E-2</v>
      </c>
      <c r="Z48" s="25">
        <v>-0.21229999999999999</v>
      </c>
      <c r="AA48" s="25">
        <v>0.25119999999999998</v>
      </c>
      <c r="AB48" s="25">
        <v>80.59</v>
      </c>
      <c r="AC48" s="25">
        <v>108.85</v>
      </c>
      <c r="AD48" s="25">
        <f>AB48-AC48</f>
        <v>-28.259999999999991</v>
      </c>
      <c r="AE48" s="24">
        <v>0.15264</v>
      </c>
    </row>
    <row r="49" spans="1:31" x14ac:dyDescent="0.35">
      <c r="A49" t="s">
        <v>175</v>
      </c>
      <c r="B49" t="s">
        <v>291</v>
      </c>
      <c r="C49">
        <v>77</v>
      </c>
      <c r="D49" t="s">
        <v>145</v>
      </c>
      <c r="E49" t="s">
        <v>406</v>
      </c>
      <c r="F49" t="s">
        <v>266</v>
      </c>
      <c r="G49" t="s">
        <v>267</v>
      </c>
      <c r="H49" s="26">
        <v>30</v>
      </c>
      <c r="I49" s="27">
        <v>12.06667</v>
      </c>
      <c r="J49" s="25">
        <v>3.6666699999999999</v>
      </c>
      <c r="K49" s="24">
        <v>3.492E-2</v>
      </c>
      <c r="L49" s="24">
        <v>0.11975</v>
      </c>
      <c r="M49" s="25">
        <v>1.06667</v>
      </c>
      <c r="N49" s="25">
        <v>0.82050999999999996</v>
      </c>
      <c r="O49" s="24">
        <v>7.6799999999999993E-2</v>
      </c>
      <c r="P49" s="27">
        <v>1</v>
      </c>
      <c r="Q49" s="25">
        <v>1.0333300000000001</v>
      </c>
      <c r="R49" s="25">
        <v>1.3</v>
      </c>
      <c r="S49" s="25">
        <v>2.4</v>
      </c>
      <c r="T49" s="24">
        <v>0.40125</v>
      </c>
      <c r="U49" s="24">
        <v>0.49215999999999999</v>
      </c>
      <c r="V49" s="24">
        <v>0.32768000000000003</v>
      </c>
      <c r="W49" s="28">
        <v>0.78688999999999998</v>
      </c>
      <c r="X49" s="28">
        <v>0.52342</v>
      </c>
      <c r="Y49" s="25">
        <v>1.8645</v>
      </c>
      <c r="Z49" s="25">
        <v>0.82030000000000003</v>
      </c>
      <c r="AA49" s="25">
        <v>1.0441</v>
      </c>
      <c r="AB49" s="25">
        <v>104.39</v>
      </c>
      <c r="AC49" s="25">
        <v>108.98</v>
      </c>
      <c r="AD49" s="25">
        <f>AB49-AC49</f>
        <v>-4.5900000000000034</v>
      </c>
      <c r="AE49" s="24">
        <v>0.23074</v>
      </c>
    </row>
    <row r="50" spans="1:31" x14ac:dyDescent="0.35">
      <c r="A50" t="s">
        <v>350</v>
      </c>
      <c r="B50" t="s">
        <v>351</v>
      </c>
      <c r="C50">
        <v>77</v>
      </c>
      <c r="D50" t="s">
        <v>145</v>
      </c>
      <c r="E50" t="s">
        <v>405</v>
      </c>
      <c r="F50" t="s">
        <v>365</v>
      </c>
      <c r="G50" t="s">
        <v>357</v>
      </c>
      <c r="H50" s="26">
        <v>32</v>
      </c>
      <c r="I50" s="27">
        <v>10.9375</v>
      </c>
      <c r="J50" s="25">
        <v>2.0625</v>
      </c>
      <c r="K50" s="24">
        <v>3.0499999999999999E-2</v>
      </c>
      <c r="L50" s="24">
        <v>0.56000000000000005</v>
      </c>
      <c r="M50" s="25">
        <v>0.59375</v>
      </c>
      <c r="N50" s="25">
        <v>0.59375</v>
      </c>
      <c r="O50" s="24">
        <v>4.9119999999999997E-2</v>
      </c>
      <c r="P50" s="25">
        <v>0.5625</v>
      </c>
      <c r="Q50" s="25">
        <v>0.3125</v>
      </c>
      <c r="R50" s="27">
        <v>1</v>
      </c>
      <c r="S50" s="25">
        <v>2</v>
      </c>
      <c r="T50" s="24">
        <v>0.44564999999999999</v>
      </c>
      <c r="U50" s="28">
        <v>0.51812000000000002</v>
      </c>
      <c r="V50" s="24">
        <v>0.33898</v>
      </c>
      <c r="W50" s="24">
        <v>0.65978999999999999</v>
      </c>
      <c r="X50" s="28">
        <v>0.54910999999999999</v>
      </c>
      <c r="Y50" s="27">
        <v>2.0804</v>
      </c>
      <c r="Z50" s="25">
        <v>1.1504000000000001</v>
      </c>
      <c r="AA50" s="25">
        <v>0.93010000000000004</v>
      </c>
      <c r="AB50" s="27">
        <v>111.04</v>
      </c>
      <c r="AC50" s="25">
        <v>109.06</v>
      </c>
      <c r="AD50" s="27">
        <f>AB50-AC50</f>
        <v>1.980000000000004</v>
      </c>
      <c r="AE50" s="24">
        <v>0.21836</v>
      </c>
    </row>
    <row r="51" spans="1:31" x14ac:dyDescent="0.35">
      <c r="A51" t="s">
        <v>374</v>
      </c>
      <c r="B51" t="s">
        <v>375</v>
      </c>
      <c r="C51">
        <v>76</v>
      </c>
      <c r="D51" t="s">
        <v>145</v>
      </c>
      <c r="E51" t="s">
        <v>406</v>
      </c>
      <c r="F51" t="s">
        <v>394</v>
      </c>
      <c r="G51" t="s">
        <v>357</v>
      </c>
      <c r="H51">
        <v>6</v>
      </c>
      <c r="I51" s="25">
        <v>1.8333299999999999</v>
      </c>
      <c r="J51" s="25">
        <v>0.33333000000000002</v>
      </c>
      <c r="K51" s="24">
        <v>4.5379999999999997E-2</v>
      </c>
      <c r="M51" s="25">
        <v>0</v>
      </c>
      <c r="N51" s="25">
        <v>0</v>
      </c>
      <c r="O51" s="24">
        <v>0</v>
      </c>
      <c r="P51" s="25">
        <v>0.33333000000000002</v>
      </c>
      <c r="Q51" s="25">
        <v>0</v>
      </c>
      <c r="R51" s="25">
        <v>0.33333000000000002</v>
      </c>
      <c r="S51" s="25">
        <v>0.33333000000000002</v>
      </c>
      <c r="T51" s="24">
        <v>0.33333000000000002</v>
      </c>
      <c r="U51" s="24">
        <v>0.33333000000000002</v>
      </c>
      <c r="V51" s="24">
        <v>0</v>
      </c>
      <c r="W51" s="24">
        <v>1</v>
      </c>
      <c r="X51" s="24">
        <v>0.41353000000000001</v>
      </c>
      <c r="Y51" s="25">
        <v>-2.1399999999999999E-2</v>
      </c>
      <c r="Z51" s="25">
        <v>-4.9599999999999998E-2</v>
      </c>
      <c r="AA51" s="25">
        <v>2.8199999999999999E-2</v>
      </c>
      <c r="AB51" s="25">
        <v>80.31</v>
      </c>
      <c r="AC51" s="25">
        <v>109.13</v>
      </c>
      <c r="AD51" s="25">
        <f>AB51-AC51</f>
        <v>-28.819999999999993</v>
      </c>
      <c r="AE51" s="24">
        <v>0.32746999999999998</v>
      </c>
    </row>
    <row r="52" spans="1:31" x14ac:dyDescent="0.35">
      <c r="A52" t="s">
        <v>199</v>
      </c>
      <c r="B52" t="s">
        <v>200</v>
      </c>
      <c r="C52">
        <v>75</v>
      </c>
      <c r="D52" t="s">
        <v>145</v>
      </c>
      <c r="E52" t="s">
        <v>406</v>
      </c>
      <c r="F52" t="s">
        <v>194</v>
      </c>
      <c r="G52" t="s">
        <v>196</v>
      </c>
      <c r="H52">
        <v>7</v>
      </c>
      <c r="I52" s="25">
        <v>0.57142999999999999</v>
      </c>
      <c r="J52" s="25">
        <v>0.42857000000000001</v>
      </c>
      <c r="K52" s="24">
        <v>5.1740000000000001E-2</v>
      </c>
      <c r="L52" s="24">
        <v>9.8280000000000006E-2</v>
      </c>
      <c r="M52" s="25">
        <v>0.14285999999999999</v>
      </c>
      <c r="N52" s="25">
        <v>1</v>
      </c>
      <c r="O52" s="24">
        <v>6.5509999999999999E-2</v>
      </c>
      <c r="P52" s="25">
        <v>0</v>
      </c>
      <c r="Q52" s="25">
        <v>0</v>
      </c>
      <c r="R52" s="25">
        <v>0.14285999999999999</v>
      </c>
      <c r="S52" s="25">
        <v>0.28571000000000002</v>
      </c>
      <c r="T52" s="24">
        <v>0.25</v>
      </c>
      <c r="U52" s="24">
        <v>0.25</v>
      </c>
      <c r="V52" s="24">
        <v>0</v>
      </c>
      <c r="W52" s="24">
        <v>1</v>
      </c>
      <c r="X52" s="24">
        <v>0.40816000000000002</v>
      </c>
      <c r="Y52" s="25">
        <v>2.3400000000000001E-2</v>
      </c>
      <c r="Z52" s="25">
        <v>-2E-3</v>
      </c>
      <c r="AA52" s="25">
        <v>2.5499999999999998E-2</v>
      </c>
      <c r="AB52" s="25">
        <v>93.32</v>
      </c>
      <c r="AC52" s="25">
        <v>109.35</v>
      </c>
      <c r="AD52" s="25">
        <f>AB52-AC52</f>
        <v>-16.03</v>
      </c>
      <c r="AE52" s="24">
        <v>0.12823000000000001</v>
      </c>
    </row>
    <row r="53" spans="1:31" x14ac:dyDescent="0.35">
      <c r="A53" t="s">
        <v>121</v>
      </c>
      <c r="B53" t="s">
        <v>142</v>
      </c>
      <c r="C53">
        <v>78</v>
      </c>
      <c r="D53" t="s">
        <v>146</v>
      </c>
      <c r="E53" t="s">
        <v>406</v>
      </c>
      <c r="F53" t="s">
        <v>129</v>
      </c>
      <c r="G53" t="s">
        <v>112</v>
      </c>
      <c r="H53">
        <v>21</v>
      </c>
      <c r="I53" s="25">
        <v>1.19048</v>
      </c>
      <c r="J53" s="25">
        <v>1.90476</v>
      </c>
      <c r="K53" s="24">
        <v>5.7889999999999997E-2</v>
      </c>
      <c r="L53" s="24">
        <v>0.25497999999999998</v>
      </c>
      <c r="M53" s="25">
        <v>0.23810000000000001</v>
      </c>
      <c r="N53" s="25">
        <v>0.625</v>
      </c>
      <c r="O53" s="24">
        <v>5.7320000000000003E-2</v>
      </c>
      <c r="P53" s="25">
        <v>0.14285999999999999</v>
      </c>
      <c r="Q53" s="25">
        <v>4.7620000000000003E-2</v>
      </c>
      <c r="R53" s="27">
        <v>0.38095000000000001</v>
      </c>
      <c r="S53" s="25">
        <v>1.80952</v>
      </c>
      <c r="T53" s="24">
        <v>0.52381</v>
      </c>
      <c r="U53" s="24">
        <v>0.52381</v>
      </c>
      <c r="V53" s="24">
        <v>0</v>
      </c>
      <c r="W53" s="24">
        <v>0.75</v>
      </c>
      <c r="X53" s="24">
        <v>0.54825000000000002</v>
      </c>
      <c r="Y53" s="25">
        <v>0.2084</v>
      </c>
      <c r="Z53" s="25">
        <v>5.0000000000000001E-3</v>
      </c>
      <c r="AA53" s="25">
        <v>0.20330000000000001</v>
      </c>
      <c r="AB53" s="25">
        <v>95.49</v>
      </c>
      <c r="AC53" s="25">
        <v>109.44</v>
      </c>
      <c r="AD53" s="25">
        <f>AB53-AC53</f>
        <v>-13.950000000000003</v>
      </c>
      <c r="AE53" s="24">
        <v>9.8970000000000002E-2</v>
      </c>
    </row>
    <row r="54" spans="1:31" x14ac:dyDescent="0.35">
      <c r="A54" t="s">
        <v>284</v>
      </c>
      <c r="B54" t="s">
        <v>285</v>
      </c>
      <c r="C54">
        <v>76</v>
      </c>
      <c r="D54" t="s">
        <v>145</v>
      </c>
      <c r="E54" t="s">
        <v>406</v>
      </c>
      <c r="F54" t="s">
        <v>304</v>
      </c>
      <c r="G54" t="s">
        <v>267</v>
      </c>
      <c r="H54" s="26">
        <v>33</v>
      </c>
      <c r="I54" s="25">
        <v>5.7272699999999999</v>
      </c>
      <c r="J54" s="25">
        <v>2.1515200000000001</v>
      </c>
      <c r="K54" s="24">
        <v>4.5449999999999997E-2</v>
      </c>
      <c r="L54" s="24">
        <v>7.324E-2</v>
      </c>
      <c r="M54" s="25">
        <v>0.90908999999999995</v>
      </c>
      <c r="N54" s="25">
        <v>1.11111</v>
      </c>
      <c r="O54" s="24">
        <v>7.6700000000000004E-2</v>
      </c>
      <c r="P54" s="25">
        <v>0.66666999999999998</v>
      </c>
      <c r="Q54" s="25">
        <v>6.0609999999999997E-2</v>
      </c>
      <c r="R54" s="27">
        <v>0.81818000000000002</v>
      </c>
      <c r="S54" s="27">
        <v>1.51515</v>
      </c>
      <c r="T54" s="24">
        <v>0.48507</v>
      </c>
      <c r="U54" s="28">
        <v>0.61194000000000004</v>
      </c>
      <c r="V54" s="28">
        <v>0.41463</v>
      </c>
      <c r="W54" s="24">
        <v>0.58140000000000003</v>
      </c>
      <c r="X54" s="28">
        <v>0.61804999999999999</v>
      </c>
      <c r="Y54" s="25">
        <v>1.764</v>
      </c>
      <c r="Z54" s="25">
        <v>0.92859999999999998</v>
      </c>
      <c r="AA54" s="25">
        <v>0.83550000000000002</v>
      </c>
      <c r="AB54" s="27">
        <v>116.08</v>
      </c>
      <c r="AC54" s="25">
        <v>109.48</v>
      </c>
      <c r="AD54" s="27">
        <f>AB54-AC54</f>
        <v>6.5999999999999943</v>
      </c>
      <c r="AE54" s="24">
        <v>0.13169</v>
      </c>
    </row>
    <row r="55" spans="1:31" x14ac:dyDescent="0.35">
      <c r="A55" t="s">
        <v>217</v>
      </c>
      <c r="B55" t="s">
        <v>218</v>
      </c>
      <c r="C55">
        <v>78</v>
      </c>
      <c r="D55" t="s">
        <v>145</v>
      </c>
      <c r="E55" t="s">
        <v>405</v>
      </c>
      <c r="F55" t="s">
        <v>220</v>
      </c>
      <c r="G55" t="s">
        <v>215</v>
      </c>
      <c r="H55">
        <v>10</v>
      </c>
      <c r="I55" s="25">
        <v>0.3</v>
      </c>
      <c r="J55" s="25">
        <v>0.2</v>
      </c>
      <c r="K55" s="24">
        <v>0</v>
      </c>
      <c r="L55" s="24">
        <v>7.1199999999999999E-2</v>
      </c>
      <c r="M55" s="25">
        <v>0</v>
      </c>
      <c r="O55" s="24">
        <v>0</v>
      </c>
      <c r="P55" s="25">
        <v>0</v>
      </c>
      <c r="Q55" s="25">
        <v>0.1</v>
      </c>
      <c r="R55" s="25">
        <v>0</v>
      </c>
      <c r="S55" s="25">
        <v>0.1</v>
      </c>
      <c r="T55" s="24">
        <v>0.1</v>
      </c>
      <c r="U55" s="24">
        <v>0.15</v>
      </c>
      <c r="V55" s="24">
        <v>0.16667000000000001</v>
      </c>
      <c r="X55" s="24">
        <v>0.15</v>
      </c>
      <c r="AA55" s="25">
        <v>3.5400000000000001E-2</v>
      </c>
      <c r="AC55" s="25">
        <v>109.49</v>
      </c>
      <c r="AD55" s="25">
        <f>AB55-AC55</f>
        <v>-109.49</v>
      </c>
      <c r="AE55" s="24">
        <v>0.16536000000000001</v>
      </c>
    </row>
    <row r="56" spans="1:31" x14ac:dyDescent="0.35">
      <c r="A56" t="s">
        <v>110</v>
      </c>
      <c r="B56" t="s">
        <v>111</v>
      </c>
      <c r="C56">
        <v>75</v>
      </c>
      <c r="D56" t="s">
        <v>145</v>
      </c>
      <c r="E56" t="s">
        <v>405</v>
      </c>
      <c r="F56" t="s">
        <v>125</v>
      </c>
      <c r="G56" t="s">
        <v>112</v>
      </c>
      <c r="H56" s="26">
        <v>31</v>
      </c>
      <c r="I56" s="27">
        <v>10.290319999999999</v>
      </c>
      <c r="J56" s="27">
        <v>4.0967700000000002</v>
      </c>
      <c r="K56" s="24">
        <v>3.2250000000000001E-2</v>
      </c>
      <c r="L56" s="24">
        <v>0.13841000000000001</v>
      </c>
      <c r="M56" s="25">
        <v>1.64516</v>
      </c>
      <c r="N56" s="25">
        <v>1.1333299999999999</v>
      </c>
      <c r="O56" s="24">
        <v>0.11792999999999999</v>
      </c>
      <c r="P56" s="27">
        <v>1.03226</v>
      </c>
      <c r="Q56" s="25">
        <v>6.4519999999999994E-2</v>
      </c>
      <c r="R56" s="25">
        <v>1.4516100000000001</v>
      </c>
      <c r="S56" s="27">
        <v>1.51613</v>
      </c>
      <c r="T56" s="24">
        <v>0.44897999999999999</v>
      </c>
      <c r="U56" s="28">
        <v>0.55918000000000001</v>
      </c>
      <c r="V56" s="28">
        <v>0.39416000000000001</v>
      </c>
      <c r="W56" s="28">
        <v>0.88234999999999997</v>
      </c>
      <c r="X56" s="28">
        <v>0.59648000000000001</v>
      </c>
      <c r="Y56" s="27">
        <v>2.2997000000000001</v>
      </c>
      <c r="Z56" s="25">
        <v>1.2958000000000001</v>
      </c>
      <c r="AA56" s="25">
        <v>1.0039</v>
      </c>
      <c r="AB56" s="27">
        <v>112.13</v>
      </c>
      <c r="AC56" s="25">
        <v>109.54</v>
      </c>
      <c r="AD56" s="27">
        <f>AB56-AC56</f>
        <v>2.5899999999999892</v>
      </c>
      <c r="AE56" s="24">
        <v>0.19175</v>
      </c>
    </row>
    <row r="57" spans="1:31" x14ac:dyDescent="0.35">
      <c r="A57" t="s">
        <v>166</v>
      </c>
      <c r="B57" t="s">
        <v>167</v>
      </c>
      <c r="C57">
        <v>77</v>
      </c>
      <c r="D57" t="s">
        <v>145</v>
      </c>
      <c r="E57" t="s">
        <v>405</v>
      </c>
      <c r="F57" t="s">
        <v>169</v>
      </c>
      <c r="G57" t="s">
        <v>168</v>
      </c>
      <c r="H57" s="26">
        <v>30</v>
      </c>
      <c r="I57" s="25">
        <v>4.2</v>
      </c>
      <c r="J57" s="25">
        <v>2.4</v>
      </c>
      <c r="K57" s="24">
        <v>6.2670000000000003E-2</v>
      </c>
      <c r="L57" s="24">
        <v>0.13705999999999999</v>
      </c>
      <c r="M57" s="25">
        <v>0.33333000000000002</v>
      </c>
      <c r="N57" s="25">
        <v>0.90908999999999995</v>
      </c>
      <c r="O57" s="24">
        <v>5.108E-2</v>
      </c>
      <c r="P57" s="25">
        <v>0.26667000000000002</v>
      </c>
      <c r="Q57" s="25">
        <v>3.3329999999999999E-2</v>
      </c>
      <c r="R57" s="27">
        <v>0.36667</v>
      </c>
      <c r="S57" s="25">
        <v>0.56667000000000001</v>
      </c>
      <c r="T57" s="24">
        <v>0.47475000000000001</v>
      </c>
      <c r="U57" s="28">
        <v>0.57576000000000005</v>
      </c>
      <c r="V57" s="28">
        <v>0.37735999999999997</v>
      </c>
      <c r="W57" s="28">
        <v>0.92308000000000001</v>
      </c>
      <c r="X57" s="28">
        <v>0.60172000000000003</v>
      </c>
      <c r="Y57" s="25">
        <v>1.1288</v>
      </c>
      <c r="Z57" s="25">
        <v>0.67820000000000003</v>
      </c>
      <c r="AA57" s="25">
        <v>0.4506</v>
      </c>
      <c r="AB57" s="27">
        <v>121.78</v>
      </c>
      <c r="AC57" s="25">
        <v>109.62</v>
      </c>
      <c r="AD57" s="27">
        <f>AB57-AC57</f>
        <v>12.159999999999997</v>
      </c>
      <c r="AE57" s="24">
        <v>0.14426</v>
      </c>
    </row>
    <row r="58" spans="1:31" x14ac:dyDescent="0.35">
      <c r="A58" t="s">
        <v>72</v>
      </c>
      <c r="B58" t="s">
        <v>253</v>
      </c>
      <c r="C58">
        <v>76</v>
      </c>
      <c r="D58" t="s">
        <v>145</v>
      </c>
      <c r="E58" t="s">
        <v>405</v>
      </c>
      <c r="F58" t="s">
        <v>271</v>
      </c>
      <c r="G58" t="s">
        <v>267</v>
      </c>
      <c r="H58">
        <v>21</v>
      </c>
      <c r="I58" s="25">
        <v>1.7142900000000001</v>
      </c>
      <c r="J58" s="25">
        <v>1.2857099999999999</v>
      </c>
      <c r="K58" s="24">
        <v>4.6280000000000002E-2</v>
      </c>
      <c r="L58" s="24">
        <v>0.15618000000000001</v>
      </c>
      <c r="M58" s="25">
        <v>0.42857000000000001</v>
      </c>
      <c r="N58" s="25">
        <v>1.2857099999999999</v>
      </c>
      <c r="O58" s="24">
        <v>9.1020000000000004E-2</v>
      </c>
      <c r="P58" s="25">
        <v>0.23810000000000001</v>
      </c>
      <c r="Q58" s="25">
        <v>4.7620000000000003E-2</v>
      </c>
      <c r="R58" s="27">
        <v>0.33333000000000002</v>
      </c>
      <c r="S58" s="25">
        <v>0.57142999999999999</v>
      </c>
      <c r="T58" s="24">
        <v>0.23529</v>
      </c>
      <c r="U58" s="24">
        <v>0.29411999999999999</v>
      </c>
      <c r="V58" s="24">
        <v>0.36364000000000002</v>
      </c>
      <c r="W58" s="24">
        <v>0.8</v>
      </c>
      <c r="X58" s="24">
        <v>0.42055999999999999</v>
      </c>
      <c r="Y58" s="25">
        <v>0.15090000000000001</v>
      </c>
      <c r="Z58" s="25">
        <v>-3.0800000000000001E-2</v>
      </c>
      <c r="AA58" s="25">
        <v>0.1817</v>
      </c>
      <c r="AB58" s="25">
        <v>92.43</v>
      </c>
      <c r="AC58" s="25">
        <v>109.77</v>
      </c>
      <c r="AD58" s="25">
        <f>AB58-AC58</f>
        <v>-17.339999999999989</v>
      </c>
      <c r="AE58" s="24">
        <v>0.16769000000000001</v>
      </c>
    </row>
    <row r="59" spans="1:31" x14ac:dyDescent="0.35">
      <c r="A59" t="s">
        <v>22</v>
      </c>
      <c r="B59" t="s">
        <v>342</v>
      </c>
      <c r="C59">
        <v>75</v>
      </c>
      <c r="D59" t="s">
        <v>145</v>
      </c>
      <c r="E59" t="s">
        <v>405</v>
      </c>
      <c r="F59" t="s">
        <v>360</v>
      </c>
      <c r="G59" t="s">
        <v>357</v>
      </c>
      <c r="H59" s="26">
        <v>31</v>
      </c>
      <c r="I59" s="25">
        <v>5.5161300000000004</v>
      </c>
      <c r="J59" s="25">
        <v>1.03226</v>
      </c>
      <c r="K59" s="24">
        <v>6.3E-3</v>
      </c>
      <c r="L59" s="24">
        <v>0.03</v>
      </c>
      <c r="M59" s="25">
        <v>2.6128999999999998</v>
      </c>
      <c r="N59" s="25">
        <v>3.5217399999999999</v>
      </c>
      <c r="O59" s="24">
        <v>0.20727999999999999</v>
      </c>
      <c r="P59" s="25">
        <v>0.67742000000000002</v>
      </c>
      <c r="Q59" s="25">
        <v>0.12903000000000001</v>
      </c>
      <c r="R59" s="27">
        <v>0.74194000000000004</v>
      </c>
      <c r="S59" s="25">
        <v>1.7741899999999999</v>
      </c>
      <c r="T59" s="24">
        <v>0.34641</v>
      </c>
      <c r="U59" s="24">
        <v>0.47059000000000001</v>
      </c>
      <c r="V59" s="24">
        <v>0.35514000000000001</v>
      </c>
      <c r="W59" s="28">
        <v>0.87097000000000002</v>
      </c>
      <c r="X59" s="28">
        <v>0.51321000000000006</v>
      </c>
      <c r="Y59" s="25">
        <v>1.7561</v>
      </c>
      <c r="Z59" s="25">
        <v>0.98560000000000003</v>
      </c>
      <c r="AA59" s="25">
        <v>0.77049999999999996</v>
      </c>
      <c r="AB59" s="27">
        <v>118.44</v>
      </c>
      <c r="AC59" s="25">
        <v>109.78</v>
      </c>
      <c r="AD59" s="27">
        <f>AB59-AC59</f>
        <v>8.6599999999999966</v>
      </c>
      <c r="AE59" s="24">
        <v>0.13444999999999999</v>
      </c>
    </row>
    <row r="60" spans="1:31" x14ac:dyDescent="0.35">
      <c r="A60" t="s">
        <v>329</v>
      </c>
      <c r="B60" t="s">
        <v>330</v>
      </c>
      <c r="C60">
        <v>78</v>
      </c>
      <c r="D60" t="s">
        <v>146</v>
      </c>
      <c r="E60" t="s">
        <v>406</v>
      </c>
      <c r="F60" t="s">
        <v>333</v>
      </c>
      <c r="G60" t="s">
        <v>305</v>
      </c>
      <c r="H60">
        <v>19</v>
      </c>
      <c r="I60" s="25">
        <v>2.0526300000000002</v>
      </c>
      <c r="J60" s="25">
        <v>1.31579</v>
      </c>
      <c r="K60" s="24">
        <v>7.6770000000000005E-2</v>
      </c>
      <c r="L60" s="24">
        <v>0.15185999999999999</v>
      </c>
      <c r="M60" s="25">
        <v>0.36842000000000003</v>
      </c>
      <c r="N60" s="25">
        <v>1.1666700000000001</v>
      </c>
      <c r="O60" s="24">
        <v>9.5380000000000006E-2</v>
      </c>
      <c r="P60" s="25">
        <v>0.31579000000000002</v>
      </c>
      <c r="Q60" s="25">
        <v>0.15789</v>
      </c>
      <c r="R60" s="25">
        <v>0.31579000000000002</v>
      </c>
      <c r="S60" s="25">
        <v>1.1578900000000001</v>
      </c>
      <c r="T60" s="24">
        <v>0.44118000000000002</v>
      </c>
      <c r="U60" s="24">
        <v>0.44118000000000002</v>
      </c>
      <c r="V60" s="24">
        <v>0</v>
      </c>
      <c r="W60" s="24">
        <v>0.81818000000000002</v>
      </c>
      <c r="X60" s="24">
        <v>0.50258000000000003</v>
      </c>
      <c r="Y60" s="25">
        <v>0.23830000000000001</v>
      </c>
      <c r="Z60" s="25">
        <v>9.5299999999999996E-2</v>
      </c>
      <c r="AA60" s="25">
        <v>0.1429</v>
      </c>
      <c r="AB60" s="25">
        <v>103.5</v>
      </c>
      <c r="AC60" s="25">
        <v>110.13</v>
      </c>
      <c r="AD60" s="25">
        <f>AB60-AC60</f>
        <v>-6.6299999999999955</v>
      </c>
      <c r="AE60" s="24">
        <v>0.17809</v>
      </c>
    </row>
    <row r="61" spans="1:31" x14ac:dyDescent="0.35">
      <c r="A61" t="s">
        <v>175</v>
      </c>
      <c r="B61" t="s">
        <v>201</v>
      </c>
      <c r="C61">
        <v>75</v>
      </c>
      <c r="D61" t="s">
        <v>145</v>
      </c>
      <c r="E61" t="s">
        <v>406</v>
      </c>
      <c r="F61" t="s">
        <v>212</v>
      </c>
      <c r="G61" t="s">
        <v>196</v>
      </c>
      <c r="H61">
        <v>19</v>
      </c>
      <c r="I61" s="25">
        <v>0.84211000000000003</v>
      </c>
      <c r="J61" s="25">
        <v>0.47367999999999999</v>
      </c>
      <c r="K61" s="24">
        <v>1.3169999999999999E-2</v>
      </c>
      <c r="L61" s="24">
        <v>9.1679999999999998E-2</v>
      </c>
      <c r="M61" s="25">
        <v>0.47367999999999999</v>
      </c>
      <c r="N61" s="25">
        <v>2.25</v>
      </c>
      <c r="O61" s="24">
        <v>0.14710000000000001</v>
      </c>
      <c r="P61" s="25">
        <v>0.15789</v>
      </c>
      <c r="Q61" s="25">
        <v>5.2630000000000003E-2</v>
      </c>
      <c r="R61" s="25">
        <v>0.21052999999999999</v>
      </c>
      <c r="S61" s="25">
        <v>0.36842000000000003</v>
      </c>
      <c r="T61" s="24">
        <v>0.5</v>
      </c>
      <c r="U61" s="24">
        <v>0.55000000000000004</v>
      </c>
      <c r="V61" s="24">
        <v>0.25</v>
      </c>
      <c r="W61" s="24">
        <v>0.83333000000000002</v>
      </c>
      <c r="X61" s="24">
        <v>0.63492000000000004</v>
      </c>
      <c r="Y61" s="25">
        <v>0.2079</v>
      </c>
      <c r="Z61" s="25">
        <v>0.10340000000000001</v>
      </c>
      <c r="AA61" s="25">
        <v>0.1045</v>
      </c>
      <c r="AB61" s="27">
        <v>118.21</v>
      </c>
      <c r="AC61" s="25">
        <v>110.23</v>
      </c>
      <c r="AD61" s="25">
        <f>AB61-AC61</f>
        <v>7.9799999999999898</v>
      </c>
      <c r="AE61" s="24">
        <v>8.7779999999999997E-2</v>
      </c>
    </row>
    <row r="62" spans="1:31" x14ac:dyDescent="0.35">
      <c r="A62" t="s">
        <v>292</v>
      </c>
      <c r="B62" t="s">
        <v>293</v>
      </c>
      <c r="C62">
        <v>77</v>
      </c>
      <c r="D62" t="s">
        <v>145</v>
      </c>
      <c r="E62" t="s">
        <v>406</v>
      </c>
      <c r="F62" t="s">
        <v>268</v>
      </c>
      <c r="G62" t="s">
        <v>267</v>
      </c>
      <c r="H62" s="26">
        <v>30</v>
      </c>
      <c r="I62" s="25">
        <v>9.9</v>
      </c>
      <c r="J62" s="25">
        <v>3.23333</v>
      </c>
      <c r="K62" s="24">
        <v>4.1520000000000001E-2</v>
      </c>
      <c r="L62" s="24">
        <v>9.8659999999999998E-2</v>
      </c>
      <c r="M62" s="25">
        <v>1.3666700000000001</v>
      </c>
      <c r="N62" s="25">
        <v>0.75926000000000005</v>
      </c>
      <c r="O62" s="24">
        <v>9.9919999999999995E-2</v>
      </c>
      <c r="P62" s="25">
        <v>0.63332999999999995</v>
      </c>
      <c r="Q62" s="25">
        <v>0.13333</v>
      </c>
      <c r="R62" s="25">
        <v>1.8</v>
      </c>
      <c r="S62" s="25">
        <v>1.93333</v>
      </c>
      <c r="T62" s="24">
        <v>0.42543999999999998</v>
      </c>
      <c r="U62" s="28">
        <v>0.56579000000000002</v>
      </c>
      <c r="V62" s="28">
        <v>0.39751999999999998</v>
      </c>
      <c r="W62" s="24">
        <v>0.72221999999999997</v>
      </c>
      <c r="X62" s="28">
        <v>0.58975</v>
      </c>
      <c r="Y62" s="27">
        <v>1.9790000000000001</v>
      </c>
      <c r="Z62" s="25">
        <v>1.0604</v>
      </c>
      <c r="AA62" s="25">
        <v>0.91869999999999996</v>
      </c>
      <c r="AB62" s="25">
        <v>109.27</v>
      </c>
      <c r="AC62" s="25">
        <v>110.62</v>
      </c>
      <c r="AD62" s="25">
        <f>AB62-AC62</f>
        <v>-1.3500000000000085</v>
      </c>
      <c r="AE62" s="24">
        <v>0.18726000000000001</v>
      </c>
    </row>
    <row r="63" spans="1:31" x14ac:dyDescent="0.35">
      <c r="A63" t="s">
        <v>175</v>
      </c>
      <c r="B63" t="s">
        <v>312</v>
      </c>
      <c r="C63">
        <v>78</v>
      </c>
      <c r="D63" t="s">
        <v>146</v>
      </c>
      <c r="E63" t="s">
        <v>405</v>
      </c>
      <c r="F63" t="s">
        <v>314</v>
      </c>
      <c r="G63" t="s">
        <v>305</v>
      </c>
      <c r="H63" s="26">
        <v>30</v>
      </c>
      <c r="I63" s="25">
        <v>4.4333299999999998</v>
      </c>
      <c r="J63" s="27">
        <v>4.1333299999999999</v>
      </c>
      <c r="K63" s="24">
        <v>6.4100000000000004E-2</v>
      </c>
      <c r="L63" s="24">
        <v>0.13427</v>
      </c>
      <c r="M63" s="25">
        <v>1.5333300000000001</v>
      </c>
      <c r="N63" s="25">
        <v>1.1794899999999999</v>
      </c>
      <c r="O63" s="24">
        <v>0.12973000000000001</v>
      </c>
      <c r="P63" s="25">
        <v>0.66666999999999998</v>
      </c>
      <c r="Q63" s="25">
        <v>0.43332999999999999</v>
      </c>
      <c r="R63" s="25">
        <v>1.3</v>
      </c>
      <c r="S63" s="25">
        <v>3.4666700000000001</v>
      </c>
      <c r="T63" s="24">
        <v>0.46237</v>
      </c>
      <c r="U63" s="28">
        <v>0.54300999999999999</v>
      </c>
      <c r="V63" s="28">
        <v>0.41666999999999998</v>
      </c>
      <c r="W63" s="24">
        <v>0.74419000000000002</v>
      </c>
      <c r="X63" s="28">
        <v>0.59428000000000003</v>
      </c>
      <c r="Y63" s="25">
        <v>1.2290000000000001</v>
      </c>
      <c r="Z63" s="25">
        <v>0.5111</v>
      </c>
      <c r="AA63" s="25">
        <v>0.71789999999999998</v>
      </c>
      <c r="AB63" s="25">
        <v>107.56</v>
      </c>
      <c r="AC63" s="25">
        <v>110.77</v>
      </c>
      <c r="AD63" s="25">
        <f>AB63-AC63</f>
        <v>-3.2099999999999937</v>
      </c>
      <c r="AE63" s="24">
        <v>0.11292000000000001</v>
      </c>
    </row>
    <row r="64" spans="1:31" x14ac:dyDescent="0.35">
      <c r="A64" t="s">
        <v>206</v>
      </c>
      <c r="B64" t="s">
        <v>207</v>
      </c>
      <c r="C64">
        <v>76</v>
      </c>
      <c r="D64" t="s">
        <v>145</v>
      </c>
      <c r="E64" t="s">
        <v>406</v>
      </c>
      <c r="F64" t="s">
        <v>214</v>
      </c>
      <c r="G64" t="s">
        <v>196</v>
      </c>
      <c r="H64" s="26">
        <v>29</v>
      </c>
      <c r="I64" s="25">
        <v>4.5517200000000004</v>
      </c>
      <c r="J64" s="25">
        <v>2.7586200000000001</v>
      </c>
      <c r="K64" s="24">
        <v>6.7970000000000003E-2</v>
      </c>
      <c r="L64" s="24">
        <v>0.10682999999999999</v>
      </c>
      <c r="M64" s="25">
        <v>0.93103000000000002</v>
      </c>
      <c r="N64" s="25">
        <v>0.81818000000000002</v>
      </c>
      <c r="O64" s="24">
        <v>0.10582</v>
      </c>
      <c r="P64" s="27">
        <v>1.1379300000000001</v>
      </c>
      <c r="Q64" s="25">
        <v>0.13793</v>
      </c>
      <c r="R64" s="25">
        <v>1.1379300000000001</v>
      </c>
      <c r="S64" s="25">
        <v>2.4827599999999999</v>
      </c>
      <c r="T64" s="24">
        <v>0.33912999999999999</v>
      </c>
      <c r="U64" s="24">
        <v>0.37825999999999999</v>
      </c>
      <c r="V64" s="24">
        <v>0.20455000000000001</v>
      </c>
      <c r="W64" s="24">
        <v>0.67164000000000001</v>
      </c>
      <c r="X64" s="24">
        <v>0.45674999999999999</v>
      </c>
      <c r="Y64" s="25">
        <v>0.38030000000000003</v>
      </c>
      <c r="Z64" s="25">
        <v>-0.18640000000000001</v>
      </c>
      <c r="AA64" s="25">
        <v>0.56669999999999998</v>
      </c>
      <c r="AB64" s="25">
        <v>90.54</v>
      </c>
      <c r="AC64" s="25">
        <v>110.77</v>
      </c>
      <c r="AD64" s="25">
        <f>AB64-AC64</f>
        <v>-20.22999999999999</v>
      </c>
      <c r="AE64" s="24">
        <v>0.16542000000000001</v>
      </c>
    </row>
    <row r="65" spans="1:31" x14ac:dyDescent="0.35">
      <c r="A65" t="s">
        <v>411</v>
      </c>
      <c r="B65" t="s">
        <v>135</v>
      </c>
      <c r="C65">
        <v>77</v>
      </c>
      <c r="D65" t="s">
        <v>145</v>
      </c>
      <c r="E65" t="s">
        <v>406</v>
      </c>
      <c r="F65" t="s">
        <v>125</v>
      </c>
      <c r="G65" t="s">
        <v>112</v>
      </c>
      <c r="H65" s="26">
        <v>31</v>
      </c>
      <c r="I65" s="25">
        <v>7.7419399999999996</v>
      </c>
      <c r="J65" s="25">
        <v>3.51613</v>
      </c>
      <c r="K65" s="24">
        <v>5.8020000000000002E-2</v>
      </c>
      <c r="L65" s="24">
        <v>0.13250000000000001</v>
      </c>
      <c r="M65" s="25">
        <v>1.2258100000000001</v>
      </c>
      <c r="N65" s="25">
        <v>1</v>
      </c>
      <c r="O65" s="24">
        <v>0.11531</v>
      </c>
      <c r="P65" s="25">
        <v>0.51612999999999998</v>
      </c>
      <c r="Q65" s="25">
        <v>0.29032000000000002</v>
      </c>
      <c r="R65" s="25">
        <v>1.2258100000000001</v>
      </c>
      <c r="S65" s="25">
        <v>1.7741899999999999</v>
      </c>
      <c r="T65" s="24">
        <v>0.36437000000000003</v>
      </c>
      <c r="U65" s="24">
        <v>0.41498000000000002</v>
      </c>
      <c r="V65" s="24">
        <v>0.23585</v>
      </c>
      <c r="W65" s="24">
        <v>0.74468000000000001</v>
      </c>
      <c r="X65" s="24">
        <v>0.44825999999999999</v>
      </c>
      <c r="Y65" s="25">
        <v>0.5171</v>
      </c>
      <c r="Z65" s="25">
        <v>-0.182</v>
      </c>
      <c r="AA65" s="25">
        <v>0.69920000000000004</v>
      </c>
      <c r="AB65" s="25">
        <v>92.42</v>
      </c>
      <c r="AC65" s="25">
        <v>110.78</v>
      </c>
      <c r="AD65" s="25">
        <f>AB65-AC65</f>
        <v>-18.36</v>
      </c>
      <c r="AE65" s="24">
        <v>0.24256</v>
      </c>
    </row>
    <row r="66" spans="1:31" x14ac:dyDescent="0.35">
      <c r="A66" t="s">
        <v>231</v>
      </c>
      <c r="B66" t="s">
        <v>232</v>
      </c>
      <c r="C66">
        <v>76</v>
      </c>
      <c r="D66" t="s">
        <v>145</v>
      </c>
      <c r="E66" t="s">
        <v>406</v>
      </c>
      <c r="F66" t="s">
        <v>243</v>
      </c>
      <c r="G66" t="s">
        <v>215</v>
      </c>
      <c r="H66" s="26">
        <v>25</v>
      </c>
      <c r="I66" s="25">
        <v>5.68</v>
      </c>
      <c r="J66" s="25">
        <v>1.56</v>
      </c>
      <c r="K66" s="24">
        <v>1.9769999999999999E-2</v>
      </c>
      <c r="L66" s="24">
        <v>5.978E-2</v>
      </c>
      <c r="M66" s="25">
        <v>1.48</v>
      </c>
      <c r="N66" s="25">
        <v>1.6087</v>
      </c>
      <c r="O66" s="24">
        <v>0.11845</v>
      </c>
      <c r="P66" s="25">
        <v>0.44</v>
      </c>
      <c r="Q66" s="25">
        <v>0.04</v>
      </c>
      <c r="R66" s="27">
        <v>0.92</v>
      </c>
      <c r="S66" s="27">
        <v>1.44</v>
      </c>
      <c r="T66" s="24">
        <v>0.40566000000000002</v>
      </c>
      <c r="U66" s="28">
        <v>0.57547000000000004</v>
      </c>
      <c r="V66" s="28">
        <v>0.42857000000000001</v>
      </c>
      <c r="W66" s="28">
        <v>0.76922999999999997</v>
      </c>
      <c r="X66" s="28">
        <v>0.60477000000000003</v>
      </c>
      <c r="Y66" s="25">
        <v>1.274</v>
      </c>
      <c r="Z66" s="25">
        <v>0.72050000000000003</v>
      </c>
      <c r="AA66" s="25">
        <v>0.55359999999999998</v>
      </c>
      <c r="AB66" s="27">
        <v>118.23</v>
      </c>
      <c r="AC66" s="25">
        <v>110.82</v>
      </c>
      <c r="AD66" s="27">
        <f>AB66-AC66</f>
        <v>7.4100000000000108</v>
      </c>
      <c r="AE66" s="24">
        <v>0.12728999999999999</v>
      </c>
    </row>
    <row r="67" spans="1:31" x14ac:dyDescent="0.35">
      <c r="A67" t="s">
        <v>247</v>
      </c>
      <c r="B67" t="s">
        <v>248</v>
      </c>
      <c r="C67">
        <v>75</v>
      </c>
      <c r="D67" t="s">
        <v>145</v>
      </c>
      <c r="E67" t="s">
        <v>405</v>
      </c>
      <c r="F67" t="s">
        <v>268</v>
      </c>
      <c r="G67" t="s">
        <v>267</v>
      </c>
      <c r="H67" s="26">
        <v>31</v>
      </c>
      <c r="I67" s="25">
        <v>6.5483900000000004</v>
      </c>
      <c r="J67" s="25">
        <v>1.3871</v>
      </c>
      <c r="K67" s="24">
        <v>2.6759999999999999E-2</v>
      </c>
      <c r="L67" s="24">
        <v>7.3029999999999998E-2</v>
      </c>
      <c r="M67" s="25">
        <v>0.6129</v>
      </c>
      <c r="N67" s="25">
        <v>0.54286000000000001</v>
      </c>
      <c r="O67" s="24">
        <v>7.5029999999999999E-2</v>
      </c>
      <c r="P67" s="25">
        <v>0.45161000000000001</v>
      </c>
      <c r="Q67" s="25">
        <v>3.2259999999999997E-2</v>
      </c>
      <c r="R67" s="25">
        <v>1.12903</v>
      </c>
      <c r="S67" s="25">
        <v>2.03226</v>
      </c>
      <c r="T67" s="24">
        <v>0.37142999999999998</v>
      </c>
      <c r="U67" s="24">
        <v>0.47143000000000002</v>
      </c>
      <c r="V67" s="28">
        <v>0.36458000000000002</v>
      </c>
      <c r="W67" s="28">
        <v>0.77551000000000003</v>
      </c>
      <c r="X67" s="28">
        <v>0.51627999999999996</v>
      </c>
      <c r="Y67" s="25">
        <v>0.81369999999999998</v>
      </c>
      <c r="Z67" s="25">
        <v>0.25219999999999998</v>
      </c>
      <c r="AA67" s="25">
        <v>0.5615</v>
      </c>
      <c r="AB67" s="25">
        <v>99.58</v>
      </c>
      <c r="AC67" s="25">
        <v>110.84</v>
      </c>
      <c r="AD67" s="25">
        <f>AB67-AC67</f>
        <v>-11.260000000000005</v>
      </c>
      <c r="AE67" s="24">
        <v>0.22797999999999999</v>
      </c>
    </row>
    <row r="68" spans="1:31" x14ac:dyDescent="0.35">
      <c r="A68" t="s">
        <v>353</v>
      </c>
      <c r="B68" t="s">
        <v>354</v>
      </c>
      <c r="C68">
        <v>78</v>
      </c>
      <c r="D68" t="s">
        <v>145</v>
      </c>
      <c r="E68" t="s">
        <v>405</v>
      </c>
      <c r="F68" t="s">
        <v>363</v>
      </c>
      <c r="G68" t="s">
        <v>357</v>
      </c>
      <c r="H68" s="26">
        <v>28</v>
      </c>
      <c r="I68" s="25">
        <v>2.1785700000000001</v>
      </c>
      <c r="J68" s="25">
        <v>1.5</v>
      </c>
      <c r="K68" s="24">
        <v>3.381E-2</v>
      </c>
      <c r="L68" s="24">
        <v>0.61</v>
      </c>
      <c r="M68" s="25">
        <v>1.35714</v>
      </c>
      <c r="N68" s="25">
        <v>1.35714</v>
      </c>
      <c r="O68" s="24">
        <v>0.19288</v>
      </c>
      <c r="P68" s="25">
        <v>0.28571000000000002</v>
      </c>
      <c r="Q68" s="25">
        <v>0.25</v>
      </c>
      <c r="R68" s="27">
        <v>1</v>
      </c>
      <c r="S68" s="27">
        <v>1.5</v>
      </c>
      <c r="T68" s="24">
        <v>0.33333000000000002</v>
      </c>
      <c r="U68" s="24">
        <v>0.37719000000000003</v>
      </c>
      <c r="V68" s="24">
        <v>0.21739</v>
      </c>
      <c r="W68" s="28">
        <v>0.78261000000000003</v>
      </c>
      <c r="X68" s="24">
        <v>0.45455000000000001</v>
      </c>
      <c r="Y68" s="25">
        <v>0.1739</v>
      </c>
      <c r="Z68" s="25">
        <v>-0.1515</v>
      </c>
      <c r="AA68" s="25">
        <v>0.32540000000000002</v>
      </c>
      <c r="AB68" s="25">
        <v>88.46</v>
      </c>
      <c r="AC68" s="25">
        <v>110.95</v>
      </c>
      <c r="AD68" s="25">
        <f>AB68-AC68</f>
        <v>-22.490000000000009</v>
      </c>
      <c r="AE68" s="24">
        <v>0.14649000000000001</v>
      </c>
    </row>
    <row r="69" spans="1:31" x14ac:dyDescent="0.35">
      <c r="A69" t="s">
        <v>386</v>
      </c>
      <c r="B69" t="s">
        <v>387</v>
      </c>
      <c r="C69">
        <v>77</v>
      </c>
      <c r="D69" t="s">
        <v>145</v>
      </c>
      <c r="E69" t="s">
        <v>406</v>
      </c>
      <c r="F69" t="s">
        <v>361</v>
      </c>
      <c r="G69" t="s">
        <v>357</v>
      </c>
      <c r="H69" s="26">
        <v>29</v>
      </c>
      <c r="I69" s="25">
        <v>9.65517</v>
      </c>
      <c r="J69" s="25">
        <v>1.72414</v>
      </c>
      <c r="K69" s="24">
        <v>1.7989999999999999E-2</v>
      </c>
      <c r="L69" s="24">
        <v>0.28000000000000003</v>
      </c>
      <c r="M69" s="25">
        <v>1.27586</v>
      </c>
      <c r="N69" s="25">
        <v>3.3636400000000002</v>
      </c>
      <c r="O69" s="24">
        <v>8.8349999999999998E-2</v>
      </c>
      <c r="P69" s="25">
        <v>0.58621000000000001</v>
      </c>
      <c r="Q69" s="25">
        <v>0.10345</v>
      </c>
      <c r="R69" s="27">
        <v>0.37930999999999998</v>
      </c>
      <c r="S69" s="27">
        <v>1.2413799999999999</v>
      </c>
      <c r="T69" s="24">
        <v>0.47282999999999997</v>
      </c>
      <c r="U69" s="28">
        <v>0.67935000000000001</v>
      </c>
      <c r="V69" s="28">
        <v>0.46626000000000001</v>
      </c>
      <c r="W69" s="28">
        <v>0.83333000000000002</v>
      </c>
      <c r="X69" s="28">
        <v>0.70069999999999999</v>
      </c>
      <c r="Y69" s="27">
        <v>2.9927999999999999</v>
      </c>
      <c r="Z69" s="25">
        <v>2.1616</v>
      </c>
      <c r="AA69" s="25">
        <v>0.83120000000000005</v>
      </c>
      <c r="AB69" s="27">
        <v>142.68</v>
      </c>
      <c r="AC69" s="25">
        <v>111.01</v>
      </c>
      <c r="AD69" s="27">
        <f>AB69-AC69</f>
        <v>31.67</v>
      </c>
      <c r="AE69" s="24">
        <v>0.1321</v>
      </c>
    </row>
    <row r="70" spans="1:31" x14ac:dyDescent="0.35">
      <c r="A70" t="s">
        <v>336</v>
      </c>
      <c r="B70" t="s">
        <v>337</v>
      </c>
      <c r="C70">
        <v>75</v>
      </c>
      <c r="D70" t="s">
        <v>145</v>
      </c>
      <c r="E70" t="s">
        <v>405</v>
      </c>
      <c r="F70" t="s">
        <v>359</v>
      </c>
      <c r="G70" t="s">
        <v>357</v>
      </c>
      <c r="H70" s="26">
        <v>33</v>
      </c>
      <c r="I70" s="25">
        <v>7.5757599999999998</v>
      </c>
      <c r="J70" s="25">
        <v>2.2727300000000001</v>
      </c>
      <c r="K70" s="24">
        <v>1.55E-2</v>
      </c>
      <c r="L70" s="24">
        <v>0.22</v>
      </c>
      <c r="M70" s="25">
        <v>2.1515200000000001</v>
      </c>
      <c r="N70" s="25">
        <v>1.42</v>
      </c>
      <c r="O70" s="24">
        <v>0.19148999999999999</v>
      </c>
      <c r="P70" s="25">
        <v>0.90908999999999995</v>
      </c>
      <c r="Q70" s="25">
        <v>0.36364000000000002</v>
      </c>
      <c r="R70" s="25">
        <v>1.51515</v>
      </c>
      <c r="S70" s="25">
        <v>1.7575799999999999</v>
      </c>
      <c r="T70" s="24">
        <v>0.39639999999999997</v>
      </c>
      <c r="U70" s="24">
        <v>0.42568</v>
      </c>
      <c r="V70" s="24">
        <v>0.26</v>
      </c>
      <c r="W70" s="24">
        <v>0.68539000000000005</v>
      </c>
      <c r="X70" s="24">
        <v>0.47855999999999999</v>
      </c>
      <c r="Y70" s="25">
        <v>0.83509999999999995</v>
      </c>
      <c r="Z70" s="25">
        <v>9.7900000000000001E-2</v>
      </c>
      <c r="AA70" s="25">
        <v>0.73719999999999997</v>
      </c>
      <c r="AB70" s="25">
        <v>96.21</v>
      </c>
      <c r="AC70" s="25">
        <v>111.15</v>
      </c>
      <c r="AD70" s="25">
        <f>AB70-AC70</f>
        <v>-14.940000000000012</v>
      </c>
      <c r="AE70" s="24">
        <v>0.21987999999999999</v>
      </c>
    </row>
    <row r="71" spans="1:31" x14ac:dyDescent="0.35">
      <c r="A71" t="s">
        <v>388</v>
      </c>
      <c r="B71" t="s">
        <v>389</v>
      </c>
      <c r="C71">
        <v>78</v>
      </c>
      <c r="D71" t="s">
        <v>145</v>
      </c>
      <c r="E71" t="s">
        <v>406</v>
      </c>
      <c r="F71" t="s">
        <v>394</v>
      </c>
      <c r="G71" t="s">
        <v>357</v>
      </c>
      <c r="H71">
        <v>18</v>
      </c>
      <c r="I71" s="25">
        <v>2.2777799999999999</v>
      </c>
      <c r="J71" s="25">
        <v>0.88888999999999996</v>
      </c>
      <c r="K71" s="24">
        <v>8.9700000000000005E-3</v>
      </c>
      <c r="L71" s="24">
        <v>7.0000000000000007E-2</v>
      </c>
      <c r="M71" s="25">
        <v>0.44444</v>
      </c>
      <c r="N71" s="25">
        <v>1</v>
      </c>
      <c r="O71" s="24">
        <v>0.13885</v>
      </c>
      <c r="P71" s="25">
        <v>0.22222</v>
      </c>
      <c r="Q71" s="25">
        <v>0.11111</v>
      </c>
      <c r="R71" s="25">
        <v>0.44444</v>
      </c>
      <c r="S71" s="25">
        <v>0.88888999999999996</v>
      </c>
      <c r="T71" s="24">
        <v>0.31373000000000001</v>
      </c>
      <c r="U71" s="24">
        <v>0.39216000000000001</v>
      </c>
      <c r="V71" s="24">
        <v>0.27585999999999999</v>
      </c>
      <c r="W71" s="24">
        <v>0.5</v>
      </c>
      <c r="X71" s="24">
        <v>0.39499000000000001</v>
      </c>
      <c r="Y71" s="25">
        <v>-8.9499999999999996E-2</v>
      </c>
      <c r="Z71" s="25">
        <v>-0.20979999999999999</v>
      </c>
      <c r="AA71" s="25">
        <v>0.1203</v>
      </c>
      <c r="AB71" s="25">
        <v>79.37</v>
      </c>
      <c r="AC71" s="25">
        <v>111.17</v>
      </c>
      <c r="AD71" s="25">
        <f>AB71-AC71</f>
        <v>-31.799999999999997</v>
      </c>
      <c r="AE71" s="24">
        <v>0.26139000000000001</v>
      </c>
    </row>
    <row r="72" spans="1:31" x14ac:dyDescent="0.35">
      <c r="A72" t="s">
        <v>113</v>
      </c>
      <c r="B72" t="s">
        <v>114</v>
      </c>
      <c r="C72">
        <v>76</v>
      </c>
      <c r="D72" t="s">
        <v>145</v>
      </c>
      <c r="E72" t="s">
        <v>405</v>
      </c>
      <c r="F72" t="s">
        <v>125</v>
      </c>
      <c r="G72" t="s">
        <v>112</v>
      </c>
      <c r="H72">
        <v>22</v>
      </c>
      <c r="I72" s="25">
        <v>1.36364</v>
      </c>
      <c r="J72" s="25">
        <v>1.13636</v>
      </c>
      <c r="K72" s="24">
        <v>3.2129999999999999E-2</v>
      </c>
      <c r="L72" s="24">
        <v>0.16775999999999999</v>
      </c>
      <c r="M72" s="25">
        <v>0.22727</v>
      </c>
      <c r="N72" s="25">
        <v>0.83333000000000002</v>
      </c>
      <c r="O72" s="24">
        <v>5.8349999999999999E-2</v>
      </c>
      <c r="P72" s="25">
        <v>9.0910000000000005E-2</v>
      </c>
      <c r="Q72" s="25">
        <v>4.5449999999999997E-2</v>
      </c>
      <c r="R72" s="27">
        <v>0.27272999999999997</v>
      </c>
      <c r="S72" s="25">
        <v>0.72726999999999997</v>
      </c>
      <c r="T72" s="24">
        <v>0.37036999999999998</v>
      </c>
      <c r="U72" s="24">
        <v>0.42592999999999998</v>
      </c>
      <c r="V72" s="24">
        <v>0.1875</v>
      </c>
      <c r="W72" s="24">
        <v>0.7</v>
      </c>
      <c r="X72" s="24">
        <v>0.47771000000000002</v>
      </c>
      <c r="Y72" s="25">
        <v>0.1384</v>
      </c>
      <c r="Z72" s="25">
        <v>-1.04E-2</v>
      </c>
      <c r="AA72" s="25">
        <v>0.1489</v>
      </c>
      <c r="AB72" s="25">
        <v>93.75</v>
      </c>
      <c r="AC72" s="25">
        <v>111.33</v>
      </c>
      <c r="AD72" s="25">
        <f>AB72-AC72</f>
        <v>-17.579999999999998</v>
      </c>
      <c r="AE72" s="24">
        <v>0.13186999999999999</v>
      </c>
    </row>
    <row r="73" spans="1:31" x14ac:dyDescent="0.35">
      <c r="A73" t="s">
        <v>136</v>
      </c>
      <c r="B73" t="s">
        <v>137</v>
      </c>
      <c r="C73">
        <v>77</v>
      </c>
      <c r="D73" t="s">
        <v>146</v>
      </c>
      <c r="E73" t="s">
        <v>406</v>
      </c>
      <c r="F73" t="s">
        <v>125</v>
      </c>
      <c r="G73" t="s">
        <v>112</v>
      </c>
      <c r="H73" s="26">
        <v>31</v>
      </c>
      <c r="I73" s="25">
        <v>8.3225800000000003</v>
      </c>
      <c r="J73" s="25">
        <v>3.25806</v>
      </c>
      <c r="K73" s="24">
        <v>1.6899999999999998E-2</v>
      </c>
      <c r="L73" s="24">
        <v>0.1086</v>
      </c>
      <c r="M73" s="25">
        <v>1.7096800000000001</v>
      </c>
      <c r="N73" s="25">
        <v>0.96364000000000005</v>
      </c>
      <c r="O73" s="24">
        <v>0.1086</v>
      </c>
      <c r="P73" s="25">
        <v>0.74194000000000004</v>
      </c>
      <c r="Q73" s="25">
        <v>0.58065</v>
      </c>
      <c r="R73" s="25">
        <v>1.7741899999999999</v>
      </c>
      <c r="S73" s="25">
        <v>2.0967699999999998</v>
      </c>
      <c r="T73" s="24">
        <v>0.41991000000000001</v>
      </c>
      <c r="U73" s="24">
        <v>0.49567</v>
      </c>
      <c r="V73" s="24">
        <v>0.30973000000000001</v>
      </c>
      <c r="W73" s="28">
        <v>0.78378000000000003</v>
      </c>
      <c r="X73" s="28">
        <v>0.52163000000000004</v>
      </c>
      <c r="Y73" s="25">
        <v>0.96960000000000002</v>
      </c>
      <c r="Z73" s="25">
        <v>4.5199999999999997E-2</v>
      </c>
      <c r="AA73" s="25">
        <v>0.92430000000000001</v>
      </c>
      <c r="AB73" s="25">
        <v>95.51</v>
      </c>
      <c r="AC73" s="25">
        <v>111.36</v>
      </c>
      <c r="AD73" s="25">
        <f>AB73-AC73</f>
        <v>-15.849999999999994</v>
      </c>
      <c r="AE73" s="24">
        <v>0.17202000000000001</v>
      </c>
    </row>
    <row r="74" spans="1:31" x14ac:dyDescent="0.35">
      <c r="A74" t="s">
        <v>120</v>
      </c>
      <c r="B74" t="s">
        <v>306</v>
      </c>
      <c r="C74">
        <v>75</v>
      </c>
      <c r="D74" t="s">
        <v>145</v>
      </c>
      <c r="E74" t="s">
        <v>405</v>
      </c>
      <c r="F74" t="s">
        <v>313</v>
      </c>
      <c r="G74" t="s">
        <v>305</v>
      </c>
      <c r="H74" s="26">
        <v>29</v>
      </c>
      <c r="I74" s="27">
        <v>13.517239999999999</v>
      </c>
      <c r="J74" s="25">
        <v>2.9310299999999998</v>
      </c>
      <c r="K74" s="24">
        <v>1.763E-2</v>
      </c>
      <c r="L74" s="24">
        <v>8.3650000000000002E-2</v>
      </c>
      <c r="M74" s="27">
        <v>3.6206900000000002</v>
      </c>
      <c r="N74" s="25">
        <v>2.3333300000000001</v>
      </c>
      <c r="O74" s="24">
        <v>0.19706000000000001</v>
      </c>
      <c r="P74" s="27">
        <v>1.55172</v>
      </c>
      <c r="Q74" s="25">
        <v>6.8970000000000004E-2</v>
      </c>
      <c r="R74" s="25">
        <v>1.55172</v>
      </c>
      <c r="S74" s="25">
        <v>2.3103400000000001</v>
      </c>
      <c r="T74" s="24">
        <v>0.40540999999999999</v>
      </c>
      <c r="U74" s="28">
        <v>0.51688999999999996</v>
      </c>
      <c r="V74" s="28">
        <v>0.39052999999999999</v>
      </c>
      <c r="W74" s="28">
        <v>0.81904999999999994</v>
      </c>
      <c r="X74" s="28">
        <v>0.57276000000000005</v>
      </c>
      <c r="Y74" s="27">
        <v>2.9405000000000001</v>
      </c>
      <c r="Z74" s="25">
        <v>2.0188000000000001</v>
      </c>
      <c r="AA74" s="25">
        <v>0.92159999999999997</v>
      </c>
      <c r="AB74" s="27">
        <v>116.98</v>
      </c>
      <c r="AC74" s="25">
        <v>111.39</v>
      </c>
      <c r="AD74" s="27">
        <f>AB74-AC74</f>
        <v>5.5900000000000034</v>
      </c>
      <c r="AE74" s="24">
        <v>0.21215000000000001</v>
      </c>
    </row>
    <row r="75" spans="1:31" x14ac:dyDescent="0.35">
      <c r="A75" t="s">
        <v>72</v>
      </c>
      <c r="B75" t="s">
        <v>290</v>
      </c>
      <c r="C75">
        <v>76</v>
      </c>
      <c r="D75" t="s">
        <v>146</v>
      </c>
      <c r="E75" t="s">
        <v>406</v>
      </c>
      <c r="F75" t="s">
        <v>272</v>
      </c>
      <c r="G75" t="s">
        <v>267</v>
      </c>
      <c r="H75" s="26">
        <v>27</v>
      </c>
      <c r="I75" s="27">
        <v>15.037039999999999</v>
      </c>
      <c r="J75" s="27">
        <v>4.3333300000000001</v>
      </c>
      <c r="K75" s="24">
        <v>5.1319999999999998E-2</v>
      </c>
      <c r="L75" s="24">
        <v>0.10199</v>
      </c>
      <c r="M75" s="25">
        <v>1.74074</v>
      </c>
      <c r="N75" s="25">
        <v>1.38235</v>
      </c>
      <c r="O75" s="24">
        <v>0.10936999999999999</v>
      </c>
      <c r="P75" s="27">
        <v>0.96296000000000004</v>
      </c>
      <c r="Q75" s="25">
        <v>1.25926</v>
      </c>
      <c r="R75" s="25">
        <v>1.25926</v>
      </c>
      <c r="S75" s="25">
        <v>2.2592599999999998</v>
      </c>
      <c r="T75" s="24">
        <v>0.43864999999999998</v>
      </c>
      <c r="U75" s="24">
        <v>0.47393000000000002</v>
      </c>
      <c r="V75" s="24">
        <v>0.28049000000000002</v>
      </c>
      <c r="W75" s="24">
        <v>0.66437999999999997</v>
      </c>
      <c r="X75" s="28">
        <v>0.52024999999999999</v>
      </c>
      <c r="Y75" s="27">
        <v>2.1328999999999998</v>
      </c>
      <c r="Z75" s="25">
        <v>1.3142</v>
      </c>
      <c r="AA75" s="25">
        <v>0.81869999999999998</v>
      </c>
      <c r="AB75" s="25">
        <v>108.28</v>
      </c>
      <c r="AC75" s="25">
        <v>111.74</v>
      </c>
      <c r="AD75" s="25">
        <f>AB75-AC75</f>
        <v>-3.4599999999999937</v>
      </c>
      <c r="AE75" s="24">
        <v>0.25651000000000002</v>
      </c>
    </row>
    <row r="76" spans="1:31" x14ac:dyDescent="0.35">
      <c r="A76" t="s">
        <v>276</v>
      </c>
      <c r="B76" t="s">
        <v>311</v>
      </c>
      <c r="C76">
        <v>77</v>
      </c>
      <c r="D76" t="s">
        <v>145</v>
      </c>
      <c r="E76" t="s">
        <v>405</v>
      </c>
      <c r="F76" t="s">
        <v>315</v>
      </c>
      <c r="G76" t="s">
        <v>305</v>
      </c>
      <c r="H76" s="26">
        <v>30</v>
      </c>
      <c r="I76" s="25">
        <v>8.5666700000000002</v>
      </c>
      <c r="J76" s="27">
        <v>4.5</v>
      </c>
      <c r="K76" s="24">
        <v>8.2180000000000003E-2</v>
      </c>
      <c r="L76" s="24">
        <v>0.14438000000000001</v>
      </c>
      <c r="M76" s="25">
        <v>0.7</v>
      </c>
      <c r="N76" s="25">
        <v>0.56757000000000002</v>
      </c>
      <c r="O76" s="24">
        <v>7.0720000000000005E-2</v>
      </c>
      <c r="P76" s="27">
        <v>1.1000000000000001</v>
      </c>
      <c r="Q76" s="25">
        <v>6.6669999999999993E-2</v>
      </c>
      <c r="R76" s="25">
        <v>1.23333</v>
      </c>
      <c r="S76" s="25">
        <v>1.56667</v>
      </c>
      <c r="T76" s="24">
        <v>0.50236999999999998</v>
      </c>
      <c r="U76" s="28">
        <v>0.53081</v>
      </c>
      <c r="V76" s="24">
        <v>0.32432</v>
      </c>
      <c r="W76" s="24">
        <v>0.47143000000000002</v>
      </c>
      <c r="X76" s="28">
        <v>0.53142999999999996</v>
      </c>
      <c r="Y76" s="25">
        <v>1.1588000000000001</v>
      </c>
      <c r="Z76" s="25">
        <v>0.52029999999999998</v>
      </c>
      <c r="AA76" s="25">
        <v>0.63849999999999996</v>
      </c>
      <c r="AB76" s="25">
        <v>102.94</v>
      </c>
      <c r="AC76" s="25">
        <v>111.76</v>
      </c>
      <c r="AD76" s="25">
        <f>AB76-AC76</f>
        <v>-8.8200000000000074</v>
      </c>
      <c r="AE76" s="24">
        <v>0.21004999999999999</v>
      </c>
    </row>
    <row r="77" spans="1:31" x14ac:dyDescent="0.35">
      <c r="A77" t="s">
        <v>245</v>
      </c>
      <c r="B77" t="s">
        <v>246</v>
      </c>
      <c r="C77">
        <v>75</v>
      </c>
      <c r="D77" t="s">
        <v>145</v>
      </c>
      <c r="E77" t="s">
        <v>405</v>
      </c>
      <c r="F77" t="s">
        <v>266</v>
      </c>
      <c r="G77" t="s">
        <v>267</v>
      </c>
      <c r="H77" s="26">
        <v>30</v>
      </c>
      <c r="I77" s="25">
        <v>7.9333299999999998</v>
      </c>
      <c r="J77" s="25">
        <v>3.3333300000000001</v>
      </c>
      <c r="K77" s="24">
        <v>2.3120000000000002E-2</v>
      </c>
      <c r="L77" s="24">
        <v>0.11179</v>
      </c>
      <c r="M77" s="25">
        <v>2.5</v>
      </c>
      <c r="N77" s="25">
        <v>1.63043</v>
      </c>
      <c r="O77" s="24">
        <v>0.15318999999999999</v>
      </c>
      <c r="P77" s="25">
        <v>0.83333000000000002</v>
      </c>
      <c r="Q77" s="25">
        <v>0.36667</v>
      </c>
      <c r="R77" s="25">
        <v>1.5333300000000001</v>
      </c>
      <c r="S77" s="25">
        <v>1.9</v>
      </c>
      <c r="T77" s="24">
        <v>0.40404000000000001</v>
      </c>
      <c r="U77" s="24">
        <v>0.46211999999999998</v>
      </c>
      <c r="V77" s="24">
        <v>0.31080999999999998</v>
      </c>
      <c r="W77" s="24">
        <v>0.72367999999999999</v>
      </c>
      <c r="X77" s="28">
        <v>0.51426000000000005</v>
      </c>
      <c r="Y77" s="25">
        <v>1.3842000000000001</v>
      </c>
      <c r="Z77" s="25">
        <v>0.52869999999999995</v>
      </c>
      <c r="AA77" s="25">
        <v>0.85550000000000004</v>
      </c>
      <c r="AB77" s="25">
        <v>102.67</v>
      </c>
      <c r="AC77" s="25">
        <v>111.8</v>
      </c>
      <c r="AD77" s="25">
        <f>AB77-AC77</f>
        <v>-9.1299999999999955</v>
      </c>
      <c r="AE77" s="24">
        <v>0.15906999999999999</v>
      </c>
    </row>
    <row r="78" spans="1:31" x14ac:dyDescent="0.35">
      <c r="A78" t="s">
        <v>208</v>
      </c>
      <c r="B78" t="s">
        <v>209</v>
      </c>
      <c r="C78">
        <v>76</v>
      </c>
      <c r="D78" t="s">
        <v>145</v>
      </c>
      <c r="E78" t="s">
        <v>406</v>
      </c>
      <c r="F78" t="s">
        <v>194</v>
      </c>
      <c r="G78" t="s">
        <v>196</v>
      </c>
      <c r="H78">
        <v>12</v>
      </c>
      <c r="I78" s="25">
        <v>1.1666700000000001</v>
      </c>
      <c r="J78" s="25">
        <v>0.16667000000000001</v>
      </c>
      <c r="K78" s="24">
        <v>2.206E-2</v>
      </c>
      <c r="L78" s="24">
        <v>2.1579999999999998E-2</v>
      </c>
      <c r="M78" s="25">
        <v>0.16667000000000001</v>
      </c>
      <c r="O78" s="24">
        <v>6.0470000000000003E-2</v>
      </c>
      <c r="P78" s="25">
        <v>0</v>
      </c>
      <c r="Q78" s="25">
        <v>8.3330000000000001E-2</v>
      </c>
      <c r="R78" s="25">
        <v>0</v>
      </c>
      <c r="S78" s="25">
        <v>0.33333000000000002</v>
      </c>
      <c r="T78" s="24">
        <v>0.29411999999999999</v>
      </c>
      <c r="U78" s="24">
        <v>0.32352999999999998</v>
      </c>
      <c r="V78" s="24">
        <v>0.1</v>
      </c>
      <c r="W78" s="24">
        <v>0.6</v>
      </c>
      <c r="X78" s="24">
        <v>0.36458000000000002</v>
      </c>
      <c r="Y78" s="25">
        <v>5.0299999999999997E-2</v>
      </c>
      <c r="Z78" s="25">
        <v>1E-4</v>
      </c>
      <c r="AA78" s="25">
        <v>5.0200000000000002E-2</v>
      </c>
      <c r="AB78" s="25">
        <v>94.93</v>
      </c>
      <c r="AC78" s="25">
        <v>111.88</v>
      </c>
      <c r="AD78" s="25">
        <f>AB78-AC78</f>
        <v>-16.949999999999989</v>
      </c>
      <c r="AE78" s="24">
        <v>0.16911000000000001</v>
      </c>
    </row>
    <row r="79" spans="1:31" x14ac:dyDescent="0.35">
      <c r="A79" t="s">
        <v>318</v>
      </c>
      <c r="B79" t="s">
        <v>319</v>
      </c>
      <c r="C79">
        <v>75</v>
      </c>
      <c r="D79" t="s">
        <v>145</v>
      </c>
      <c r="E79" t="s">
        <v>406</v>
      </c>
      <c r="F79" t="s">
        <v>332</v>
      </c>
      <c r="G79" t="s">
        <v>305</v>
      </c>
      <c r="H79" s="26">
        <v>28</v>
      </c>
      <c r="I79" s="25">
        <v>5.2857099999999999</v>
      </c>
      <c r="J79" s="25">
        <v>2.1428600000000002</v>
      </c>
      <c r="K79" s="24">
        <v>4.734E-2</v>
      </c>
      <c r="L79" s="24">
        <v>7.3620000000000005E-2</v>
      </c>
      <c r="M79" s="25">
        <v>1.0714300000000001</v>
      </c>
      <c r="N79" s="25">
        <v>0.85714000000000001</v>
      </c>
      <c r="O79" s="24">
        <v>0.10324999999999999</v>
      </c>
      <c r="P79" s="25">
        <v>0.46428999999999998</v>
      </c>
      <c r="Q79" s="25">
        <v>0.5</v>
      </c>
      <c r="R79" s="25">
        <v>1.25</v>
      </c>
      <c r="S79" s="25">
        <v>2.0714299999999999</v>
      </c>
      <c r="T79" s="24">
        <v>0.42029</v>
      </c>
      <c r="U79" s="24">
        <v>0.46013999999999999</v>
      </c>
      <c r="V79" s="24">
        <v>0.23404</v>
      </c>
      <c r="W79" s="28">
        <v>0.75</v>
      </c>
      <c r="X79" s="24">
        <v>0.49235000000000001</v>
      </c>
      <c r="Y79" s="25">
        <v>0.46679999999999999</v>
      </c>
      <c r="Z79" s="25">
        <v>-6.0499999999999998E-2</v>
      </c>
      <c r="AA79" s="25">
        <v>0.52729999999999999</v>
      </c>
      <c r="AB79" s="25">
        <v>93.57</v>
      </c>
      <c r="AC79" s="25">
        <v>112.03</v>
      </c>
      <c r="AD79" s="25">
        <f>AB79-AC79</f>
        <v>-18.460000000000008</v>
      </c>
      <c r="AE79" s="24">
        <v>0.17254</v>
      </c>
    </row>
    <row r="80" spans="1:31" x14ac:dyDescent="0.35">
      <c r="A80" t="s">
        <v>376</v>
      </c>
      <c r="B80" t="s">
        <v>377</v>
      </c>
      <c r="C80">
        <v>76</v>
      </c>
      <c r="D80" t="s">
        <v>145</v>
      </c>
      <c r="E80" t="s">
        <v>406</v>
      </c>
      <c r="F80" t="s">
        <v>361</v>
      </c>
      <c r="G80" t="s">
        <v>357</v>
      </c>
      <c r="H80">
        <v>18</v>
      </c>
      <c r="I80" s="25">
        <v>1.7777799999999999</v>
      </c>
      <c r="J80" s="25">
        <v>0.44444</v>
      </c>
      <c r="K80" s="24">
        <v>4.1119999999999997E-2</v>
      </c>
      <c r="L80" s="24">
        <v>0.73</v>
      </c>
      <c r="M80" s="25">
        <v>0.16667000000000001</v>
      </c>
      <c r="N80" s="25">
        <v>0.6</v>
      </c>
      <c r="O80" s="24">
        <v>5.203E-2</v>
      </c>
      <c r="P80" s="25">
        <v>5.5559999999999998E-2</v>
      </c>
      <c r="Q80" s="25">
        <v>0.11111</v>
      </c>
      <c r="R80" s="25">
        <v>0.27778000000000003</v>
      </c>
      <c r="S80" s="25">
        <v>0.5</v>
      </c>
      <c r="T80" s="24">
        <v>0.26190000000000002</v>
      </c>
      <c r="U80" s="24">
        <v>0.38095000000000001</v>
      </c>
      <c r="V80" s="24">
        <v>0.25641000000000003</v>
      </c>
      <c r="X80" s="24">
        <v>0.38095000000000001</v>
      </c>
      <c r="AA80" s="25">
        <v>0.1053</v>
      </c>
      <c r="AC80" s="25">
        <v>112.34</v>
      </c>
      <c r="AD80" s="25">
        <f>AB80-AC80</f>
        <v>-112.34</v>
      </c>
      <c r="AE80" s="24">
        <v>0.20507</v>
      </c>
    </row>
    <row r="81" spans="1:31" x14ac:dyDescent="0.35">
      <c r="A81" t="s">
        <v>221</v>
      </c>
      <c r="B81" t="s">
        <v>222</v>
      </c>
      <c r="C81">
        <v>75</v>
      </c>
      <c r="D81" t="s">
        <v>145</v>
      </c>
      <c r="E81" t="s">
        <v>406</v>
      </c>
      <c r="F81" t="s">
        <v>239</v>
      </c>
      <c r="G81" t="s">
        <v>215</v>
      </c>
      <c r="H81" s="26">
        <v>30</v>
      </c>
      <c r="I81" s="25">
        <v>8.3000000000000007</v>
      </c>
      <c r="J81" s="25">
        <v>2.23333</v>
      </c>
      <c r="K81" s="24">
        <v>7.0299999999999998E-3</v>
      </c>
      <c r="L81" s="24">
        <v>6.8080000000000002E-2</v>
      </c>
      <c r="M81" s="25">
        <v>1.7</v>
      </c>
      <c r="N81" s="25">
        <v>1.30769</v>
      </c>
      <c r="O81" s="24">
        <v>9.9440000000000001E-2</v>
      </c>
      <c r="P81" s="27">
        <v>1.0333300000000001</v>
      </c>
      <c r="Q81" s="25">
        <v>6.6669999999999993E-2</v>
      </c>
      <c r="R81" s="25">
        <v>1.3</v>
      </c>
      <c r="S81" s="25">
        <v>1.9666699999999999</v>
      </c>
      <c r="T81" s="24">
        <v>0.36019000000000001</v>
      </c>
      <c r="U81" s="24">
        <v>0.49525999999999998</v>
      </c>
      <c r="V81" s="24">
        <v>0.34969</v>
      </c>
      <c r="W81" s="28">
        <v>0.78430999999999995</v>
      </c>
      <c r="X81" s="28">
        <v>0.53342000000000001</v>
      </c>
      <c r="Y81" s="25">
        <v>1.2426999999999999</v>
      </c>
      <c r="Z81" s="25">
        <v>0.39560000000000001</v>
      </c>
      <c r="AA81" s="25">
        <v>0.84709999999999996</v>
      </c>
      <c r="AB81" s="25">
        <v>101.22</v>
      </c>
      <c r="AC81" s="25">
        <v>112.35</v>
      </c>
      <c r="AD81" s="25">
        <f>AB81-AC81</f>
        <v>-11.129999999999995</v>
      </c>
      <c r="AE81" s="24">
        <v>0.14756</v>
      </c>
    </row>
    <row r="82" spans="1:31" x14ac:dyDescent="0.35">
      <c r="A82" t="s">
        <v>258</v>
      </c>
      <c r="B82" t="s">
        <v>259</v>
      </c>
      <c r="C82">
        <v>78</v>
      </c>
      <c r="D82" t="s">
        <v>145</v>
      </c>
      <c r="E82" t="s">
        <v>405</v>
      </c>
      <c r="F82" t="s">
        <v>273</v>
      </c>
      <c r="G82" t="s">
        <v>267</v>
      </c>
      <c r="H82" s="26">
        <v>29</v>
      </c>
      <c r="I82" s="27">
        <v>14.89655</v>
      </c>
      <c r="J82" s="27">
        <v>5.5862100000000003</v>
      </c>
      <c r="K82" s="24">
        <v>3.6940000000000001E-2</v>
      </c>
      <c r="L82" s="24">
        <v>0.15620999999999999</v>
      </c>
      <c r="M82" s="27">
        <v>3.4137900000000001</v>
      </c>
      <c r="N82" s="25">
        <v>1.2222200000000001</v>
      </c>
      <c r="O82" s="24">
        <v>0.20430000000000001</v>
      </c>
      <c r="P82" s="25">
        <v>0.86207</v>
      </c>
      <c r="Q82" s="25">
        <v>0.27585999999999999</v>
      </c>
      <c r="R82" s="25">
        <v>2.7930999999999999</v>
      </c>
      <c r="S82" s="25">
        <v>1.62069</v>
      </c>
      <c r="T82" s="24">
        <v>0.41060999999999998</v>
      </c>
      <c r="U82" s="28">
        <v>0.50558999999999998</v>
      </c>
      <c r="V82" s="28">
        <v>0.38635999999999998</v>
      </c>
      <c r="W82" s="24">
        <v>0.7</v>
      </c>
      <c r="X82" s="28">
        <v>0.53730999999999995</v>
      </c>
      <c r="Y82" s="25">
        <v>1.8431</v>
      </c>
      <c r="Z82" s="25">
        <v>0.95020000000000004</v>
      </c>
      <c r="AA82" s="25">
        <v>0.89290000000000003</v>
      </c>
      <c r="AB82" s="25">
        <v>102.67</v>
      </c>
      <c r="AC82" s="25">
        <v>112.37</v>
      </c>
      <c r="AD82" s="25">
        <f>AB82-AC82</f>
        <v>-9.7000000000000028</v>
      </c>
      <c r="AE82" s="24">
        <v>0.26157000000000002</v>
      </c>
    </row>
    <row r="83" spans="1:31" x14ac:dyDescent="0.35">
      <c r="A83" t="s">
        <v>307</v>
      </c>
      <c r="B83" t="s">
        <v>308</v>
      </c>
      <c r="C83">
        <v>76</v>
      </c>
      <c r="D83" t="s">
        <v>145</v>
      </c>
      <c r="E83" t="s">
        <v>405</v>
      </c>
      <c r="F83" t="s">
        <v>314</v>
      </c>
      <c r="G83" t="s">
        <v>305</v>
      </c>
      <c r="H83">
        <v>13</v>
      </c>
      <c r="I83" s="25">
        <v>3.30769</v>
      </c>
      <c r="J83" s="25">
        <v>1.9230799999999999</v>
      </c>
      <c r="K83" s="24">
        <v>2.512E-2</v>
      </c>
      <c r="L83" s="24">
        <v>0.12350999999999999</v>
      </c>
      <c r="M83" s="25">
        <v>0.46154000000000001</v>
      </c>
      <c r="N83" s="25">
        <v>0.33333000000000002</v>
      </c>
      <c r="O83" s="24">
        <v>7.4569999999999997E-2</v>
      </c>
      <c r="P83" s="25">
        <v>0.30769000000000002</v>
      </c>
      <c r="Q83" s="25">
        <v>0.15384999999999999</v>
      </c>
      <c r="R83" s="25">
        <v>1.38462</v>
      </c>
      <c r="S83" s="25">
        <v>1.2307699999999999</v>
      </c>
      <c r="T83" s="24">
        <v>0.33333000000000002</v>
      </c>
      <c r="U83" s="24">
        <v>0.36667</v>
      </c>
      <c r="V83" s="24">
        <v>0.2</v>
      </c>
      <c r="W83" s="24">
        <v>0.83333000000000002</v>
      </c>
      <c r="X83" s="24">
        <v>0.42743999999999999</v>
      </c>
      <c r="Y83" s="25">
        <v>-0.21759999999999999</v>
      </c>
      <c r="Z83" s="25">
        <v>-0.37380000000000002</v>
      </c>
      <c r="AA83" s="25">
        <v>0.15629999999999999</v>
      </c>
      <c r="AB83" s="25">
        <v>71.97</v>
      </c>
      <c r="AC83" s="25">
        <v>112.56</v>
      </c>
      <c r="AD83" s="25">
        <f>AB83-AC83</f>
        <v>-40.590000000000003</v>
      </c>
      <c r="AE83" s="24">
        <v>0.20232</v>
      </c>
    </row>
    <row r="84" spans="1:31" x14ac:dyDescent="0.35">
      <c r="A84" t="s">
        <v>189</v>
      </c>
      <c r="B84" t="s">
        <v>410</v>
      </c>
      <c r="C84">
        <v>76</v>
      </c>
      <c r="D84" t="s">
        <v>145</v>
      </c>
      <c r="E84" t="s">
        <v>406</v>
      </c>
      <c r="F84" t="s">
        <v>332</v>
      </c>
      <c r="G84" t="s">
        <v>305</v>
      </c>
      <c r="H84">
        <v>18</v>
      </c>
      <c r="I84" s="25">
        <v>0.94443999999999995</v>
      </c>
      <c r="J84" s="25">
        <v>0.72221999999999997</v>
      </c>
      <c r="K84" s="24">
        <v>5.8500000000000002E-3</v>
      </c>
      <c r="L84" s="24">
        <v>6.4119999999999996E-2</v>
      </c>
      <c r="M84" s="25">
        <v>1.61111</v>
      </c>
      <c r="N84" s="25">
        <v>1.2083299999999999</v>
      </c>
      <c r="O84" s="24">
        <v>0.24576999999999999</v>
      </c>
      <c r="P84" s="25">
        <v>0.33333000000000002</v>
      </c>
      <c r="Q84" s="25">
        <v>5.5559999999999998E-2</v>
      </c>
      <c r="R84" s="25">
        <v>1.3333299999999999</v>
      </c>
      <c r="S84" s="25">
        <v>1.2777799999999999</v>
      </c>
      <c r="T84" s="24">
        <v>0.22222</v>
      </c>
      <c r="U84" s="24">
        <v>0.22222</v>
      </c>
      <c r="V84" s="24">
        <v>0</v>
      </c>
      <c r="W84" s="24">
        <v>0.625</v>
      </c>
      <c r="X84" s="24">
        <v>0.27868999999999999</v>
      </c>
      <c r="Y84" s="25">
        <v>-0.38319999999999999</v>
      </c>
      <c r="Z84" s="25">
        <v>-0.55920000000000003</v>
      </c>
      <c r="AA84" s="25">
        <v>0.17599999999999999</v>
      </c>
      <c r="AB84" s="25">
        <v>58.35</v>
      </c>
      <c r="AC84" s="25">
        <v>112.71</v>
      </c>
      <c r="AD84" s="25">
        <f>AB84-AC84</f>
        <v>-54.359999999999992</v>
      </c>
      <c r="AE84" s="24">
        <v>0.14210999999999999</v>
      </c>
    </row>
    <row r="85" spans="1:31" x14ac:dyDescent="0.35">
      <c r="A85" t="s">
        <v>279</v>
      </c>
      <c r="B85" t="s">
        <v>407</v>
      </c>
      <c r="C85">
        <v>75</v>
      </c>
      <c r="D85" t="s">
        <v>145</v>
      </c>
      <c r="E85" t="s">
        <v>406</v>
      </c>
      <c r="F85" t="s">
        <v>272</v>
      </c>
      <c r="G85" t="s">
        <v>267</v>
      </c>
      <c r="H85" s="26">
        <v>31</v>
      </c>
      <c r="I85" s="25">
        <v>0.6129</v>
      </c>
      <c r="J85" s="25">
        <v>1.2258100000000001</v>
      </c>
      <c r="K85" s="24">
        <v>2.7289999999999998E-2</v>
      </c>
      <c r="L85" s="24">
        <v>0.13050999999999999</v>
      </c>
      <c r="M85" s="25">
        <v>0.64515999999999996</v>
      </c>
      <c r="N85" s="25">
        <v>1.25</v>
      </c>
      <c r="O85" s="24">
        <v>0.11453000000000001</v>
      </c>
      <c r="P85" s="25">
        <v>0.25806000000000001</v>
      </c>
      <c r="Q85" s="25">
        <v>3.2259999999999997E-2</v>
      </c>
      <c r="R85" s="27">
        <v>0.51612999999999998</v>
      </c>
      <c r="S85" s="25">
        <v>0.96774000000000004</v>
      </c>
      <c r="T85" s="24">
        <v>0.22222</v>
      </c>
      <c r="U85" s="24">
        <v>0.29630000000000001</v>
      </c>
      <c r="V85" s="24">
        <v>0.26667000000000002</v>
      </c>
      <c r="W85" s="24">
        <v>0.5</v>
      </c>
      <c r="X85" s="24">
        <v>0.32095000000000001</v>
      </c>
      <c r="Y85" s="25">
        <v>-8.5199999999999998E-2</v>
      </c>
      <c r="Z85" s="25">
        <v>-0.31640000000000001</v>
      </c>
      <c r="AA85" s="25">
        <v>0.23119999999999999</v>
      </c>
      <c r="AB85" s="25">
        <v>69.38</v>
      </c>
      <c r="AC85" s="25">
        <v>112.98</v>
      </c>
      <c r="AD85" s="25">
        <f>AB85-AC85</f>
        <v>-43.600000000000009</v>
      </c>
      <c r="AE85" s="24">
        <v>8.5099999999999995E-2</v>
      </c>
    </row>
    <row r="86" spans="1:31" x14ac:dyDescent="0.35">
      <c r="A86" t="s">
        <v>115</v>
      </c>
      <c r="B86" t="s">
        <v>116</v>
      </c>
      <c r="C86">
        <v>76</v>
      </c>
      <c r="D86" t="s">
        <v>145</v>
      </c>
      <c r="E86" t="s">
        <v>405</v>
      </c>
      <c r="F86" t="s">
        <v>128</v>
      </c>
      <c r="G86" t="s">
        <v>112</v>
      </c>
      <c r="H86">
        <v>19</v>
      </c>
      <c r="I86" s="25">
        <v>1.63158</v>
      </c>
      <c r="J86" s="25">
        <v>0.36842000000000003</v>
      </c>
      <c r="K86" s="24">
        <v>1.338E-2</v>
      </c>
      <c r="L86" s="24">
        <v>8.4629999999999997E-2</v>
      </c>
      <c r="M86" s="25">
        <v>0.21052999999999999</v>
      </c>
      <c r="N86" s="25">
        <v>1</v>
      </c>
      <c r="O86" s="24">
        <v>9.5269999999999994E-2</v>
      </c>
      <c r="P86" s="25">
        <v>5.2630000000000003E-2</v>
      </c>
      <c r="Q86" s="25">
        <v>0.10526000000000001</v>
      </c>
      <c r="R86" s="25">
        <v>0.21052999999999999</v>
      </c>
      <c r="S86" s="25">
        <v>0.36842000000000003</v>
      </c>
      <c r="T86" s="24">
        <v>0.38462000000000002</v>
      </c>
      <c r="U86" s="24">
        <v>0.51922999999999997</v>
      </c>
      <c r="V86" s="24">
        <v>0.35</v>
      </c>
      <c r="W86" s="24">
        <v>0.57142999999999999</v>
      </c>
      <c r="X86" s="24">
        <v>0.53264999999999996</v>
      </c>
      <c r="Y86" s="25">
        <v>0.11840000000000001</v>
      </c>
      <c r="Z86" s="25">
        <v>4.7399999999999998E-2</v>
      </c>
      <c r="AA86" s="25">
        <v>7.0999999999999994E-2</v>
      </c>
      <c r="AB86" s="25">
        <v>101.28</v>
      </c>
      <c r="AC86" s="25">
        <v>113.05</v>
      </c>
      <c r="AD86" s="25">
        <f>AB86-AC86</f>
        <v>-11.769999999999996</v>
      </c>
      <c r="AE86" s="24">
        <v>0.20193</v>
      </c>
    </row>
    <row r="87" spans="1:31" x14ac:dyDescent="0.35">
      <c r="A87" t="s">
        <v>221</v>
      </c>
      <c r="B87" t="s">
        <v>368</v>
      </c>
      <c r="C87">
        <v>75</v>
      </c>
      <c r="D87" t="s">
        <v>145</v>
      </c>
      <c r="E87" t="s">
        <v>406</v>
      </c>
      <c r="F87" t="s">
        <v>364</v>
      </c>
      <c r="G87" t="s">
        <v>357</v>
      </c>
      <c r="H87">
        <v>15</v>
      </c>
      <c r="I87" s="25">
        <v>0.6</v>
      </c>
      <c r="J87" s="25">
        <v>0.26667000000000002</v>
      </c>
      <c r="K87" s="24">
        <v>2.2530000000000001E-2</v>
      </c>
      <c r="M87" s="25">
        <v>6.6669999999999993E-2</v>
      </c>
      <c r="N87" s="25">
        <v>0.16667000000000001</v>
      </c>
      <c r="O87" s="24">
        <v>3.5470000000000002E-2</v>
      </c>
      <c r="P87" s="25">
        <v>6.6669999999999993E-2</v>
      </c>
      <c r="Q87" s="25">
        <v>0</v>
      </c>
      <c r="R87" s="25">
        <v>0.4</v>
      </c>
      <c r="S87" s="25">
        <v>0.46666999999999997</v>
      </c>
      <c r="T87" s="24">
        <v>0.42857000000000001</v>
      </c>
      <c r="U87" s="24">
        <v>0.5</v>
      </c>
      <c r="V87" s="24">
        <v>0.25</v>
      </c>
      <c r="W87" s="24">
        <v>0.4</v>
      </c>
      <c r="X87" s="24">
        <v>0.48913000000000001</v>
      </c>
      <c r="Y87" s="25">
        <v>-7.7700000000000005E-2</v>
      </c>
      <c r="Z87" s="25">
        <v>-0.1191</v>
      </c>
      <c r="AA87" s="25">
        <v>4.1399999999999999E-2</v>
      </c>
      <c r="AB87" s="25">
        <v>63.25</v>
      </c>
      <c r="AC87" s="25">
        <v>113.14</v>
      </c>
      <c r="AD87" s="25">
        <f>AB87-AC87</f>
        <v>-49.89</v>
      </c>
      <c r="AE87" s="24">
        <v>0.14929000000000001</v>
      </c>
    </row>
    <row r="88" spans="1:31" x14ac:dyDescent="0.35">
      <c r="A88" t="s">
        <v>274</v>
      </c>
      <c r="B88" t="s">
        <v>275</v>
      </c>
      <c r="C88">
        <v>75</v>
      </c>
      <c r="D88" t="s">
        <v>145</v>
      </c>
      <c r="E88" t="s">
        <v>406</v>
      </c>
      <c r="F88" t="s">
        <v>273</v>
      </c>
      <c r="G88" t="s">
        <v>267</v>
      </c>
      <c r="H88" s="26">
        <v>26</v>
      </c>
      <c r="I88" s="25">
        <v>8.5769199999999994</v>
      </c>
      <c r="J88" s="25">
        <v>2.9230800000000001</v>
      </c>
      <c r="K88" s="24">
        <v>9.7800000000000005E-3</v>
      </c>
      <c r="L88" s="24">
        <v>0.10818</v>
      </c>
      <c r="M88" s="27">
        <v>3.61538</v>
      </c>
      <c r="N88" s="25">
        <v>1.80769</v>
      </c>
      <c r="O88" s="24">
        <v>0.23752000000000001</v>
      </c>
      <c r="P88" s="25">
        <v>0.84614999999999996</v>
      </c>
      <c r="Q88" s="25">
        <v>0.26923000000000002</v>
      </c>
      <c r="R88" s="25">
        <v>2</v>
      </c>
      <c r="S88" s="25">
        <v>2.1538499999999998</v>
      </c>
      <c r="T88" s="24">
        <v>0.42232999999999998</v>
      </c>
      <c r="U88" s="24">
        <v>0.47087000000000001</v>
      </c>
      <c r="V88" s="24">
        <v>0.25</v>
      </c>
      <c r="W88" s="28">
        <v>0.82857000000000003</v>
      </c>
      <c r="X88" s="28">
        <v>0.50361</v>
      </c>
      <c r="Y88" s="25">
        <v>0.91639999999999999</v>
      </c>
      <c r="Z88" s="25">
        <v>0.2959</v>
      </c>
      <c r="AA88" s="25">
        <v>0.62050000000000005</v>
      </c>
      <c r="AB88" s="25">
        <v>99.03</v>
      </c>
      <c r="AC88" s="25">
        <v>113.15</v>
      </c>
      <c r="AD88" s="25">
        <f>AB88-AC88</f>
        <v>-14.120000000000005</v>
      </c>
      <c r="AE88" s="24">
        <v>0.19536999999999999</v>
      </c>
    </row>
    <row r="89" spans="1:31" x14ac:dyDescent="0.35">
      <c r="A89" t="s">
        <v>288</v>
      </c>
      <c r="B89" t="s">
        <v>289</v>
      </c>
      <c r="C89">
        <v>76</v>
      </c>
      <c r="D89" t="s">
        <v>145</v>
      </c>
      <c r="E89" t="s">
        <v>406</v>
      </c>
      <c r="F89" t="s">
        <v>268</v>
      </c>
      <c r="G89" t="s">
        <v>267</v>
      </c>
      <c r="H89">
        <v>6</v>
      </c>
      <c r="I89" s="25">
        <v>0.66666999999999998</v>
      </c>
      <c r="J89" s="25">
        <v>0.33333000000000002</v>
      </c>
      <c r="K89" s="24">
        <v>0</v>
      </c>
      <c r="L89" s="24">
        <v>0.11874</v>
      </c>
      <c r="M89" s="25">
        <v>0</v>
      </c>
      <c r="N89" s="25">
        <v>0</v>
      </c>
      <c r="O89" s="24">
        <v>0</v>
      </c>
      <c r="P89" s="25">
        <v>0</v>
      </c>
      <c r="Q89" s="25">
        <v>0</v>
      </c>
      <c r="R89" s="25">
        <v>0.16667000000000001</v>
      </c>
      <c r="S89" s="25">
        <v>0.66666999999999998</v>
      </c>
      <c r="T89" s="24">
        <v>0.28571000000000002</v>
      </c>
      <c r="U89" s="24">
        <v>0.28571000000000002</v>
      </c>
      <c r="V89" s="24">
        <v>0</v>
      </c>
      <c r="X89" s="24">
        <v>0.28571000000000002</v>
      </c>
      <c r="AA89" s="25">
        <v>1.8700000000000001E-2</v>
      </c>
      <c r="AC89" s="25">
        <v>113.32</v>
      </c>
      <c r="AD89" s="25">
        <f>AB89-AC89</f>
        <v>-113.32</v>
      </c>
      <c r="AE89" s="24">
        <v>0.18859999999999999</v>
      </c>
    </row>
    <row r="90" spans="1:31" x14ac:dyDescent="0.35">
      <c r="A90" t="s">
        <v>392</v>
      </c>
      <c r="B90" t="s">
        <v>393</v>
      </c>
      <c r="C90">
        <v>78</v>
      </c>
      <c r="D90" t="s">
        <v>146</v>
      </c>
      <c r="E90" t="s">
        <v>406</v>
      </c>
      <c r="F90" t="s">
        <v>359</v>
      </c>
      <c r="G90" t="s">
        <v>357</v>
      </c>
      <c r="H90" s="26">
        <v>26</v>
      </c>
      <c r="I90" s="25">
        <v>4.0384599999999997</v>
      </c>
      <c r="J90" s="25">
        <v>2.61538</v>
      </c>
      <c r="K90" s="24">
        <v>9.9379999999999996E-2</v>
      </c>
      <c r="L90" s="24">
        <v>0.69</v>
      </c>
      <c r="M90" s="25">
        <v>0.92308000000000001</v>
      </c>
      <c r="N90" s="25">
        <v>1.09091</v>
      </c>
      <c r="O90" s="24">
        <v>0.15014</v>
      </c>
      <c r="P90" s="25">
        <v>0.11538</v>
      </c>
      <c r="Q90" s="25">
        <v>0.23077</v>
      </c>
      <c r="R90" s="27">
        <v>0.84614999999999996</v>
      </c>
      <c r="S90" s="25">
        <v>1.80769</v>
      </c>
      <c r="T90" s="24">
        <v>0.58228000000000002</v>
      </c>
      <c r="U90" s="28">
        <v>0.58228000000000002</v>
      </c>
      <c r="V90" s="24">
        <v>0</v>
      </c>
      <c r="W90" s="24">
        <v>0.59091000000000005</v>
      </c>
      <c r="X90" s="28">
        <v>0.59187999999999996</v>
      </c>
      <c r="Y90" s="25">
        <v>0.69059999999999999</v>
      </c>
      <c r="Z90" s="25">
        <v>0.43120000000000003</v>
      </c>
      <c r="AA90" s="25">
        <v>0.25940000000000002</v>
      </c>
      <c r="AB90" s="27">
        <v>110.08</v>
      </c>
      <c r="AC90" s="25">
        <v>113.36</v>
      </c>
      <c r="AD90" s="25">
        <f>AB90-AC90</f>
        <v>-3.2800000000000011</v>
      </c>
      <c r="AE90" s="24">
        <v>0.17666999999999999</v>
      </c>
    </row>
    <row r="91" spans="1:31" x14ac:dyDescent="0.35">
      <c r="A91" t="s">
        <v>340</v>
      </c>
      <c r="B91" t="s">
        <v>341</v>
      </c>
      <c r="C91">
        <v>75</v>
      </c>
      <c r="D91" t="s">
        <v>145</v>
      </c>
      <c r="E91" t="s">
        <v>405</v>
      </c>
      <c r="F91" t="s">
        <v>360</v>
      </c>
      <c r="G91" t="s">
        <v>357</v>
      </c>
      <c r="H91">
        <v>12</v>
      </c>
      <c r="I91" s="25">
        <v>2</v>
      </c>
      <c r="J91" s="25">
        <v>0.58333000000000002</v>
      </c>
      <c r="K91" s="24">
        <v>2.7660000000000001E-2</v>
      </c>
      <c r="M91" s="25">
        <v>0</v>
      </c>
      <c r="N91" s="25">
        <v>0</v>
      </c>
      <c r="O91" s="24">
        <v>0</v>
      </c>
      <c r="P91" s="25">
        <v>0</v>
      </c>
      <c r="Q91" s="25">
        <v>0</v>
      </c>
      <c r="R91" s="25">
        <v>0.58333000000000002</v>
      </c>
      <c r="S91" s="25">
        <v>8.3330000000000001E-2</v>
      </c>
      <c r="T91" s="24">
        <v>0.29730000000000001</v>
      </c>
      <c r="U91" s="24">
        <v>0.32432</v>
      </c>
      <c r="V91" s="24">
        <v>0.13333</v>
      </c>
      <c r="X91" s="24">
        <v>0.32432</v>
      </c>
      <c r="AA91" s="25">
        <v>6.2600000000000003E-2</v>
      </c>
      <c r="AC91" s="25">
        <v>113.38</v>
      </c>
      <c r="AD91" s="25">
        <f>AB91-AC91</f>
        <v>-113.38</v>
      </c>
      <c r="AE91" s="24">
        <v>0.27227000000000001</v>
      </c>
    </row>
    <row r="92" spans="1:31" x14ac:dyDescent="0.35">
      <c r="A92" t="s">
        <v>404</v>
      </c>
      <c r="B92" t="s">
        <v>402</v>
      </c>
      <c r="C92">
        <v>75</v>
      </c>
      <c r="D92" t="s">
        <v>145</v>
      </c>
      <c r="E92" t="s">
        <v>405</v>
      </c>
      <c r="F92" t="s">
        <v>362</v>
      </c>
      <c r="G92" t="s">
        <v>357</v>
      </c>
      <c r="H92">
        <v>12</v>
      </c>
      <c r="I92" s="25">
        <v>1.6666700000000001</v>
      </c>
      <c r="J92" s="25">
        <v>0.41666999999999998</v>
      </c>
      <c r="K92" s="24">
        <v>0</v>
      </c>
      <c r="M92" s="25">
        <v>1.0833299999999999</v>
      </c>
      <c r="N92" s="25">
        <v>1.4444399999999999</v>
      </c>
      <c r="O92" s="24">
        <v>0.25041000000000002</v>
      </c>
      <c r="P92" s="25">
        <v>0</v>
      </c>
      <c r="Q92" s="25">
        <v>0</v>
      </c>
      <c r="R92" s="25">
        <v>0.75</v>
      </c>
      <c r="S92" s="25">
        <v>0.75</v>
      </c>
      <c r="T92" s="24">
        <v>0.29166999999999998</v>
      </c>
      <c r="U92" s="24">
        <v>0.375</v>
      </c>
      <c r="V92" s="24">
        <v>0.36364000000000002</v>
      </c>
      <c r="W92" s="24">
        <v>0.4</v>
      </c>
      <c r="X92" s="24">
        <v>0.38168000000000002</v>
      </c>
      <c r="Y92" s="25">
        <v>-5.1299999999999998E-2</v>
      </c>
      <c r="Z92" s="25">
        <v>-0.13969999999999999</v>
      </c>
      <c r="AA92" s="25">
        <v>8.8400000000000006E-2</v>
      </c>
      <c r="AB92" s="25">
        <v>78.819999999999993</v>
      </c>
      <c r="AC92" s="25">
        <v>113.39</v>
      </c>
      <c r="AD92" s="25">
        <f>AB92-AC92</f>
        <v>-34.570000000000007</v>
      </c>
      <c r="AE92" s="24">
        <v>0.16209999999999999</v>
      </c>
    </row>
    <row r="93" spans="1:31" x14ac:dyDescent="0.35">
      <c r="A93" t="s">
        <v>258</v>
      </c>
      <c r="B93" t="s">
        <v>326</v>
      </c>
      <c r="C93">
        <v>77</v>
      </c>
      <c r="D93" t="s">
        <v>145</v>
      </c>
      <c r="E93" t="s">
        <v>406</v>
      </c>
      <c r="F93" t="s">
        <v>332</v>
      </c>
      <c r="G93" t="s">
        <v>305</v>
      </c>
      <c r="H93">
        <v>7</v>
      </c>
      <c r="I93" s="25">
        <v>0.71428999999999998</v>
      </c>
      <c r="J93" s="25">
        <v>0.57142999999999999</v>
      </c>
      <c r="K93" s="24">
        <v>0</v>
      </c>
      <c r="L93" s="24">
        <v>0.1701</v>
      </c>
      <c r="M93" s="25">
        <v>0</v>
      </c>
      <c r="N93" s="25">
        <v>0</v>
      </c>
      <c r="O93" s="24">
        <v>0</v>
      </c>
      <c r="P93" s="25">
        <v>0</v>
      </c>
      <c r="Q93" s="25">
        <v>0</v>
      </c>
      <c r="R93" s="25">
        <v>0.42857000000000001</v>
      </c>
      <c r="S93" s="25">
        <v>0.14285999999999999</v>
      </c>
      <c r="T93" s="24">
        <v>0.14285999999999999</v>
      </c>
      <c r="U93" s="24">
        <v>0.21429000000000001</v>
      </c>
      <c r="V93" s="24">
        <v>0.16667000000000001</v>
      </c>
      <c r="W93" s="24">
        <v>0.5</v>
      </c>
      <c r="X93" s="24">
        <v>0.28409000000000001</v>
      </c>
      <c r="Y93" s="25">
        <v>-0.1106</v>
      </c>
      <c r="Z93" s="25">
        <v>-0.1321</v>
      </c>
      <c r="AA93" s="25">
        <v>2.1499999999999998E-2</v>
      </c>
      <c r="AB93" s="25">
        <v>46.1</v>
      </c>
      <c r="AC93" s="25">
        <v>113.56</v>
      </c>
      <c r="AD93" s="25">
        <f>AB93-AC93</f>
        <v>-67.460000000000008</v>
      </c>
      <c r="AE93" s="24">
        <v>0.21931</v>
      </c>
    </row>
    <row r="94" spans="1:31" x14ac:dyDescent="0.35">
      <c r="A94" t="s">
        <v>117</v>
      </c>
      <c r="B94" t="s">
        <v>118</v>
      </c>
      <c r="C94">
        <v>77</v>
      </c>
      <c r="D94" t="s">
        <v>145</v>
      </c>
      <c r="E94" t="s">
        <v>405</v>
      </c>
      <c r="F94" t="s">
        <v>127</v>
      </c>
      <c r="G94" t="s">
        <v>112</v>
      </c>
      <c r="H94">
        <v>24</v>
      </c>
      <c r="I94" s="25">
        <v>7.25</v>
      </c>
      <c r="J94" s="25">
        <v>2.5</v>
      </c>
      <c r="K94" s="24">
        <v>3.124E-2</v>
      </c>
      <c r="L94" s="24">
        <v>0.11312</v>
      </c>
      <c r="M94" s="25">
        <v>0.58333000000000002</v>
      </c>
      <c r="N94" s="25">
        <v>0.56000000000000005</v>
      </c>
      <c r="O94" s="24">
        <v>7.1410000000000001E-2</v>
      </c>
      <c r="P94" s="25">
        <v>0.83333000000000002</v>
      </c>
      <c r="Q94" s="25">
        <v>0.58333000000000002</v>
      </c>
      <c r="R94" s="27">
        <v>1.0416700000000001</v>
      </c>
      <c r="S94" s="25">
        <v>2.9166699999999999</v>
      </c>
      <c r="T94" s="24">
        <v>0.34755999999999998</v>
      </c>
      <c r="U94" s="24">
        <v>0.42072999999999999</v>
      </c>
      <c r="V94" s="24">
        <v>0.25806000000000001</v>
      </c>
      <c r="W94" s="24">
        <v>0.8</v>
      </c>
      <c r="X94" s="24">
        <v>0.47333999999999998</v>
      </c>
      <c r="Y94" s="25">
        <v>0.19400000000000001</v>
      </c>
      <c r="Z94" s="25">
        <v>-0.16389999999999999</v>
      </c>
      <c r="AA94" s="25">
        <v>0.35799999999999998</v>
      </c>
      <c r="AB94" s="25">
        <v>91.44</v>
      </c>
      <c r="AC94" s="25">
        <v>113.66</v>
      </c>
      <c r="AD94" s="25">
        <f>AB94-AC94</f>
        <v>-22.22</v>
      </c>
      <c r="AE94" s="24">
        <v>0.22552</v>
      </c>
    </row>
    <row r="95" spans="1:31" x14ac:dyDescent="0.35">
      <c r="A95" t="s">
        <v>202</v>
      </c>
      <c r="B95" t="s">
        <v>203</v>
      </c>
      <c r="C95">
        <v>75</v>
      </c>
      <c r="D95" t="s">
        <v>145</v>
      </c>
      <c r="E95" t="s">
        <v>406</v>
      </c>
      <c r="F95" t="s">
        <v>213</v>
      </c>
      <c r="G95" t="s">
        <v>196</v>
      </c>
      <c r="H95">
        <v>19</v>
      </c>
      <c r="I95" s="25">
        <v>0.52632000000000001</v>
      </c>
      <c r="J95" s="25">
        <v>0.47367999999999999</v>
      </c>
      <c r="K95" s="24">
        <v>8.2250000000000004E-2</v>
      </c>
      <c r="L95" s="24">
        <v>7.3639999999999997E-2</v>
      </c>
      <c r="M95" s="25">
        <v>0.10526000000000001</v>
      </c>
      <c r="N95" s="25">
        <v>2</v>
      </c>
      <c r="O95" s="24">
        <v>4.9520000000000002E-2</v>
      </c>
      <c r="P95" s="25">
        <v>0.10526000000000001</v>
      </c>
      <c r="Q95" s="25">
        <v>5.2630000000000003E-2</v>
      </c>
      <c r="R95" s="25">
        <v>5.2630000000000003E-2</v>
      </c>
      <c r="S95" s="25">
        <v>0.52632000000000001</v>
      </c>
      <c r="T95" s="24">
        <v>0.5</v>
      </c>
      <c r="U95" s="24">
        <v>0.5</v>
      </c>
      <c r="W95" s="24">
        <v>0.57142999999999999</v>
      </c>
      <c r="X95" s="24">
        <v>0.54944999999999999</v>
      </c>
      <c r="Y95" s="25">
        <v>0.1273</v>
      </c>
      <c r="Z95" s="25">
        <v>7.8899999999999998E-2</v>
      </c>
      <c r="AA95" s="25">
        <v>4.8399999999999999E-2</v>
      </c>
      <c r="AB95" s="27">
        <v>126.07</v>
      </c>
      <c r="AC95" s="25">
        <v>113.72</v>
      </c>
      <c r="AD95" s="25">
        <f>AB95-AC95</f>
        <v>12.349999999999994</v>
      </c>
      <c r="AE95" s="24">
        <v>7.5149999999999995E-2</v>
      </c>
    </row>
    <row r="96" spans="1:31" x14ac:dyDescent="0.35">
      <c r="A96" t="s">
        <v>299</v>
      </c>
      <c r="B96" t="s">
        <v>300</v>
      </c>
      <c r="C96">
        <v>78</v>
      </c>
      <c r="D96" t="s">
        <v>146</v>
      </c>
      <c r="E96" t="s">
        <v>406</v>
      </c>
      <c r="F96" t="s">
        <v>273</v>
      </c>
      <c r="G96" t="s">
        <v>267</v>
      </c>
      <c r="H96" s="26">
        <v>29</v>
      </c>
      <c r="I96" s="27">
        <v>12.62069</v>
      </c>
      <c r="J96" s="27">
        <v>5.1724100000000002</v>
      </c>
      <c r="K96" s="24">
        <v>4.3119999999999999E-2</v>
      </c>
      <c r="L96" s="24">
        <v>0.14213999999999999</v>
      </c>
      <c r="M96" s="25">
        <v>0.58621000000000001</v>
      </c>
      <c r="N96" s="25">
        <v>0.45945999999999998</v>
      </c>
      <c r="O96" s="24">
        <v>3.4430000000000002E-2</v>
      </c>
      <c r="P96" s="25">
        <v>0.58621000000000001</v>
      </c>
      <c r="Q96" s="25">
        <v>0.17241000000000001</v>
      </c>
      <c r="R96" s="25">
        <v>1.27586</v>
      </c>
      <c r="S96" s="25">
        <v>2.2069000000000001</v>
      </c>
      <c r="T96" s="24">
        <v>0.43309999999999998</v>
      </c>
      <c r="U96" s="28">
        <v>0.57218000000000002</v>
      </c>
      <c r="V96" s="28">
        <v>0.41798999999999997</v>
      </c>
      <c r="W96" s="28">
        <v>0.82</v>
      </c>
      <c r="X96" s="28">
        <v>0.59804000000000002</v>
      </c>
      <c r="Y96" s="27">
        <v>2.2242999999999999</v>
      </c>
      <c r="Z96" s="25">
        <v>1.5011000000000001</v>
      </c>
      <c r="AA96" s="25">
        <v>0.72319999999999995</v>
      </c>
      <c r="AB96" s="27">
        <v>113.4</v>
      </c>
      <c r="AC96" s="25">
        <v>113.93</v>
      </c>
      <c r="AD96" s="25">
        <f>AB96-AC96</f>
        <v>-0.53000000000000114</v>
      </c>
      <c r="AE96" s="24">
        <v>0.19161</v>
      </c>
    </row>
    <row r="97" spans="1:31" x14ac:dyDescent="0.35">
      <c r="A97" t="s">
        <v>309</v>
      </c>
      <c r="B97" t="s">
        <v>310</v>
      </c>
      <c r="C97">
        <v>76</v>
      </c>
      <c r="D97" t="s">
        <v>145</v>
      </c>
      <c r="E97" t="s">
        <v>405</v>
      </c>
      <c r="F97" t="s">
        <v>314</v>
      </c>
      <c r="G97" t="s">
        <v>305</v>
      </c>
      <c r="H97">
        <v>11</v>
      </c>
      <c r="I97" s="25">
        <v>4.5454499999999998</v>
      </c>
      <c r="J97" s="25">
        <v>0.72726999999999997</v>
      </c>
      <c r="K97" s="24">
        <v>1.5859999999999999E-2</v>
      </c>
      <c r="L97" s="24">
        <v>5.2720000000000003E-2</v>
      </c>
      <c r="M97" s="25">
        <v>0.27272999999999997</v>
      </c>
      <c r="N97" s="25">
        <v>1</v>
      </c>
      <c r="O97" s="24">
        <v>4.8649999999999999E-2</v>
      </c>
      <c r="P97" s="25">
        <v>0.45455000000000001</v>
      </c>
      <c r="Q97" s="25">
        <v>9.0910000000000005E-2</v>
      </c>
      <c r="R97" s="25">
        <v>0.27272999999999997</v>
      </c>
      <c r="S97" s="25">
        <v>1.09091</v>
      </c>
      <c r="T97" s="24">
        <v>0.43902000000000002</v>
      </c>
      <c r="U97" s="24">
        <v>0.54878000000000005</v>
      </c>
      <c r="V97" s="24">
        <v>0.375</v>
      </c>
      <c r="W97" s="24">
        <v>0.83333000000000002</v>
      </c>
      <c r="X97" s="24">
        <v>0.57338999999999996</v>
      </c>
      <c r="Y97" s="25">
        <v>0.31509999999999999</v>
      </c>
      <c r="Z97" s="25">
        <v>0.2195</v>
      </c>
      <c r="AA97" s="25">
        <v>9.5600000000000004E-2</v>
      </c>
      <c r="AB97" s="27">
        <v>116.27</v>
      </c>
      <c r="AC97" s="25">
        <v>114.15</v>
      </c>
      <c r="AD97" s="25">
        <f>AB97-AC97</f>
        <v>2.1199999999999903</v>
      </c>
      <c r="AE97" s="24">
        <v>0.17918999999999999</v>
      </c>
    </row>
    <row r="98" spans="1:31" x14ac:dyDescent="0.35">
      <c r="A98" t="s">
        <v>249</v>
      </c>
      <c r="B98" t="s">
        <v>250</v>
      </c>
      <c r="C98">
        <v>75</v>
      </c>
      <c r="D98" t="s">
        <v>145</v>
      </c>
      <c r="E98" t="s">
        <v>405</v>
      </c>
      <c r="F98" t="s">
        <v>269</v>
      </c>
      <c r="G98" t="s">
        <v>267</v>
      </c>
      <c r="H98">
        <v>3</v>
      </c>
      <c r="I98" s="25">
        <v>1</v>
      </c>
      <c r="J98" s="25">
        <v>1</v>
      </c>
      <c r="K98" s="24">
        <v>5.0639999999999998E-2</v>
      </c>
      <c r="L98" s="24">
        <v>0.1062</v>
      </c>
      <c r="M98" s="25">
        <v>0</v>
      </c>
      <c r="O98" s="24">
        <v>0</v>
      </c>
      <c r="P98" s="25">
        <v>0</v>
      </c>
      <c r="Q98" s="25">
        <v>0</v>
      </c>
      <c r="R98" s="25">
        <v>0</v>
      </c>
      <c r="S98" s="25">
        <v>0.33333000000000002</v>
      </c>
      <c r="T98" s="24">
        <v>0.33333000000000002</v>
      </c>
      <c r="U98" s="24">
        <v>0.33333000000000002</v>
      </c>
      <c r="V98" s="24">
        <v>0</v>
      </c>
      <c r="W98" s="24">
        <v>0.2</v>
      </c>
      <c r="X98" s="24">
        <v>0.28845999999999999</v>
      </c>
      <c r="Y98" s="25">
        <v>-1.2800000000000001E-2</v>
      </c>
      <c r="Z98" s="25">
        <v>-2.81E-2</v>
      </c>
      <c r="AA98" s="25">
        <v>1.5299999999999999E-2</v>
      </c>
      <c r="AB98" s="25">
        <v>71.72</v>
      </c>
      <c r="AC98" s="25">
        <v>114.41</v>
      </c>
      <c r="AD98" s="25">
        <f>AB98-AC98</f>
        <v>-42.69</v>
      </c>
      <c r="AE98" s="24">
        <v>0.12094000000000001</v>
      </c>
    </row>
    <row r="99" spans="1:31" x14ac:dyDescent="0.35">
      <c r="A99" t="s">
        <v>345</v>
      </c>
      <c r="B99" t="s">
        <v>346</v>
      </c>
      <c r="C99">
        <v>76</v>
      </c>
      <c r="D99" t="s">
        <v>145</v>
      </c>
      <c r="E99" t="s">
        <v>405</v>
      </c>
      <c r="F99" t="s">
        <v>363</v>
      </c>
      <c r="G99" t="s">
        <v>357</v>
      </c>
      <c r="H99" s="26">
        <v>31</v>
      </c>
      <c r="I99" s="25">
        <v>9.1290300000000002</v>
      </c>
      <c r="J99" s="25">
        <v>2.2258100000000001</v>
      </c>
      <c r="K99" s="24">
        <v>3.0249999999999999E-2</v>
      </c>
      <c r="L99" s="24">
        <v>0.55000000000000004</v>
      </c>
      <c r="M99" s="25">
        <v>0.41935</v>
      </c>
      <c r="N99" s="25">
        <v>0.86667000000000005</v>
      </c>
      <c r="O99" s="24">
        <v>3.9649999999999998E-2</v>
      </c>
      <c r="P99" s="25">
        <v>0.29032000000000002</v>
      </c>
      <c r="Q99" s="25">
        <v>6.4519999999999994E-2</v>
      </c>
      <c r="R99" s="27">
        <v>0.48387000000000002</v>
      </c>
      <c r="S99" s="27">
        <v>1.09677</v>
      </c>
      <c r="T99" s="24">
        <v>0.43859999999999999</v>
      </c>
      <c r="U99" s="28">
        <v>0.57018000000000002</v>
      </c>
      <c r="V99" s="28">
        <v>0.42254000000000003</v>
      </c>
      <c r="W99" s="28">
        <v>0.85185</v>
      </c>
      <c r="X99" s="28">
        <v>0.58982999999999997</v>
      </c>
      <c r="Y99" s="25">
        <v>1.6583000000000001</v>
      </c>
      <c r="Z99" s="25">
        <v>1.2286999999999999</v>
      </c>
      <c r="AA99" s="25">
        <v>0.42959999999999998</v>
      </c>
      <c r="AB99" s="27">
        <v>119.3</v>
      </c>
      <c r="AC99" s="25">
        <v>114.72</v>
      </c>
      <c r="AD99" s="27">
        <f>AB99-AC99</f>
        <v>4.5799999999999983</v>
      </c>
      <c r="AE99" s="24">
        <v>0.19561999999999999</v>
      </c>
    </row>
    <row r="100" spans="1:31" x14ac:dyDescent="0.35">
      <c r="A100" t="s">
        <v>183</v>
      </c>
      <c r="B100" t="s">
        <v>184</v>
      </c>
      <c r="C100">
        <v>78</v>
      </c>
      <c r="D100" t="s">
        <v>145</v>
      </c>
      <c r="E100" t="s">
        <v>406</v>
      </c>
      <c r="F100" t="s">
        <v>172</v>
      </c>
      <c r="G100" t="s">
        <v>168</v>
      </c>
      <c r="H100">
        <v>18</v>
      </c>
      <c r="I100" s="25">
        <v>4.61111</v>
      </c>
      <c r="J100" s="25">
        <v>2.61111</v>
      </c>
      <c r="K100" s="24">
        <v>4.0210000000000003E-2</v>
      </c>
      <c r="L100" s="24">
        <v>0.12385</v>
      </c>
      <c r="M100" s="25">
        <v>1.38889</v>
      </c>
      <c r="N100" s="25">
        <v>0.78125</v>
      </c>
      <c r="O100" s="24">
        <v>0.14344999999999999</v>
      </c>
      <c r="P100" s="25">
        <v>0.38889000000000001</v>
      </c>
      <c r="Q100" s="25">
        <v>0.16667000000000001</v>
      </c>
      <c r="R100" s="25">
        <v>1.7777799999999999</v>
      </c>
      <c r="S100" s="25">
        <v>0.61111000000000004</v>
      </c>
      <c r="T100" s="24">
        <v>0.22936000000000001</v>
      </c>
      <c r="U100" s="24">
        <v>0.29358000000000001</v>
      </c>
      <c r="V100" s="24">
        <v>0.23333000000000001</v>
      </c>
      <c r="W100" s="24">
        <v>0.95</v>
      </c>
      <c r="X100" s="24">
        <v>0.35228999999999999</v>
      </c>
      <c r="Y100" s="25">
        <v>-0.45129999999999998</v>
      </c>
      <c r="Z100" s="25">
        <v>-0.67689999999999995</v>
      </c>
      <c r="AA100" s="25">
        <v>0.22559999999999999</v>
      </c>
      <c r="AB100" s="25">
        <v>73.540000000000006</v>
      </c>
      <c r="AC100" s="25">
        <v>114.8</v>
      </c>
      <c r="AD100" s="25">
        <f>AB100-AC100</f>
        <v>-41.259999999999991</v>
      </c>
      <c r="AE100" s="24">
        <v>0.20533000000000001</v>
      </c>
    </row>
    <row r="101" spans="1:31" x14ac:dyDescent="0.35">
      <c r="A101" t="s">
        <v>322</v>
      </c>
      <c r="B101" t="s">
        <v>323</v>
      </c>
      <c r="C101">
        <v>76</v>
      </c>
      <c r="D101" t="s">
        <v>145</v>
      </c>
      <c r="E101" t="s">
        <v>406</v>
      </c>
      <c r="F101" t="s">
        <v>314</v>
      </c>
      <c r="G101" t="s">
        <v>305</v>
      </c>
      <c r="H101">
        <v>8</v>
      </c>
      <c r="I101" s="25">
        <v>4.875</v>
      </c>
      <c r="J101" s="25">
        <v>1.875</v>
      </c>
      <c r="K101" s="24">
        <v>2.9579999999999999E-2</v>
      </c>
      <c r="L101" s="24">
        <v>8.1030000000000005E-2</v>
      </c>
      <c r="M101" s="25">
        <v>0.375</v>
      </c>
      <c r="N101" s="25">
        <v>0.5</v>
      </c>
      <c r="O101" s="24">
        <v>4.1579999999999999E-2</v>
      </c>
      <c r="P101" s="25">
        <v>0.375</v>
      </c>
      <c r="Q101" s="25">
        <v>0.375</v>
      </c>
      <c r="R101" s="25">
        <v>0.75</v>
      </c>
      <c r="S101" s="25">
        <v>1.75</v>
      </c>
      <c r="T101" s="24">
        <v>0.46666999999999997</v>
      </c>
      <c r="U101" s="24">
        <v>0.6</v>
      </c>
      <c r="V101" s="24">
        <v>0.4</v>
      </c>
      <c r="W101" s="24">
        <v>0.5</v>
      </c>
      <c r="X101" s="24">
        <v>0.59816000000000003</v>
      </c>
      <c r="Y101" s="25">
        <v>0.2225</v>
      </c>
      <c r="Z101" s="25">
        <v>0.1183</v>
      </c>
      <c r="AA101" s="25">
        <v>0.1042</v>
      </c>
      <c r="AB101" s="25">
        <v>108.07</v>
      </c>
      <c r="AC101" s="25">
        <v>114.89</v>
      </c>
      <c r="AD101" s="25">
        <f>AB101-AC101</f>
        <v>-6.8200000000000074</v>
      </c>
      <c r="AE101" s="24">
        <v>0.12944</v>
      </c>
    </row>
    <row r="102" spans="1:31" x14ac:dyDescent="0.35">
      <c r="A102" t="s">
        <v>256</v>
      </c>
      <c r="B102" t="s">
        <v>257</v>
      </c>
      <c r="C102">
        <v>76</v>
      </c>
      <c r="D102" t="s">
        <v>146</v>
      </c>
      <c r="E102" t="s">
        <v>405</v>
      </c>
      <c r="F102" t="s">
        <v>272</v>
      </c>
      <c r="G102" t="s">
        <v>267</v>
      </c>
      <c r="H102" s="26">
        <v>31</v>
      </c>
      <c r="I102" s="25">
        <v>2.51613</v>
      </c>
      <c r="J102" s="25">
        <v>1.1612899999999999</v>
      </c>
      <c r="K102" s="24">
        <v>3.7260000000000001E-2</v>
      </c>
      <c r="L102" s="24">
        <v>0.1046</v>
      </c>
      <c r="M102" s="25">
        <v>0.48387000000000002</v>
      </c>
      <c r="N102" s="25">
        <v>1.15385</v>
      </c>
      <c r="O102" s="24">
        <v>9.4920000000000004E-2</v>
      </c>
      <c r="P102" s="25">
        <v>0.19355</v>
      </c>
      <c r="Q102" s="25">
        <v>3.2259999999999997E-2</v>
      </c>
      <c r="R102" s="27">
        <v>0.41935</v>
      </c>
      <c r="S102" s="25">
        <v>1.0645199999999999</v>
      </c>
      <c r="T102" s="24">
        <v>0.45588000000000001</v>
      </c>
      <c r="U102" s="24">
        <v>0.49264999999999998</v>
      </c>
      <c r="V102" s="24">
        <v>0.23810000000000001</v>
      </c>
      <c r="W102" s="24">
        <v>0.5</v>
      </c>
      <c r="X102" s="28">
        <v>0.50192999999999999</v>
      </c>
      <c r="Y102" s="25">
        <v>0.26250000000000001</v>
      </c>
      <c r="Z102" s="25">
        <v>7.51E-2</v>
      </c>
      <c r="AA102" s="25">
        <v>0.18740000000000001</v>
      </c>
      <c r="AB102" s="25">
        <v>98.35</v>
      </c>
      <c r="AC102" s="25">
        <v>115.01</v>
      </c>
      <c r="AD102" s="25">
        <f>AB102-AC102</f>
        <v>-16.660000000000011</v>
      </c>
      <c r="AE102" s="24">
        <v>0.16158</v>
      </c>
    </row>
    <row r="103" spans="1:31" x14ac:dyDescent="0.35">
      <c r="A103" t="s">
        <v>164</v>
      </c>
      <c r="B103" t="s">
        <v>165</v>
      </c>
      <c r="C103">
        <v>77</v>
      </c>
      <c r="D103" t="s">
        <v>145</v>
      </c>
      <c r="E103" t="s">
        <v>405</v>
      </c>
      <c r="F103" t="s">
        <v>172</v>
      </c>
      <c r="G103" t="s">
        <v>168</v>
      </c>
      <c r="H103">
        <v>22</v>
      </c>
      <c r="I103" s="25">
        <v>1.95455</v>
      </c>
      <c r="J103" s="25">
        <v>0.68181999999999998</v>
      </c>
      <c r="K103" s="24">
        <v>3.236E-2</v>
      </c>
      <c r="L103" s="24">
        <v>0.10591</v>
      </c>
      <c r="M103" s="25">
        <v>0.18182000000000001</v>
      </c>
      <c r="N103" s="25">
        <v>0.36364000000000002</v>
      </c>
      <c r="O103" s="24">
        <v>6.6390000000000005E-2</v>
      </c>
      <c r="P103" s="25">
        <v>0.13636000000000001</v>
      </c>
      <c r="Q103" s="25">
        <v>0</v>
      </c>
      <c r="R103" s="27">
        <v>0.5</v>
      </c>
      <c r="S103" s="25">
        <v>0.81818000000000002</v>
      </c>
      <c r="T103" s="24">
        <v>0.32608999999999999</v>
      </c>
      <c r="U103" s="24">
        <v>0.40217000000000003</v>
      </c>
      <c r="V103" s="24">
        <v>0.22581000000000001</v>
      </c>
      <c r="W103" s="24">
        <v>0.46154000000000001</v>
      </c>
      <c r="X103" s="24">
        <v>0.41586000000000001</v>
      </c>
      <c r="Y103" s="25">
        <v>-0.12139999999999999</v>
      </c>
      <c r="Z103" s="25">
        <v>-0.2046</v>
      </c>
      <c r="AA103" s="25">
        <v>8.3199999999999996E-2</v>
      </c>
      <c r="AB103" s="25">
        <v>78.94</v>
      </c>
      <c r="AC103" s="25">
        <v>115.02</v>
      </c>
      <c r="AD103" s="25">
        <f>AB103-AC103</f>
        <v>-36.08</v>
      </c>
      <c r="AE103" s="24">
        <v>0.22781000000000001</v>
      </c>
    </row>
    <row r="104" spans="1:31" x14ac:dyDescent="0.35">
      <c r="A104" t="s">
        <v>237</v>
      </c>
      <c r="B104" t="s">
        <v>238</v>
      </c>
      <c r="C104">
        <v>78</v>
      </c>
      <c r="D104" t="s">
        <v>145</v>
      </c>
      <c r="E104" t="s">
        <v>406</v>
      </c>
      <c r="F104" t="s">
        <v>239</v>
      </c>
      <c r="G104" t="s">
        <v>215</v>
      </c>
      <c r="H104">
        <v>11</v>
      </c>
      <c r="I104" s="25">
        <v>0.45455000000000001</v>
      </c>
      <c r="J104" s="25">
        <v>0.90908999999999995</v>
      </c>
      <c r="K104" s="24">
        <v>3.8010000000000002E-2</v>
      </c>
      <c r="L104" s="24">
        <v>8.8039999999999993E-2</v>
      </c>
      <c r="M104" s="25">
        <v>0.18182000000000001</v>
      </c>
      <c r="N104" s="25">
        <v>0.66666999999999998</v>
      </c>
      <c r="O104" s="24">
        <v>4.1259999999999998E-2</v>
      </c>
      <c r="P104" s="25">
        <v>0</v>
      </c>
      <c r="Q104" s="25">
        <v>9.0910000000000005E-2</v>
      </c>
      <c r="R104" s="25">
        <v>0.27272999999999997</v>
      </c>
      <c r="S104" s="25">
        <v>0.45455000000000001</v>
      </c>
      <c r="T104" s="24">
        <v>0.13333</v>
      </c>
      <c r="U104" s="24">
        <v>0.16667000000000001</v>
      </c>
      <c r="V104" s="24">
        <v>0.14285999999999999</v>
      </c>
      <c r="X104" s="24">
        <v>0.16667000000000001</v>
      </c>
      <c r="AA104" s="25">
        <v>5.2999999999999999E-2</v>
      </c>
      <c r="AC104" s="25">
        <v>115.05</v>
      </c>
      <c r="AD104" s="25">
        <f>AB104-AC104</f>
        <v>-115.05</v>
      </c>
      <c r="AE104" s="24">
        <v>0.11075</v>
      </c>
    </row>
    <row r="105" spans="1:31" x14ac:dyDescent="0.35">
      <c r="A105" t="s">
        <v>320</v>
      </c>
      <c r="B105" t="s">
        <v>321</v>
      </c>
      <c r="C105">
        <v>75</v>
      </c>
      <c r="D105" t="s">
        <v>145</v>
      </c>
      <c r="E105" t="s">
        <v>406</v>
      </c>
      <c r="F105" t="s">
        <v>333</v>
      </c>
      <c r="G105" t="s">
        <v>305</v>
      </c>
      <c r="H105" s="26">
        <v>28</v>
      </c>
      <c r="I105" s="25">
        <v>7.8214300000000003</v>
      </c>
      <c r="J105" s="25">
        <v>2.5</v>
      </c>
      <c r="K105" s="24">
        <v>1.2869999999999999E-2</v>
      </c>
      <c r="L105" s="24">
        <v>9.2869999999999994E-2</v>
      </c>
      <c r="M105" s="27">
        <v>3.1785700000000001</v>
      </c>
      <c r="N105" s="25">
        <v>1.9777800000000001</v>
      </c>
      <c r="O105" s="24">
        <v>0.20362</v>
      </c>
      <c r="P105" s="27">
        <v>1</v>
      </c>
      <c r="Q105" s="25">
        <v>0.10714</v>
      </c>
      <c r="R105" s="25">
        <v>1.60714</v>
      </c>
      <c r="S105" s="27">
        <v>1.14286</v>
      </c>
      <c r="T105" s="24">
        <v>0.49697000000000002</v>
      </c>
      <c r="U105" s="28">
        <v>0.54242000000000001</v>
      </c>
      <c r="V105" s="24">
        <v>0.30612</v>
      </c>
      <c r="W105" s="24">
        <v>0.67796999999999996</v>
      </c>
      <c r="X105" s="28">
        <v>0.57330000000000003</v>
      </c>
      <c r="Y105" s="25">
        <v>1.2729999999999999</v>
      </c>
      <c r="Z105" s="25">
        <v>0.78869999999999996</v>
      </c>
      <c r="AA105" s="25">
        <v>0.48430000000000001</v>
      </c>
      <c r="AB105" s="25">
        <v>108.16</v>
      </c>
      <c r="AC105" s="25">
        <v>115.07</v>
      </c>
      <c r="AD105" s="25">
        <f>AB105-AC105</f>
        <v>-6.9099999999999966</v>
      </c>
      <c r="AE105" s="24">
        <v>0.16184999999999999</v>
      </c>
    </row>
    <row r="106" spans="1:31" x14ac:dyDescent="0.35">
      <c r="A106" t="s">
        <v>23</v>
      </c>
      <c r="B106" t="s">
        <v>134</v>
      </c>
      <c r="C106">
        <v>77</v>
      </c>
      <c r="D106" t="s">
        <v>145</v>
      </c>
      <c r="E106" t="s">
        <v>406</v>
      </c>
      <c r="F106" t="s">
        <v>126</v>
      </c>
      <c r="G106" t="s">
        <v>112</v>
      </c>
      <c r="H106">
        <v>24</v>
      </c>
      <c r="I106" s="25">
        <v>2.2083300000000001</v>
      </c>
      <c r="J106" s="25">
        <v>0.58333000000000002</v>
      </c>
      <c r="K106" s="24">
        <v>1.345E-2</v>
      </c>
      <c r="L106" s="24">
        <v>7.7479999999999993E-2</v>
      </c>
      <c r="M106" s="25">
        <v>0.375</v>
      </c>
      <c r="N106" s="25">
        <v>1.2857099999999999</v>
      </c>
      <c r="O106" s="24">
        <v>0.10259</v>
      </c>
      <c r="P106" s="25">
        <v>8.3330000000000001E-2</v>
      </c>
      <c r="Q106" s="25">
        <v>0</v>
      </c>
      <c r="R106" s="27">
        <v>0.29166999999999998</v>
      </c>
      <c r="S106" s="25">
        <v>0.45833000000000002</v>
      </c>
      <c r="T106" s="24">
        <v>0.5</v>
      </c>
      <c r="U106" s="24">
        <v>0.61765000000000003</v>
      </c>
      <c r="V106" s="24">
        <v>0.36364000000000002</v>
      </c>
      <c r="W106" s="24">
        <v>0.84614999999999996</v>
      </c>
      <c r="X106" s="24">
        <v>0.66751000000000005</v>
      </c>
      <c r="Y106" s="25">
        <v>0.40610000000000002</v>
      </c>
      <c r="Z106" s="25">
        <v>0.29270000000000002</v>
      </c>
      <c r="AA106" s="25">
        <v>0.1134</v>
      </c>
      <c r="AB106" s="27">
        <v>121.11</v>
      </c>
      <c r="AC106" s="25">
        <v>115.34</v>
      </c>
      <c r="AD106" s="27">
        <f>AB106-AC106</f>
        <v>5.769999999999996</v>
      </c>
      <c r="AE106" s="24">
        <v>0.13936999999999999</v>
      </c>
    </row>
    <row r="107" spans="1:31" x14ac:dyDescent="0.35">
      <c r="A107" t="s">
        <v>254</v>
      </c>
      <c r="B107" t="s">
        <v>255</v>
      </c>
      <c r="C107">
        <v>76</v>
      </c>
      <c r="D107" t="s">
        <v>145</v>
      </c>
      <c r="E107" t="s">
        <v>405</v>
      </c>
      <c r="F107" t="s">
        <v>272</v>
      </c>
      <c r="G107" t="s">
        <v>267</v>
      </c>
      <c r="H107" s="26">
        <v>27</v>
      </c>
      <c r="I107" s="25">
        <v>2.11111</v>
      </c>
      <c r="J107" s="25">
        <v>0.92593000000000003</v>
      </c>
      <c r="K107" s="24">
        <v>3.5680000000000003E-2</v>
      </c>
      <c r="L107" s="24">
        <v>0.10043000000000001</v>
      </c>
      <c r="M107" s="25">
        <v>0.40740999999999999</v>
      </c>
      <c r="N107" s="25">
        <v>2.2000000000000002</v>
      </c>
      <c r="O107" s="24">
        <v>9.4310000000000005E-2</v>
      </c>
      <c r="P107" s="25">
        <v>0.14815</v>
      </c>
      <c r="Q107" s="25">
        <v>3.7039999999999997E-2</v>
      </c>
      <c r="R107" s="27">
        <v>0.18518999999999999</v>
      </c>
      <c r="S107" s="25">
        <v>0.74073999999999995</v>
      </c>
      <c r="T107" s="24">
        <v>0.39216000000000001</v>
      </c>
      <c r="U107" s="28">
        <v>0.55881999999999998</v>
      </c>
      <c r="V107" s="28">
        <v>0.36957000000000001</v>
      </c>
      <c r="X107" s="28">
        <v>0.55881999999999998</v>
      </c>
      <c r="AA107" s="25">
        <v>0.12790000000000001</v>
      </c>
      <c r="AC107" s="25">
        <v>115.43</v>
      </c>
      <c r="AD107" s="25">
        <f>AB107-AC107</f>
        <v>-115.43</v>
      </c>
      <c r="AE107" s="24">
        <v>0.13688</v>
      </c>
    </row>
    <row r="108" spans="1:31" x14ac:dyDescent="0.35">
      <c r="A108" t="s">
        <v>260</v>
      </c>
      <c r="B108" t="s">
        <v>261</v>
      </c>
      <c r="C108">
        <v>78</v>
      </c>
      <c r="D108" t="s">
        <v>145</v>
      </c>
      <c r="E108" t="s">
        <v>405</v>
      </c>
      <c r="F108" t="s">
        <v>271</v>
      </c>
      <c r="G108" t="s">
        <v>267</v>
      </c>
      <c r="H108">
        <v>10</v>
      </c>
      <c r="I108" s="25">
        <v>0.5</v>
      </c>
      <c r="J108" s="25">
        <v>0.4</v>
      </c>
      <c r="K108" s="24">
        <v>4.2950000000000002E-2</v>
      </c>
      <c r="L108" s="24">
        <v>0.12540999999999999</v>
      </c>
      <c r="M108" s="25">
        <v>0</v>
      </c>
      <c r="N108" s="25">
        <v>0</v>
      </c>
      <c r="O108" s="24">
        <v>0</v>
      </c>
      <c r="P108" s="25">
        <v>0</v>
      </c>
      <c r="Q108" s="25">
        <v>0</v>
      </c>
      <c r="R108" s="25">
        <v>0.3</v>
      </c>
      <c r="S108" s="25">
        <v>0.1</v>
      </c>
      <c r="T108" s="24">
        <v>0.18182000000000001</v>
      </c>
      <c r="U108" s="24">
        <v>0.22727</v>
      </c>
      <c r="V108" s="24">
        <v>0.2</v>
      </c>
      <c r="X108" s="24">
        <v>0.22727</v>
      </c>
      <c r="AA108" s="25">
        <v>1.66E-2</v>
      </c>
      <c r="AC108" s="25">
        <v>115.63</v>
      </c>
      <c r="AD108" s="25">
        <f>AB108-AC108</f>
        <v>-115.63</v>
      </c>
      <c r="AE108" s="24">
        <v>0.26823999999999998</v>
      </c>
    </row>
    <row r="109" spans="1:31" x14ac:dyDescent="0.35">
      <c r="A109" t="s">
        <v>22</v>
      </c>
      <c r="B109" t="s">
        <v>385</v>
      </c>
      <c r="C109">
        <v>77</v>
      </c>
      <c r="D109" t="s">
        <v>145</v>
      </c>
      <c r="E109" t="s">
        <v>406</v>
      </c>
      <c r="F109" t="s">
        <v>395</v>
      </c>
      <c r="G109" t="s">
        <v>357</v>
      </c>
      <c r="H109" s="26">
        <v>29</v>
      </c>
      <c r="I109" s="25">
        <v>5.0689700000000002</v>
      </c>
      <c r="J109" s="25">
        <v>1.8620699999999999</v>
      </c>
      <c r="K109" s="24">
        <v>1.102E-2</v>
      </c>
      <c r="L109" s="24">
        <v>0.11</v>
      </c>
      <c r="M109" s="25">
        <v>1.62069</v>
      </c>
      <c r="N109" s="25">
        <v>1.51613</v>
      </c>
      <c r="O109" s="24">
        <v>0.11173</v>
      </c>
      <c r="P109" s="25">
        <v>0.44828000000000001</v>
      </c>
      <c r="Q109" s="25">
        <v>0.27585999999999999</v>
      </c>
      <c r="R109" s="25">
        <v>1.06897</v>
      </c>
      <c r="S109" s="27">
        <v>1.2413799999999999</v>
      </c>
      <c r="T109" s="24">
        <v>0.3931</v>
      </c>
      <c r="U109" s="24">
        <v>0.48620999999999998</v>
      </c>
      <c r="V109" s="24">
        <v>0.32927000000000001</v>
      </c>
      <c r="W109" s="24">
        <v>0.42857000000000001</v>
      </c>
      <c r="X109" s="24">
        <v>0.48610999999999999</v>
      </c>
      <c r="Y109" s="25">
        <v>0.40639999999999998</v>
      </c>
      <c r="Z109" s="25">
        <v>-6.3700000000000007E-2</v>
      </c>
      <c r="AA109" s="25">
        <v>0.47010000000000002</v>
      </c>
      <c r="AB109" s="25">
        <v>93.53</v>
      </c>
      <c r="AC109" s="25">
        <v>115.7</v>
      </c>
      <c r="AD109" s="25">
        <f>AB109-AC109</f>
        <v>-22.17</v>
      </c>
      <c r="AE109" s="24">
        <v>0.12520000000000001</v>
      </c>
    </row>
    <row r="110" spans="1:31" x14ac:dyDescent="0.35">
      <c r="A110" t="s">
        <v>106</v>
      </c>
      <c r="B110" t="s">
        <v>109</v>
      </c>
      <c r="C110">
        <v>76</v>
      </c>
      <c r="D110" t="s">
        <v>145</v>
      </c>
      <c r="E110" t="s">
        <v>405</v>
      </c>
      <c r="F110" t="s">
        <v>127</v>
      </c>
      <c r="G110" t="s">
        <v>112</v>
      </c>
      <c r="H110" s="26">
        <v>32</v>
      </c>
      <c r="I110" s="25">
        <v>5.875</v>
      </c>
      <c r="J110" s="25">
        <v>2.09375</v>
      </c>
      <c r="K110" s="24">
        <v>1.125E-2</v>
      </c>
      <c r="L110" s="24">
        <v>7.2639999999999996E-2</v>
      </c>
      <c r="M110" s="25">
        <v>1.3125</v>
      </c>
      <c r="N110" s="25">
        <v>1.4</v>
      </c>
      <c r="O110" s="24">
        <v>9.2020000000000005E-2</v>
      </c>
      <c r="P110" s="27">
        <v>1.46875</v>
      </c>
      <c r="Q110" s="25">
        <v>0.4375</v>
      </c>
      <c r="R110" s="27">
        <v>0.9375</v>
      </c>
      <c r="S110" s="27">
        <v>1.4375</v>
      </c>
      <c r="T110" s="24">
        <v>0.34392</v>
      </c>
      <c r="U110" s="24">
        <v>0.46032000000000001</v>
      </c>
      <c r="V110" s="24">
        <v>0.33333000000000002</v>
      </c>
      <c r="W110" s="24">
        <v>0.60870000000000002</v>
      </c>
      <c r="X110" s="24">
        <v>0.47211999999999998</v>
      </c>
      <c r="Y110" s="25">
        <v>0.38769999999999999</v>
      </c>
      <c r="Z110" s="25">
        <v>-0.152</v>
      </c>
      <c r="AA110" s="25">
        <v>0.53979999999999995</v>
      </c>
      <c r="AB110" s="25">
        <v>92.04</v>
      </c>
      <c r="AC110" s="25">
        <v>115.76</v>
      </c>
      <c r="AD110" s="25">
        <f>AB110-AC110</f>
        <v>-23.72</v>
      </c>
      <c r="AE110" s="24">
        <v>0.12515999999999999</v>
      </c>
    </row>
    <row r="111" spans="1:31" x14ac:dyDescent="0.35">
      <c r="A111" t="s">
        <v>108</v>
      </c>
      <c r="B111" t="s">
        <v>107</v>
      </c>
      <c r="C111">
        <v>76</v>
      </c>
      <c r="D111" t="s">
        <v>145</v>
      </c>
      <c r="E111" t="s">
        <v>405</v>
      </c>
      <c r="F111" t="s">
        <v>126</v>
      </c>
      <c r="G111" t="s">
        <v>112</v>
      </c>
      <c r="H111" s="26">
        <v>30</v>
      </c>
      <c r="I111" s="25">
        <v>9.1333300000000008</v>
      </c>
      <c r="J111" s="25">
        <v>2.4</v>
      </c>
      <c r="K111" s="24">
        <v>2.019E-2</v>
      </c>
      <c r="L111" s="24">
        <v>6.8409999999999999E-2</v>
      </c>
      <c r="M111" s="25">
        <v>1.56667</v>
      </c>
      <c r="N111" s="25">
        <v>1.80769</v>
      </c>
      <c r="O111" s="24">
        <v>0.10038999999999999</v>
      </c>
      <c r="P111" s="25">
        <v>0.26667000000000002</v>
      </c>
      <c r="Q111" s="25">
        <v>6.6669999999999993E-2</v>
      </c>
      <c r="R111" s="27">
        <v>0.86667000000000005</v>
      </c>
      <c r="S111" s="25">
        <v>2.0333299999999999</v>
      </c>
      <c r="T111" s="24">
        <v>0.43859999999999999</v>
      </c>
      <c r="U111" s="28">
        <v>0.55481999999999998</v>
      </c>
      <c r="V111" s="28">
        <v>0.36301</v>
      </c>
      <c r="W111" s="24">
        <v>0.72414000000000001</v>
      </c>
      <c r="X111" s="28">
        <v>0.56894</v>
      </c>
      <c r="Y111" s="25">
        <v>1.6573</v>
      </c>
      <c r="Z111" s="25">
        <v>1.1095999999999999</v>
      </c>
      <c r="AA111" s="25">
        <v>0.54769999999999996</v>
      </c>
      <c r="AB111" s="27">
        <v>112.62</v>
      </c>
      <c r="AC111" s="25">
        <v>115.89</v>
      </c>
      <c r="AD111" s="25">
        <f>AB111-AC111</f>
        <v>-3.269999999999996</v>
      </c>
      <c r="AE111" s="24">
        <v>0.14896999999999999</v>
      </c>
    </row>
    <row r="112" spans="1:31" x14ac:dyDescent="0.35">
      <c r="A112" t="s">
        <v>408</v>
      </c>
      <c r="B112" t="s">
        <v>409</v>
      </c>
      <c r="C112">
        <v>75</v>
      </c>
      <c r="D112" t="s">
        <v>145</v>
      </c>
      <c r="E112" t="s">
        <v>406</v>
      </c>
      <c r="F112" t="s">
        <v>273</v>
      </c>
      <c r="G112" t="s">
        <v>267</v>
      </c>
      <c r="H112">
        <v>24</v>
      </c>
      <c r="I112" s="25">
        <v>6.5833300000000001</v>
      </c>
      <c r="J112" s="25">
        <v>1.7083299999999999</v>
      </c>
      <c r="K112" s="24">
        <v>1.1440000000000001E-2</v>
      </c>
      <c r="L112" s="24">
        <v>0.10271</v>
      </c>
      <c r="M112" s="25">
        <v>0.58333000000000002</v>
      </c>
      <c r="N112" s="25">
        <v>1.2727299999999999</v>
      </c>
      <c r="O112" s="24">
        <v>6.4030000000000004E-2</v>
      </c>
      <c r="P112" s="25">
        <v>0.25</v>
      </c>
      <c r="Q112" s="25">
        <v>0</v>
      </c>
      <c r="R112" s="27">
        <v>0.45833000000000002</v>
      </c>
      <c r="S112" s="25">
        <v>0.70833000000000002</v>
      </c>
      <c r="T112" s="24">
        <v>0.41860000000000003</v>
      </c>
      <c r="U112" s="24">
        <v>0.56589</v>
      </c>
      <c r="V112" s="24">
        <v>0.40860000000000002</v>
      </c>
      <c r="W112" s="24">
        <v>0.8</v>
      </c>
      <c r="X112" s="24">
        <v>0.58260000000000001</v>
      </c>
      <c r="Y112" s="25">
        <v>0.877</v>
      </c>
      <c r="Z112" s="25">
        <v>0.64849999999999997</v>
      </c>
      <c r="AA112" s="25">
        <v>0.22839999999999999</v>
      </c>
      <c r="AB112" s="27">
        <v>114.02</v>
      </c>
      <c r="AC112" s="25">
        <v>116.32</v>
      </c>
      <c r="AD112" s="25">
        <f>AB112-AC112</f>
        <v>-2.2999999999999972</v>
      </c>
      <c r="AE112" s="24">
        <v>0.18278</v>
      </c>
    </row>
    <row r="113" spans="1:31" x14ac:dyDescent="0.35">
      <c r="A113" t="s">
        <v>262</v>
      </c>
      <c r="B113" t="s">
        <v>263</v>
      </c>
      <c r="C113">
        <v>78</v>
      </c>
      <c r="D113" t="s">
        <v>146</v>
      </c>
      <c r="E113" t="s">
        <v>405</v>
      </c>
      <c r="F113" t="s">
        <v>273</v>
      </c>
      <c r="G113" t="s">
        <v>267</v>
      </c>
      <c r="H113">
        <v>21</v>
      </c>
      <c r="I113" s="25">
        <v>5.2857099999999999</v>
      </c>
      <c r="J113" s="25">
        <v>2.4761899999999999</v>
      </c>
      <c r="K113" s="24">
        <v>4.734E-2</v>
      </c>
      <c r="L113" s="24">
        <v>8.6690000000000003E-2</v>
      </c>
      <c r="M113" s="25">
        <v>0.57142999999999999</v>
      </c>
      <c r="N113" s="25">
        <v>0.92308000000000001</v>
      </c>
      <c r="O113" s="24">
        <v>4.7480000000000001E-2</v>
      </c>
      <c r="P113" s="25">
        <v>0.19048000000000001</v>
      </c>
      <c r="Q113" s="25">
        <v>0.19048000000000001</v>
      </c>
      <c r="R113" s="27">
        <v>0.61904999999999999</v>
      </c>
      <c r="S113" s="25">
        <v>1.7619</v>
      </c>
      <c r="T113" s="24">
        <v>0.41935</v>
      </c>
      <c r="U113" s="24">
        <v>0.55913999999999997</v>
      </c>
      <c r="V113" s="24">
        <v>0.41270000000000001</v>
      </c>
      <c r="W113" s="24">
        <v>0.53846000000000005</v>
      </c>
      <c r="X113" s="24">
        <v>0.56230999999999998</v>
      </c>
      <c r="Y113" s="25">
        <v>0.6593</v>
      </c>
      <c r="Z113" s="25">
        <v>0.43070000000000003</v>
      </c>
      <c r="AA113" s="25">
        <v>0.22850000000000001</v>
      </c>
      <c r="AB113" s="27">
        <v>110.54</v>
      </c>
      <c r="AC113" s="25">
        <v>116.79</v>
      </c>
      <c r="AD113" s="25">
        <f>AB113-AC113</f>
        <v>-6.25</v>
      </c>
      <c r="AE113" s="24">
        <v>0.12934000000000001</v>
      </c>
    </row>
    <row r="114" spans="1:31" x14ac:dyDescent="0.35">
      <c r="A114" t="s">
        <v>179</v>
      </c>
      <c r="B114" t="s">
        <v>180</v>
      </c>
      <c r="C114">
        <v>77</v>
      </c>
      <c r="D114" t="s">
        <v>145</v>
      </c>
      <c r="E114" t="s">
        <v>406</v>
      </c>
      <c r="F114" t="s">
        <v>188</v>
      </c>
      <c r="G114" t="s">
        <v>168</v>
      </c>
      <c r="H114">
        <v>6</v>
      </c>
      <c r="I114" s="25">
        <v>7.5</v>
      </c>
      <c r="J114" s="25">
        <v>3.1666699999999999</v>
      </c>
      <c r="K114" s="24">
        <v>3.0159999999999999E-2</v>
      </c>
      <c r="L114" s="24">
        <v>0.14580000000000001</v>
      </c>
      <c r="M114" s="25">
        <v>1.5</v>
      </c>
      <c r="N114" s="25">
        <v>1.2857099999999999</v>
      </c>
      <c r="O114" s="24">
        <v>0.13494999999999999</v>
      </c>
      <c r="P114" s="25">
        <v>0.66666999999999998</v>
      </c>
      <c r="Q114" s="25">
        <v>0</v>
      </c>
      <c r="R114" s="25">
        <v>1.1666700000000001</v>
      </c>
      <c r="S114" s="25">
        <v>1.3333299999999999</v>
      </c>
      <c r="T114" s="24">
        <v>0.32557999999999998</v>
      </c>
      <c r="U114" s="24">
        <v>0.39534999999999998</v>
      </c>
      <c r="V114" s="24">
        <v>0.35293999999999998</v>
      </c>
      <c r="W114" s="24">
        <v>0.73333000000000004</v>
      </c>
      <c r="X114" s="24">
        <v>0.45362999999999998</v>
      </c>
      <c r="Y114" s="25">
        <v>3.3700000000000001E-2</v>
      </c>
      <c r="Z114" s="25">
        <v>-1.7000000000000001E-2</v>
      </c>
      <c r="AA114" s="25">
        <v>5.0799999999999998E-2</v>
      </c>
      <c r="AB114" s="25">
        <v>93.56</v>
      </c>
      <c r="AC114" s="25">
        <v>117.43</v>
      </c>
      <c r="AD114" s="25">
        <f>AB114-AC114</f>
        <v>-23.870000000000005</v>
      </c>
      <c r="AE114" s="24">
        <v>0.21412999999999999</v>
      </c>
    </row>
    <row r="115" spans="1:31" x14ac:dyDescent="0.35">
      <c r="A115" t="s">
        <v>302</v>
      </c>
      <c r="B115" t="s">
        <v>164</v>
      </c>
      <c r="C115">
        <v>78</v>
      </c>
      <c r="D115" t="s">
        <v>146</v>
      </c>
      <c r="E115" t="s">
        <v>406</v>
      </c>
      <c r="F115" t="s">
        <v>273</v>
      </c>
      <c r="G115" t="s">
        <v>267</v>
      </c>
      <c r="H115">
        <v>18</v>
      </c>
      <c r="I115" s="25">
        <v>5.38889</v>
      </c>
      <c r="J115" s="25">
        <v>2.0555599999999998</v>
      </c>
      <c r="K115" s="24">
        <v>3.8350000000000002E-2</v>
      </c>
      <c r="L115" s="24">
        <v>8.7249999999999994E-2</v>
      </c>
      <c r="M115" s="25">
        <v>0.61111000000000004</v>
      </c>
      <c r="N115" s="25">
        <v>1.1000000000000001</v>
      </c>
      <c r="O115" s="24">
        <v>5.8500000000000003E-2</v>
      </c>
      <c r="P115" s="25">
        <v>0.16667000000000001</v>
      </c>
      <c r="Q115" s="25">
        <v>0</v>
      </c>
      <c r="R115" s="25">
        <v>0.55556000000000005</v>
      </c>
      <c r="S115" s="25">
        <v>0.72221999999999997</v>
      </c>
      <c r="T115" s="24">
        <v>0.41053000000000001</v>
      </c>
      <c r="U115" s="24">
        <v>0.45789000000000002</v>
      </c>
      <c r="V115" s="24">
        <v>0.31034</v>
      </c>
      <c r="W115" s="24">
        <v>0.55556000000000005</v>
      </c>
      <c r="X115" s="24">
        <v>0.47133000000000003</v>
      </c>
      <c r="Y115" s="25">
        <v>0.2135</v>
      </c>
      <c r="Z115" s="25">
        <v>6.6799999999999998E-2</v>
      </c>
      <c r="AA115" s="25">
        <v>0.1467</v>
      </c>
      <c r="AB115" s="25">
        <v>97.34</v>
      </c>
      <c r="AC115" s="25">
        <v>117.48</v>
      </c>
      <c r="AD115" s="25">
        <f>AB115-AC115</f>
        <v>-20.14</v>
      </c>
      <c r="AE115" s="24">
        <v>0.17155999999999999</v>
      </c>
    </row>
    <row r="116" spans="1:31" x14ac:dyDescent="0.35">
      <c r="A116" t="s">
        <v>204</v>
      </c>
      <c r="B116" t="s">
        <v>205</v>
      </c>
      <c r="C116">
        <v>75</v>
      </c>
      <c r="D116" t="s">
        <v>145</v>
      </c>
      <c r="E116" t="s">
        <v>406</v>
      </c>
      <c r="F116" t="s">
        <v>214</v>
      </c>
      <c r="G116" t="s">
        <v>196</v>
      </c>
      <c r="H116">
        <v>8</v>
      </c>
      <c r="I116" s="25">
        <v>1.25</v>
      </c>
      <c r="J116" s="25">
        <v>0.875</v>
      </c>
      <c r="K116" s="24">
        <v>5.6030000000000003E-2</v>
      </c>
      <c r="L116" s="24">
        <v>8.8039999999999993E-2</v>
      </c>
      <c r="M116" s="25">
        <v>0.125</v>
      </c>
      <c r="N116" s="25">
        <v>0.14285999999999999</v>
      </c>
      <c r="O116" s="24">
        <v>3.2719999999999999E-2</v>
      </c>
      <c r="P116" s="25">
        <v>0.125</v>
      </c>
      <c r="Q116" s="25">
        <v>0</v>
      </c>
      <c r="R116" s="25">
        <v>0.875</v>
      </c>
      <c r="S116" s="25">
        <v>1.125</v>
      </c>
      <c r="T116" s="24">
        <v>0.27272999999999997</v>
      </c>
      <c r="U116" s="24">
        <v>0.27272999999999997</v>
      </c>
      <c r="V116" s="24">
        <v>0</v>
      </c>
      <c r="W116" s="24">
        <v>0.66666999999999998</v>
      </c>
      <c r="X116" s="24">
        <v>0.36764999999999998</v>
      </c>
      <c r="Y116" s="25">
        <v>-0.15709999999999999</v>
      </c>
      <c r="Z116" s="25">
        <v>-0.18179999999999999</v>
      </c>
      <c r="AA116" s="25">
        <v>2.47E-2</v>
      </c>
      <c r="AB116" s="25">
        <v>58.4</v>
      </c>
      <c r="AC116" s="25">
        <v>117.52</v>
      </c>
      <c r="AD116" s="25">
        <f>AB116-AC116</f>
        <v>-59.12</v>
      </c>
      <c r="AE116" s="24">
        <v>0.16841999999999999</v>
      </c>
    </row>
    <row r="117" spans="1:31" x14ac:dyDescent="0.35">
      <c r="A117" t="s">
        <v>327</v>
      </c>
      <c r="B117" t="s">
        <v>328</v>
      </c>
      <c r="C117">
        <v>77</v>
      </c>
      <c r="D117" t="s">
        <v>145</v>
      </c>
      <c r="E117" t="s">
        <v>406</v>
      </c>
      <c r="F117" t="s">
        <v>333</v>
      </c>
      <c r="G117" t="s">
        <v>305</v>
      </c>
      <c r="H117">
        <v>10</v>
      </c>
      <c r="I117" s="25">
        <v>2</v>
      </c>
      <c r="J117" s="25">
        <v>0.7</v>
      </c>
      <c r="K117" s="24">
        <v>1.2619999999999999E-2</v>
      </c>
      <c r="L117" s="24">
        <v>7.3599999999999999E-2</v>
      </c>
      <c r="M117" s="25">
        <v>0.5</v>
      </c>
      <c r="N117" s="25">
        <v>2.5</v>
      </c>
      <c r="O117" s="24">
        <v>8.9609999999999995E-2</v>
      </c>
      <c r="P117" s="25">
        <v>0.1</v>
      </c>
      <c r="Q117" s="25">
        <v>0.2</v>
      </c>
      <c r="R117" s="25">
        <v>0.2</v>
      </c>
      <c r="S117" s="25">
        <v>1</v>
      </c>
      <c r="T117" s="24">
        <v>0.45455000000000001</v>
      </c>
      <c r="U117" s="24">
        <v>0.54544999999999999</v>
      </c>
      <c r="V117" s="24">
        <v>0.4</v>
      </c>
      <c r="W117" s="24">
        <v>1</v>
      </c>
      <c r="X117" s="24">
        <v>0.68966000000000005</v>
      </c>
      <c r="Y117" s="25">
        <v>0.20250000000000001</v>
      </c>
      <c r="Z117" s="25">
        <v>0.1668</v>
      </c>
      <c r="AA117" s="25">
        <v>3.5700000000000003E-2</v>
      </c>
      <c r="AB117" s="27">
        <v>135.99</v>
      </c>
      <c r="AC117" s="25">
        <v>117.77</v>
      </c>
      <c r="AD117" s="25">
        <f>AB117-AC117</f>
        <v>18.220000000000013</v>
      </c>
      <c r="AE117" s="24">
        <v>8.9370000000000005E-2</v>
      </c>
    </row>
    <row r="118" spans="1:31" x14ac:dyDescent="0.35">
      <c r="A118" t="s">
        <v>324</v>
      </c>
      <c r="B118" t="s">
        <v>325</v>
      </c>
      <c r="C118">
        <v>76</v>
      </c>
      <c r="D118" t="s">
        <v>146</v>
      </c>
      <c r="E118" t="s">
        <v>406</v>
      </c>
      <c r="F118" t="s">
        <v>315</v>
      </c>
      <c r="G118" t="s">
        <v>305</v>
      </c>
      <c r="H118" s="26">
        <v>29</v>
      </c>
      <c r="I118" s="25">
        <v>6</v>
      </c>
      <c r="J118" s="25">
        <v>2.3103400000000001</v>
      </c>
      <c r="K118" s="24">
        <v>1.5990000000000001E-2</v>
      </c>
      <c r="L118" s="24">
        <v>7.2910000000000003E-2</v>
      </c>
      <c r="M118" s="25">
        <v>1.62069</v>
      </c>
      <c r="N118" s="25">
        <v>1.20513</v>
      </c>
      <c r="O118" s="24">
        <v>0.10367</v>
      </c>
      <c r="P118" s="25">
        <v>0.48276000000000002</v>
      </c>
      <c r="Q118" s="25">
        <v>0.13793</v>
      </c>
      <c r="R118" s="25">
        <v>1.34483</v>
      </c>
      <c r="S118" s="25">
        <v>1.9655199999999999</v>
      </c>
      <c r="T118" s="24">
        <v>0.37887999999999999</v>
      </c>
      <c r="U118" s="28">
        <v>0.52173999999999998</v>
      </c>
      <c r="V118" s="28">
        <v>0.38017000000000001</v>
      </c>
      <c r="W118" s="28">
        <v>0.75</v>
      </c>
      <c r="X118" s="28">
        <v>0.52888000000000002</v>
      </c>
      <c r="Y118" s="25">
        <v>0.41439999999999999</v>
      </c>
      <c r="Z118" s="25">
        <v>0.14360000000000001</v>
      </c>
      <c r="AA118" s="25">
        <v>0.27079999999999999</v>
      </c>
      <c r="AB118" s="25">
        <v>97.91</v>
      </c>
      <c r="AC118" s="25">
        <v>118.63</v>
      </c>
      <c r="AD118" s="25">
        <f>AB118-AC118</f>
        <v>-20.72</v>
      </c>
      <c r="AE118" s="24">
        <v>0.11940000000000001</v>
      </c>
    </row>
    <row r="119" spans="1:31" x14ac:dyDescent="0.35">
      <c r="A119" t="s">
        <v>414</v>
      </c>
      <c r="B119" t="s">
        <v>415</v>
      </c>
      <c r="C119">
        <v>78</v>
      </c>
      <c r="D119" t="s">
        <v>146</v>
      </c>
      <c r="E119" t="s">
        <v>405</v>
      </c>
      <c r="F119" t="s">
        <v>195</v>
      </c>
      <c r="G119" t="s">
        <v>196</v>
      </c>
      <c r="H119">
        <v>24</v>
      </c>
      <c r="I119" s="25">
        <v>1.3333299999999999</v>
      </c>
      <c r="J119" s="25">
        <v>1.7916700000000001</v>
      </c>
      <c r="K119" s="24">
        <v>3.7449999999999997E-2</v>
      </c>
      <c r="L119" s="24">
        <v>0.14130000000000001</v>
      </c>
      <c r="M119" s="25">
        <v>0.41666999999999998</v>
      </c>
      <c r="N119" s="25">
        <v>0.90908999999999995</v>
      </c>
      <c r="O119" s="24">
        <v>6.9449999999999998E-2</v>
      </c>
      <c r="P119" s="25">
        <v>0.375</v>
      </c>
      <c r="Q119" s="25">
        <v>4.1669999999999999E-2</v>
      </c>
      <c r="R119" s="27">
        <v>0.45833000000000002</v>
      </c>
      <c r="S119" s="27">
        <v>1.1666700000000001</v>
      </c>
      <c r="T119" s="24">
        <v>0.27660000000000001</v>
      </c>
      <c r="U119" s="24">
        <v>0.29787000000000002</v>
      </c>
      <c r="V119" s="24">
        <v>0.13333</v>
      </c>
      <c r="W119" s="24">
        <v>0.44444</v>
      </c>
      <c r="X119" s="24">
        <v>0.31373000000000001</v>
      </c>
      <c r="Y119" s="25">
        <v>-0.29060000000000002</v>
      </c>
      <c r="Z119" s="25">
        <v>-0.37780000000000002</v>
      </c>
      <c r="AA119" s="25">
        <v>8.72E-2</v>
      </c>
      <c r="AB119" s="25">
        <v>69.62</v>
      </c>
      <c r="AC119" s="25">
        <v>118.67</v>
      </c>
      <c r="AD119" s="25">
        <f>AB119-AC119</f>
        <v>-49.05</v>
      </c>
      <c r="AE119" s="24">
        <v>0.11158999999999999</v>
      </c>
    </row>
    <row r="120" spans="1:31" x14ac:dyDescent="0.35">
      <c r="A120" t="s">
        <v>190</v>
      </c>
      <c r="B120" t="s">
        <v>191</v>
      </c>
      <c r="C120">
        <v>76</v>
      </c>
      <c r="D120" t="s">
        <v>145</v>
      </c>
      <c r="E120" t="s">
        <v>405</v>
      </c>
      <c r="F120" t="s">
        <v>195</v>
      </c>
      <c r="G120" t="s">
        <v>196</v>
      </c>
      <c r="H120" s="26">
        <v>26</v>
      </c>
      <c r="I120" s="25">
        <v>5.8461499999999997</v>
      </c>
      <c r="J120" s="25">
        <v>2.19231</v>
      </c>
      <c r="K120" s="24">
        <v>2.0199999999999999E-2</v>
      </c>
      <c r="L120" s="24">
        <v>0.12358</v>
      </c>
      <c r="M120" s="25">
        <v>1.19231</v>
      </c>
      <c r="N120" s="25">
        <v>1.14815</v>
      </c>
      <c r="O120" s="24">
        <v>0.14760999999999999</v>
      </c>
      <c r="P120" s="25">
        <v>0.57691999999999999</v>
      </c>
      <c r="Q120" s="25">
        <v>3.8460000000000001E-2</v>
      </c>
      <c r="R120" s="27">
        <v>1.0384599999999999</v>
      </c>
      <c r="S120" s="25">
        <v>0.53846000000000005</v>
      </c>
      <c r="T120" s="24">
        <v>0.36110999999999999</v>
      </c>
      <c r="U120" s="24">
        <v>0.47916999999999998</v>
      </c>
      <c r="V120" s="24">
        <v>0.30908999999999998</v>
      </c>
      <c r="W120" s="24">
        <v>0.7</v>
      </c>
      <c r="X120" s="24">
        <v>0.49737999999999999</v>
      </c>
      <c r="Y120" s="25">
        <v>0.1525</v>
      </c>
      <c r="Z120" s="25">
        <v>5.67E-2</v>
      </c>
      <c r="AA120" s="25">
        <v>9.5899999999999999E-2</v>
      </c>
      <c r="AB120" s="25">
        <v>96.25</v>
      </c>
      <c r="AC120" s="25">
        <v>119.81</v>
      </c>
      <c r="AD120" s="25">
        <f>AB120-AC120</f>
        <v>-23.560000000000002</v>
      </c>
      <c r="AE120" s="24">
        <v>0.19449</v>
      </c>
    </row>
    <row r="121" spans="1:31" x14ac:dyDescent="0.35">
      <c r="A121" t="s">
        <v>123</v>
      </c>
      <c r="B121" t="s">
        <v>124</v>
      </c>
      <c r="C121">
        <v>78</v>
      </c>
      <c r="D121" t="s">
        <v>145</v>
      </c>
      <c r="E121" t="s">
        <v>405</v>
      </c>
      <c r="F121" t="s">
        <v>131</v>
      </c>
      <c r="G121" t="s">
        <v>112</v>
      </c>
      <c r="H121">
        <v>11</v>
      </c>
      <c r="I121" s="25">
        <v>8.0909099999999992</v>
      </c>
      <c r="J121" s="25">
        <v>1.63636</v>
      </c>
      <c r="K121" s="24">
        <v>1.391E-2</v>
      </c>
      <c r="L121" s="24">
        <v>7.1919999999999998E-2</v>
      </c>
      <c r="M121" s="25">
        <v>0.63636000000000004</v>
      </c>
      <c r="N121" s="25">
        <v>0.63636000000000004</v>
      </c>
      <c r="O121" s="24">
        <v>5.4100000000000002E-2</v>
      </c>
      <c r="P121" s="25">
        <v>0.81818000000000002</v>
      </c>
      <c r="Q121" s="25">
        <v>0.18182000000000001</v>
      </c>
      <c r="R121" s="25">
        <v>1</v>
      </c>
      <c r="S121" s="25">
        <v>1.1818200000000001</v>
      </c>
      <c r="T121" s="24">
        <v>0.54544999999999999</v>
      </c>
      <c r="U121" s="24">
        <v>0.69091000000000002</v>
      </c>
      <c r="V121" s="24">
        <v>0.51612999999999998</v>
      </c>
      <c r="W121" s="24">
        <v>0.92857000000000001</v>
      </c>
      <c r="X121" s="24">
        <v>0.72711999999999999</v>
      </c>
      <c r="Y121" s="25">
        <v>0.5171</v>
      </c>
      <c r="Z121" s="25">
        <v>0.47439999999999999</v>
      </c>
      <c r="AA121" s="25">
        <v>4.2700000000000002E-2</v>
      </c>
      <c r="AB121" s="27">
        <v>124.55</v>
      </c>
      <c r="AC121" s="25">
        <v>120.25</v>
      </c>
      <c r="AD121" s="25">
        <f>AB121-AC121</f>
        <v>4.2999999999999972</v>
      </c>
      <c r="AE121" s="24">
        <v>0.14351</v>
      </c>
    </row>
    <row r="122" spans="1:31" x14ac:dyDescent="0.35">
      <c r="A122" t="s">
        <v>162</v>
      </c>
      <c r="B122" t="s">
        <v>163</v>
      </c>
      <c r="C122">
        <v>76</v>
      </c>
      <c r="D122" t="s">
        <v>145</v>
      </c>
      <c r="E122" t="s">
        <v>405</v>
      </c>
      <c r="F122" t="s">
        <v>171</v>
      </c>
      <c r="G122" t="s">
        <v>168</v>
      </c>
      <c r="H122" s="26">
        <v>26</v>
      </c>
      <c r="I122" s="25">
        <v>5.7307699999999997</v>
      </c>
      <c r="J122" s="25">
        <v>2.61538</v>
      </c>
      <c r="K122" s="24">
        <v>2.5309999999999999E-2</v>
      </c>
      <c r="L122" s="24">
        <v>0.15223</v>
      </c>
      <c r="M122" s="25">
        <v>1.4615400000000001</v>
      </c>
      <c r="N122" s="25">
        <v>0.80850999999999995</v>
      </c>
      <c r="O122" s="24">
        <v>0.16627</v>
      </c>
      <c r="P122" s="25">
        <v>0.26923000000000002</v>
      </c>
      <c r="Q122" s="25">
        <v>3.8460000000000001E-2</v>
      </c>
      <c r="R122" s="25">
        <v>1.80769</v>
      </c>
      <c r="S122" s="25">
        <v>1.69231</v>
      </c>
      <c r="T122" s="24">
        <v>0.38889000000000001</v>
      </c>
      <c r="U122" s="24">
        <v>0.45238</v>
      </c>
      <c r="V122" s="24">
        <v>0.28571000000000002</v>
      </c>
      <c r="W122" s="24">
        <v>0.64815</v>
      </c>
      <c r="X122" s="24">
        <v>0.49732999999999999</v>
      </c>
      <c r="Y122" s="25">
        <v>-0.32090000000000002</v>
      </c>
      <c r="Z122" s="25">
        <v>-0.35349999999999998</v>
      </c>
      <c r="AA122" s="25">
        <v>3.2599999999999997E-2</v>
      </c>
      <c r="AB122" s="25">
        <v>86.96</v>
      </c>
      <c r="AC122" s="25">
        <v>121.18</v>
      </c>
      <c r="AD122" s="25">
        <f>AB122-AC122</f>
        <v>-34.220000000000013</v>
      </c>
      <c r="AE122" s="24">
        <v>0.22388</v>
      </c>
    </row>
    <row r="123" spans="1:31" x14ac:dyDescent="0.35">
      <c r="A123" t="s">
        <v>403</v>
      </c>
      <c r="B123" t="s">
        <v>382</v>
      </c>
      <c r="C123">
        <v>77</v>
      </c>
      <c r="D123" t="s">
        <v>145</v>
      </c>
      <c r="E123" t="s">
        <v>406</v>
      </c>
      <c r="F123" t="s">
        <v>366</v>
      </c>
      <c r="G123" t="s">
        <v>357</v>
      </c>
      <c r="H123" s="26">
        <v>30</v>
      </c>
      <c r="I123" s="25">
        <v>6.6333299999999999</v>
      </c>
      <c r="J123" s="27">
        <v>4.9666699999999997</v>
      </c>
      <c r="K123" s="24">
        <v>5.4429999999999999E-2</v>
      </c>
      <c r="L123" s="24">
        <v>0.85</v>
      </c>
      <c r="M123" s="25">
        <v>1.26667</v>
      </c>
      <c r="N123" s="25">
        <v>2.23529</v>
      </c>
      <c r="O123" s="24">
        <v>8.8440000000000005E-2</v>
      </c>
      <c r="P123" s="25">
        <v>0.56667000000000001</v>
      </c>
      <c r="Q123" s="25">
        <v>0.23333000000000001</v>
      </c>
      <c r="R123" s="27">
        <v>0.56667000000000001</v>
      </c>
      <c r="S123" s="25">
        <v>1.9</v>
      </c>
      <c r="T123" s="24">
        <v>0.48026000000000002</v>
      </c>
      <c r="U123" s="28">
        <v>0.54605000000000004</v>
      </c>
      <c r="V123" s="28">
        <v>0.4</v>
      </c>
      <c r="W123" s="28">
        <v>0.75</v>
      </c>
      <c r="X123" s="28">
        <v>0.58050999999999997</v>
      </c>
      <c r="Y123" s="25">
        <v>1.3313999999999999</v>
      </c>
      <c r="Z123" s="25">
        <v>1.2745</v>
      </c>
      <c r="AA123" s="25">
        <v>5.7000000000000002E-2</v>
      </c>
      <c r="AB123" s="27">
        <v>120.5</v>
      </c>
      <c r="AC123" s="25">
        <v>121.28</v>
      </c>
      <c r="AD123" s="25">
        <f>AB123-AC123</f>
        <v>-0.78000000000000114</v>
      </c>
      <c r="AE123" s="24">
        <v>0.12236</v>
      </c>
    </row>
    <row r="124" spans="1:31" x14ac:dyDescent="0.35">
      <c r="A124" t="s">
        <v>370</v>
      </c>
      <c r="B124" t="s">
        <v>371</v>
      </c>
      <c r="C124">
        <v>75</v>
      </c>
      <c r="D124" t="s">
        <v>145</v>
      </c>
      <c r="E124" t="s">
        <v>406</v>
      </c>
      <c r="F124" t="s">
        <v>366</v>
      </c>
      <c r="G124" t="s">
        <v>357</v>
      </c>
      <c r="H124">
        <v>7</v>
      </c>
      <c r="I124" s="25">
        <v>1.14286</v>
      </c>
      <c r="J124" s="25">
        <v>1</v>
      </c>
      <c r="K124" s="24">
        <v>1.306E-2</v>
      </c>
      <c r="M124" s="25">
        <v>0.71428999999999998</v>
      </c>
      <c r="N124" s="25">
        <v>1.25</v>
      </c>
      <c r="O124" s="24">
        <v>0.10519000000000001</v>
      </c>
      <c r="P124" s="25">
        <v>0.57142999999999999</v>
      </c>
      <c r="Q124" s="25">
        <v>0</v>
      </c>
      <c r="R124" s="25">
        <v>0.57142999999999999</v>
      </c>
      <c r="S124" s="25">
        <v>1.14286</v>
      </c>
      <c r="T124" s="24">
        <v>0.125</v>
      </c>
      <c r="U124" s="24">
        <v>0.125</v>
      </c>
      <c r="V124" s="24">
        <v>0</v>
      </c>
      <c r="W124" s="24">
        <v>1</v>
      </c>
      <c r="X124" s="24">
        <v>0.22472</v>
      </c>
      <c r="Y124" s="25">
        <v>-0.22320000000000001</v>
      </c>
      <c r="Z124" s="25">
        <v>-0.22889999999999999</v>
      </c>
      <c r="AA124" s="25">
        <v>5.7000000000000002E-3</v>
      </c>
      <c r="AB124" s="25">
        <v>54.44</v>
      </c>
      <c r="AC124" s="25">
        <v>121.31</v>
      </c>
      <c r="AD124" s="25">
        <f>AB124-AC124</f>
        <v>-66.87</v>
      </c>
      <c r="AE124" s="24">
        <v>0.13058</v>
      </c>
    </row>
    <row r="125" spans="1:31" x14ac:dyDescent="0.35">
      <c r="A125" t="s">
        <v>318</v>
      </c>
      <c r="B125" t="s">
        <v>352</v>
      </c>
      <c r="C125">
        <v>77</v>
      </c>
      <c r="D125" t="s">
        <v>146</v>
      </c>
      <c r="E125" t="s">
        <v>405</v>
      </c>
      <c r="F125" t="s">
        <v>366</v>
      </c>
      <c r="G125" t="s">
        <v>357</v>
      </c>
      <c r="H125" s="26">
        <v>31</v>
      </c>
      <c r="I125" s="25">
        <v>2.2903199999999999</v>
      </c>
      <c r="J125" s="25">
        <v>1.7096800000000001</v>
      </c>
      <c r="K125" s="24">
        <v>3.4040000000000001E-2</v>
      </c>
      <c r="L125" s="24">
        <v>0.08</v>
      </c>
      <c r="M125" s="25">
        <v>0.48387000000000002</v>
      </c>
      <c r="N125" s="25">
        <v>0.6</v>
      </c>
      <c r="O125" s="24">
        <v>5.7590000000000002E-2</v>
      </c>
      <c r="P125" s="25">
        <v>0.32257999999999998</v>
      </c>
      <c r="Q125" s="25">
        <v>6.4519999999999994E-2</v>
      </c>
      <c r="R125" s="27">
        <v>0.80645</v>
      </c>
      <c r="S125" s="25">
        <v>2.1612900000000002</v>
      </c>
      <c r="T125" s="24">
        <v>0.33333000000000002</v>
      </c>
      <c r="U125" s="24">
        <v>0.44202999999999998</v>
      </c>
      <c r="V125" s="24">
        <v>0.3125</v>
      </c>
      <c r="W125" s="24">
        <v>0.58823999999999999</v>
      </c>
      <c r="X125" s="24">
        <v>0.46405000000000002</v>
      </c>
      <c r="Y125" s="25">
        <v>-0.41220000000000001</v>
      </c>
      <c r="Z125" s="25">
        <v>-0.35199999999999998</v>
      </c>
      <c r="AA125" s="25">
        <v>-6.0299999999999999E-2</v>
      </c>
      <c r="AB125" s="25">
        <v>81.77</v>
      </c>
      <c r="AC125" s="25">
        <v>123.38</v>
      </c>
      <c r="AD125" s="25">
        <f>AB125-AC125</f>
        <v>-41.61</v>
      </c>
      <c r="AE125" s="24">
        <v>0.11731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829D-4691-4705-B0BB-9CA4B0A7CFBC}">
  <dimension ref="A1:AT132"/>
  <sheetViews>
    <sheetView tabSelected="1" zoomScaleNormal="100" workbookViewId="0">
      <selection activeCell="AT29" sqref="AT29"/>
    </sheetView>
  </sheetViews>
  <sheetFormatPr defaultRowHeight="14.5" x14ac:dyDescent="0.35"/>
  <cols>
    <col min="1" max="1" width="12.08984375" bestFit="1" customWidth="1"/>
    <col min="2" max="2" width="13.54296875" bestFit="1" customWidth="1"/>
    <col min="3" max="3" width="10.6328125" bestFit="1" customWidth="1"/>
    <col min="4" max="4" width="22.36328125" bestFit="1" customWidth="1"/>
    <col min="5" max="5" width="17.90625" bestFit="1" customWidth="1"/>
    <col min="6" max="6" width="9.90625" bestFit="1" customWidth="1"/>
    <col min="7" max="7" width="20" bestFit="1" customWidth="1"/>
    <col min="8" max="8" width="16.90625" bestFit="1" customWidth="1"/>
    <col min="9" max="9" width="10.90625" bestFit="1" customWidth="1"/>
    <col min="10" max="10" width="9.90625" bestFit="1" customWidth="1"/>
    <col min="11" max="11" width="8.54296875" bestFit="1" customWidth="1"/>
    <col min="12" max="12" width="5.453125" bestFit="1" customWidth="1"/>
    <col min="13" max="13" width="9.81640625" bestFit="1" customWidth="1"/>
    <col min="14" max="14" width="8.1796875" bestFit="1" customWidth="1"/>
    <col min="15" max="15" width="8.36328125" bestFit="1" customWidth="1"/>
    <col min="16" max="16" width="10.1796875" bestFit="1" customWidth="1"/>
    <col min="17" max="17" width="8.1796875" bestFit="1" customWidth="1"/>
    <col min="18" max="19" width="10.1796875" bestFit="1" customWidth="1"/>
    <col min="20" max="20" width="8.1796875" bestFit="1" customWidth="1"/>
    <col min="21" max="21" width="8.453125" bestFit="1" customWidth="1"/>
    <col min="22" max="22" width="8.36328125" bestFit="1" customWidth="1"/>
    <col min="23" max="24" width="8.453125" bestFit="1" customWidth="1"/>
    <col min="25" max="25" width="8.08984375" bestFit="1" customWidth="1"/>
    <col min="26" max="26" width="8.453125" bestFit="1" customWidth="1"/>
    <col min="27" max="27" width="7.90625" bestFit="1" customWidth="1"/>
    <col min="28" max="28" width="8.26953125" bestFit="1" customWidth="1"/>
    <col min="29" max="29" width="6.90625" bestFit="1" customWidth="1"/>
    <col min="30" max="31" width="9.453125" bestFit="1" customWidth="1"/>
    <col min="32" max="33" width="10.08984375" bestFit="1" customWidth="1"/>
    <col min="34" max="34" width="10" bestFit="1" customWidth="1"/>
    <col min="35" max="35" width="10.08984375" bestFit="1" customWidth="1"/>
    <col min="36" max="36" width="13.81640625" bestFit="1" customWidth="1"/>
    <col min="37" max="38" width="10.08984375" bestFit="1" customWidth="1"/>
    <col min="39" max="39" width="13.81640625" bestFit="1" customWidth="1"/>
    <col min="40" max="40" width="8.26953125" bestFit="1" customWidth="1"/>
    <col min="41" max="41" width="13.81640625" bestFit="1" customWidth="1"/>
    <col min="45" max="45" width="16.08984375" bestFit="1" customWidth="1"/>
    <col min="46" max="46" width="29.7265625" bestFit="1" customWidth="1"/>
  </cols>
  <sheetData>
    <row r="1" spans="1:46" x14ac:dyDescent="0.35">
      <c r="A1" t="s">
        <v>94</v>
      </c>
      <c r="B1" t="s">
        <v>95</v>
      </c>
      <c r="C1" t="s">
        <v>97</v>
      </c>
      <c r="D1" t="s">
        <v>417</v>
      </c>
      <c r="E1" t="s">
        <v>731</v>
      </c>
      <c r="F1" t="s">
        <v>418</v>
      </c>
      <c r="G1" t="s">
        <v>419</v>
      </c>
      <c r="H1" t="s">
        <v>732</v>
      </c>
      <c r="I1" s="34" t="s">
        <v>733</v>
      </c>
      <c r="J1" t="s">
        <v>144</v>
      </c>
      <c r="K1" t="s">
        <v>734</v>
      </c>
      <c r="L1" t="s">
        <v>105</v>
      </c>
      <c r="M1" t="s">
        <v>75</v>
      </c>
      <c r="N1" t="s">
        <v>152</v>
      </c>
      <c r="O1" t="s">
        <v>150</v>
      </c>
      <c r="P1" t="s">
        <v>730</v>
      </c>
      <c r="Q1" t="s">
        <v>397</v>
      </c>
      <c r="R1" t="s">
        <v>149</v>
      </c>
      <c r="S1" t="s">
        <v>147</v>
      </c>
      <c r="T1" t="s">
        <v>401</v>
      </c>
      <c r="U1" t="s">
        <v>736</v>
      </c>
      <c r="V1" t="s">
        <v>153</v>
      </c>
      <c r="W1" t="s">
        <v>737</v>
      </c>
      <c r="X1" t="s">
        <v>154</v>
      </c>
      <c r="Y1" t="s">
        <v>738</v>
      </c>
      <c r="Z1" t="s">
        <v>155</v>
      </c>
      <c r="AA1" t="s">
        <v>157</v>
      </c>
      <c r="AB1" t="s">
        <v>156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158</v>
      </c>
      <c r="AI1" t="s">
        <v>398</v>
      </c>
      <c r="AJ1" t="s">
        <v>740</v>
      </c>
      <c r="AS1" t="s">
        <v>28</v>
      </c>
      <c r="AT1" t="s">
        <v>6</v>
      </c>
    </row>
    <row r="2" spans="1:46" x14ac:dyDescent="0.35">
      <c r="A2" t="s">
        <v>20</v>
      </c>
      <c r="B2" t="s">
        <v>565</v>
      </c>
      <c r="C2" t="s">
        <v>405</v>
      </c>
      <c r="D2" t="s">
        <v>587</v>
      </c>
      <c r="E2" t="s">
        <v>521</v>
      </c>
      <c r="F2" s="1">
        <v>1</v>
      </c>
      <c r="G2" t="s">
        <v>433</v>
      </c>
      <c r="H2" t="s">
        <v>215</v>
      </c>
      <c r="I2" s="1">
        <v>1</v>
      </c>
      <c r="J2" s="1" t="s">
        <v>145</v>
      </c>
      <c r="K2" s="1">
        <v>74</v>
      </c>
      <c r="L2">
        <v>20</v>
      </c>
      <c r="M2">
        <v>417</v>
      </c>
      <c r="N2" s="25">
        <v>3.3</v>
      </c>
      <c r="O2" s="25">
        <v>1.25</v>
      </c>
      <c r="P2" s="25">
        <v>1.0416700000000001</v>
      </c>
      <c r="Q2" s="24">
        <v>0.11987</v>
      </c>
      <c r="R2" s="25">
        <v>0.75</v>
      </c>
      <c r="S2">
        <v>1.2</v>
      </c>
      <c r="T2" s="25">
        <v>2.0499999999999998</v>
      </c>
      <c r="U2" s="25">
        <v>3.75</v>
      </c>
      <c r="V2" s="24">
        <v>0.33333000000000002</v>
      </c>
      <c r="W2" s="25">
        <v>0.95</v>
      </c>
      <c r="X2" s="24">
        <v>0.15789</v>
      </c>
      <c r="Y2" s="25">
        <v>1.1000000000000001</v>
      </c>
      <c r="Z2" s="24">
        <v>0.59091000000000005</v>
      </c>
      <c r="AA2" s="24">
        <v>0.35332999999999998</v>
      </c>
      <c r="AB2" s="24">
        <v>0.38961000000000001</v>
      </c>
      <c r="AC2" s="25">
        <v>-1.1900000000000001E-2</v>
      </c>
      <c r="AD2" s="25">
        <v>-0.52780000000000005</v>
      </c>
      <c r="AE2" s="25">
        <v>0.51590000000000003</v>
      </c>
      <c r="AF2" s="25">
        <v>74.44</v>
      </c>
      <c r="AG2" s="25">
        <v>108.48</v>
      </c>
      <c r="AH2" s="29">
        <f>Table11[[#This Row],[OFF RTG]]-Table11[[#This Row],[DEF RTG]]</f>
        <v>-34.040000000000006</v>
      </c>
      <c r="AI2" s="24">
        <v>0.13353999999999999</v>
      </c>
      <c r="AJ2">
        <v>-144</v>
      </c>
      <c r="AS2" t="s">
        <v>105</v>
      </c>
      <c r="AT2" t="s">
        <v>751</v>
      </c>
    </row>
    <row r="3" spans="1:46" x14ac:dyDescent="0.35">
      <c r="A3" t="s">
        <v>491</v>
      </c>
      <c r="B3" t="s">
        <v>665</v>
      </c>
      <c r="C3" t="s">
        <v>405</v>
      </c>
      <c r="D3" t="s">
        <v>691</v>
      </c>
      <c r="E3" t="s">
        <v>460</v>
      </c>
      <c r="F3" s="1">
        <v>1</v>
      </c>
      <c r="G3" t="s">
        <v>362</v>
      </c>
      <c r="H3" t="s">
        <v>357</v>
      </c>
      <c r="I3" s="1">
        <v>1</v>
      </c>
      <c r="J3" s="1" t="s">
        <v>145</v>
      </c>
      <c r="K3" s="1">
        <v>72</v>
      </c>
      <c r="L3" s="26">
        <v>27</v>
      </c>
      <c r="M3">
        <v>709</v>
      </c>
      <c r="N3" s="27">
        <v>11</v>
      </c>
      <c r="O3" s="25">
        <v>2.2592599999999998</v>
      </c>
      <c r="P3" s="25">
        <v>0.83562000000000003</v>
      </c>
      <c r="Q3" s="24">
        <v>0.22172</v>
      </c>
      <c r="R3" s="25">
        <v>0.88888999999999996</v>
      </c>
      <c r="S3" s="25">
        <v>2.7037</v>
      </c>
      <c r="T3" s="25">
        <v>2.3333300000000001</v>
      </c>
      <c r="U3" s="25">
        <v>10.88889</v>
      </c>
      <c r="V3" s="24">
        <v>0.34694000000000003</v>
      </c>
      <c r="W3" s="25">
        <v>4.9629599999999998</v>
      </c>
      <c r="X3" s="28">
        <v>0.35820999999999997</v>
      </c>
      <c r="Y3" s="25">
        <v>1.88889</v>
      </c>
      <c r="Z3" s="28">
        <v>0.88234999999999997</v>
      </c>
      <c r="AA3" s="24">
        <v>0.42857000000000001</v>
      </c>
      <c r="AB3" s="24">
        <v>0.46933999999999998</v>
      </c>
      <c r="AC3" s="25">
        <v>0.86939999999999995</v>
      </c>
      <c r="AD3" s="25">
        <v>-0.1128</v>
      </c>
      <c r="AE3" s="25">
        <v>0.98229999999999995</v>
      </c>
      <c r="AF3" s="25">
        <v>93.64</v>
      </c>
      <c r="AG3" s="25">
        <v>106.84</v>
      </c>
      <c r="AH3" s="29">
        <f>Table11[[#This Row],[OFF RTG]]-Table11[[#This Row],[DEF RTG]]</f>
        <v>-13.200000000000003</v>
      </c>
      <c r="AI3" s="24">
        <v>0.28505999999999998</v>
      </c>
      <c r="AJ3">
        <v>-29</v>
      </c>
      <c r="AS3" t="s">
        <v>152</v>
      </c>
      <c r="AT3" t="s">
        <v>752</v>
      </c>
    </row>
    <row r="4" spans="1:46" x14ac:dyDescent="0.35">
      <c r="A4" t="s">
        <v>569</v>
      </c>
      <c r="B4" t="s">
        <v>570</v>
      </c>
      <c r="C4" t="s">
        <v>729</v>
      </c>
      <c r="D4" t="s">
        <v>597</v>
      </c>
      <c r="E4" t="s">
        <v>512</v>
      </c>
      <c r="F4" s="1">
        <v>2</v>
      </c>
      <c r="G4" t="s">
        <v>220</v>
      </c>
      <c r="H4" t="s">
        <v>215</v>
      </c>
      <c r="I4" s="1">
        <v>1</v>
      </c>
      <c r="J4" s="1" t="s">
        <v>145</v>
      </c>
      <c r="K4" s="1">
        <v>72</v>
      </c>
      <c r="L4" s="26">
        <v>30</v>
      </c>
      <c r="M4">
        <v>353</v>
      </c>
      <c r="N4" s="25">
        <v>2.26667</v>
      </c>
      <c r="O4" s="25">
        <v>1.4</v>
      </c>
      <c r="P4" s="27">
        <v>2.2105299999999999</v>
      </c>
      <c r="Q4" s="24">
        <v>0.22109999999999999</v>
      </c>
      <c r="R4" s="25">
        <v>0.4</v>
      </c>
      <c r="S4" s="27">
        <v>0.63332999999999995</v>
      </c>
      <c r="T4" s="27">
        <v>1.5</v>
      </c>
      <c r="U4" s="25">
        <v>2.1666699999999999</v>
      </c>
      <c r="V4" s="28">
        <v>0.41538000000000003</v>
      </c>
      <c r="W4" s="25">
        <v>0.33333000000000002</v>
      </c>
      <c r="X4" s="24">
        <v>0.3</v>
      </c>
      <c r="Y4" s="25">
        <v>0.53332999999999997</v>
      </c>
      <c r="Z4" s="24">
        <v>0.6875</v>
      </c>
      <c r="AA4" s="24">
        <v>0.43846000000000002</v>
      </c>
      <c r="AB4" s="24">
        <v>0.47221999999999997</v>
      </c>
      <c r="AC4" s="25">
        <v>0.86270000000000002</v>
      </c>
      <c r="AD4" s="25">
        <v>0.24660000000000001</v>
      </c>
      <c r="AE4" s="25">
        <v>0.61609999999999998</v>
      </c>
      <c r="AF4" s="25">
        <v>104.95</v>
      </c>
      <c r="AG4" s="27">
        <v>102.88</v>
      </c>
      <c r="AH4" s="29">
        <f>Table11[[#This Row],[OFF RTG]]-Table11[[#This Row],[DEF RTG]]</f>
        <v>2.0700000000000074</v>
      </c>
      <c r="AI4" s="24">
        <v>0.13295999999999999</v>
      </c>
      <c r="AJ4">
        <v>-25</v>
      </c>
      <c r="AS4" t="s">
        <v>151</v>
      </c>
      <c r="AT4" t="s">
        <v>753</v>
      </c>
    </row>
    <row r="5" spans="1:46" x14ac:dyDescent="0.35">
      <c r="A5" t="s">
        <v>299</v>
      </c>
      <c r="B5" t="s">
        <v>499</v>
      </c>
      <c r="C5" t="s">
        <v>729</v>
      </c>
      <c r="D5" t="s">
        <v>486</v>
      </c>
      <c r="E5" t="s">
        <v>476</v>
      </c>
      <c r="F5" s="1">
        <v>1</v>
      </c>
      <c r="G5" t="s">
        <v>127</v>
      </c>
      <c r="H5" t="s">
        <v>112</v>
      </c>
      <c r="I5" s="1">
        <v>1</v>
      </c>
      <c r="J5" s="1" t="s">
        <v>145</v>
      </c>
      <c r="K5" s="1">
        <v>72</v>
      </c>
      <c r="L5">
        <v>20</v>
      </c>
      <c r="M5">
        <v>83</v>
      </c>
      <c r="N5" s="25">
        <v>0.55000000000000004</v>
      </c>
      <c r="O5" s="25">
        <v>0.2</v>
      </c>
      <c r="P5" s="27">
        <v>2</v>
      </c>
      <c r="Q5" s="24">
        <v>9.4020000000000006E-2</v>
      </c>
      <c r="R5" s="25">
        <v>0.15</v>
      </c>
      <c r="S5" s="27">
        <v>0.1</v>
      </c>
      <c r="T5" s="27">
        <v>0.55000000000000004</v>
      </c>
      <c r="U5" s="25">
        <v>0.55000000000000004</v>
      </c>
      <c r="V5" s="24">
        <v>0.27272999999999997</v>
      </c>
      <c r="W5" s="25">
        <v>0.45</v>
      </c>
      <c r="X5" s="24">
        <v>0.22222</v>
      </c>
      <c r="Y5" s="25">
        <v>0.2</v>
      </c>
      <c r="Z5" s="24">
        <v>0.75</v>
      </c>
      <c r="AA5" s="24">
        <v>0.36364000000000002</v>
      </c>
      <c r="AB5" s="24">
        <v>0.42969000000000002</v>
      </c>
      <c r="AC5" s="25">
        <v>3.1399999999999997E-2</v>
      </c>
      <c r="AD5" s="25">
        <v>-3.7000000000000002E-3</v>
      </c>
      <c r="AE5" s="25">
        <v>3.5099999999999999E-2</v>
      </c>
      <c r="AF5" s="25">
        <v>93.89</v>
      </c>
      <c r="AG5" s="25">
        <v>117.38</v>
      </c>
      <c r="AH5" s="29">
        <f>Table11[[#This Row],[OFF RTG]]-Table11[[#This Row],[DEF RTG]]</f>
        <v>-23.489999999999995</v>
      </c>
      <c r="AI5" s="24">
        <v>9.0219999999999995E-2</v>
      </c>
      <c r="AJ5">
        <v>-46</v>
      </c>
      <c r="AS5" t="s">
        <v>399</v>
      </c>
      <c r="AT5" t="s">
        <v>754</v>
      </c>
    </row>
    <row r="6" spans="1:46" x14ac:dyDescent="0.35">
      <c r="A6" t="s">
        <v>442</v>
      </c>
      <c r="B6" t="s">
        <v>544</v>
      </c>
      <c r="C6" t="s">
        <v>729</v>
      </c>
      <c r="D6" t="s">
        <v>448</v>
      </c>
      <c r="E6" t="s">
        <v>469</v>
      </c>
      <c r="F6" s="1">
        <v>1</v>
      </c>
      <c r="G6" t="s">
        <v>212</v>
      </c>
      <c r="H6" t="s">
        <v>196</v>
      </c>
      <c r="I6" s="1">
        <v>1</v>
      </c>
      <c r="J6" s="1" t="s">
        <v>145</v>
      </c>
      <c r="K6" s="1">
        <v>73</v>
      </c>
      <c r="L6" s="26">
        <v>32</v>
      </c>
      <c r="M6">
        <v>1016</v>
      </c>
      <c r="N6" s="27">
        <v>17.78125</v>
      </c>
      <c r="O6" s="25">
        <v>2.78125</v>
      </c>
      <c r="P6" s="27">
        <v>1.7451000000000001</v>
      </c>
      <c r="Q6" s="24">
        <v>0.1893</v>
      </c>
      <c r="R6" s="27">
        <v>1.09375</v>
      </c>
      <c r="S6" s="25">
        <v>1.59375</v>
      </c>
      <c r="T6" s="25">
        <v>1.8125</v>
      </c>
      <c r="U6" s="25">
        <v>12.25</v>
      </c>
      <c r="V6" s="28">
        <v>0.52805999999999997</v>
      </c>
      <c r="W6" s="25">
        <v>1.96875</v>
      </c>
      <c r="X6" s="24">
        <v>0.33333000000000002</v>
      </c>
      <c r="Y6" s="25">
        <v>5.15625</v>
      </c>
      <c r="Z6" s="28">
        <v>0.81211999999999995</v>
      </c>
      <c r="AA6" s="28">
        <v>0.55484999999999995</v>
      </c>
      <c r="AB6" s="28">
        <v>0.61234999999999995</v>
      </c>
      <c r="AC6" s="25">
        <v>4.7312000000000003</v>
      </c>
      <c r="AD6" s="25">
        <v>3.5286</v>
      </c>
      <c r="AE6" s="25">
        <v>1.2024999999999999</v>
      </c>
      <c r="AF6" s="27">
        <v>124.89</v>
      </c>
      <c r="AG6" s="25">
        <v>108.97</v>
      </c>
      <c r="AH6" s="43">
        <f>Table11[[#This Row],[OFF RTG]]-Table11[[#This Row],[DEF RTG]]</f>
        <v>15.920000000000002</v>
      </c>
      <c r="AI6" s="24">
        <v>0.26274999999999998</v>
      </c>
      <c r="AJ6" s="26">
        <v>107</v>
      </c>
      <c r="AS6" t="s">
        <v>400</v>
      </c>
      <c r="AT6" t="s">
        <v>755</v>
      </c>
    </row>
    <row r="7" spans="1:46" x14ac:dyDescent="0.35">
      <c r="A7" t="s">
        <v>506</v>
      </c>
      <c r="B7" t="s">
        <v>507</v>
      </c>
      <c r="C7" t="s">
        <v>729</v>
      </c>
      <c r="D7" t="s">
        <v>364</v>
      </c>
      <c r="E7" t="s">
        <v>357</v>
      </c>
      <c r="F7" s="1">
        <v>1</v>
      </c>
      <c r="G7" t="s">
        <v>131</v>
      </c>
      <c r="H7" t="s">
        <v>112</v>
      </c>
      <c r="I7" s="1">
        <v>1</v>
      </c>
      <c r="J7" s="1" t="s">
        <v>145</v>
      </c>
      <c r="K7" s="1">
        <v>74</v>
      </c>
      <c r="L7">
        <v>21</v>
      </c>
      <c r="M7">
        <v>515</v>
      </c>
      <c r="N7" s="25">
        <v>7.0952400000000004</v>
      </c>
      <c r="O7" s="27">
        <v>3.2857099999999999</v>
      </c>
      <c r="P7" s="27">
        <v>1.68293</v>
      </c>
      <c r="Q7" s="24">
        <v>0.25867000000000001</v>
      </c>
      <c r="R7" s="27">
        <v>1.4285699999999999</v>
      </c>
      <c r="S7" s="25">
        <v>1.95238</v>
      </c>
      <c r="T7" s="25">
        <v>2.2381000000000002</v>
      </c>
      <c r="U7" s="25">
        <v>5.4285699999999997</v>
      </c>
      <c r="V7" s="24">
        <v>0.37719000000000003</v>
      </c>
      <c r="W7" s="25">
        <v>1.4761899999999999</v>
      </c>
      <c r="X7" s="24">
        <v>0.12903000000000001</v>
      </c>
      <c r="Y7" s="25">
        <v>3.6666699999999999</v>
      </c>
      <c r="Z7" s="24">
        <v>0.76622999999999997</v>
      </c>
      <c r="AA7" s="24">
        <v>0.39473999999999998</v>
      </c>
      <c r="AB7" s="24">
        <v>0.50371999999999995</v>
      </c>
      <c r="AC7" s="25">
        <v>0.4602</v>
      </c>
      <c r="AD7" s="25">
        <v>0.1905</v>
      </c>
      <c r="AE7" s="25">
        <v>0.2697</v>
      </c>
      <c r="AF7" s="25">
        <v>98.85</v>
      </c>
      <c r="AG7" s="25">
        <v>116.27</v>
      </c>
      <c r="AH7" s="29">
        <f>Table11[[#This Row],[OFF RTG]]-Table11[[#This Row],[DEF RTG]]</f>
        <v>-17.420000000000002</v>
      </c>
      <c r="AI7" s="24">
        <v>0.18984000000000001</v>
      </c>
      <c r="AJ7">
        <v>-182</v>
      </c>
      <c r="AS7" t="s">
        <v>150</v>
      </c>
      <c r="AT7" t="s">
        <v>756</v>
      </c>
    </row>
    <row r="8" spans="1:46" x14ac:dyDescent="0.35">
      <c r="A8" t="s">
        <v>444</v>
      </c>
      <c r="B8" t="s">
        <v>445</v>
      </c>
      <c r="C8" t="s">
        <v>729</v>
      </c>
      <c r="D8" t="s">
        <v>449</v>
      </c>
      <c r="E8" t="s">
        <v>215</v>
      </c>
      <c r="F8" s="1">
        <v>1</v>
      </c>
      <c r="G8" t="s">
        <v>243</v>
      </c>
      <c r="H8" t="s">
        <v>215</v>
      </c>
      <c r="I8" s="1">
        <v>1</v>
      </c>
      <c r="J8" s="1" t="s">
        <v>145</v>
      </c>
      <c r="K8" s="1">
        <v>73</v>
      </c>
      <c r="L8" s="26">
        <v>29</v>
      </c>
      <c r="M8">
        <v>866</v>
      </c>
      <c r="N8" s="25">
        <v>9.1034500000000005</v>
      </c>
      <c r="O8" s="27">
        <v>3.6206900000000002</v>
      </c>
      <c r="P8" s="27">
        <v>1.61538</v>
      </c>
      <c r="Q8" s="24">
        <v>0.22423000000000001</v>
      </c>
      <c r="R8" s="25">
        <v>0.75861999999999996</v>
      </c>
      <c r="S8" s="25">
        <v>2.2413799999999999</v>
      </c>
      <c r="T8" s="25">
        <v>1.62069</v>
      </c>
      <c r="U8" s="25">
        <v>9.1034500000000005</v>
      </c>
      <c r="V8" s="24">
        <v>0.36364000000000002</v>
      </c>
      <c r="W8" s="25">
        <v>4.8620700000000001</v>
      </c>
      <c r="X8" s="24">
        <v>0.30496000000000001</v>
      </c>
      <c r="Y8" s="25">
        <v>1.44828</v>
      </c>
      <c r="Z8" s="24">
        <v>0.69047999999999998</v>
      </c>
      <c r="AA8" s="24">
        <v>0.44507999999999998</v>
      </c>
      <c r="AB8" s="24">
        <v>0.46726000000000001</v>
      </c>
      <c r="AC8" s="25">
        <v>1.0852999999999999</v>
      </c>
      <c r="AD8" s="25">
        <v>0.12759999999999999</v>
      </c>
      <c r="AE8" s="25">
        <v>0.9577</v>
      </c>
      <c r="AF8" s="25">
        <v>96.54</v>
      </c>
      <c r="AG8" s="25">
        <v>109.89</v>
      </c>
      <c r="AH8" s="29">
        <f>Table11[[#This Row],[OFF RTG]]-Table11[[#This Row],[DEF RTG]]</f>
        <v>-13.349999999999994</v>
      </c>
      <c r="AI8" s="24">
        <v>0.19592000000000001</v>
      </c>
      <c r="AJ8">
        <v>-11</v>
      </c>
      <c r="AS8" t="s">
        <v>730</v>
      </c>
      <c r="AT8" t="s">
        <v>757</v>
      </c>
    </row>
    <row r="9" spans="1:46" x14ac:dyDescent="0.35">
      <c r="A9" t="s">
        <v>485</v>
      </c>
      <c r="B9" t="s">
        <v>445</v>
      </c>
      <c r="C9" t="s">
        <v>729</v>
      </c>
      <c r="D9" t="s">
        <v>497</v>
      </c>
      <c r="E9" t="s">
        <v>305</v>
      </c>
      <c r="F9" s="1">
        <v>1</v>
      </c>
      <c r="G9" t="s">
        <v>364</v>
      </c>
      <c r="H9" t="s">
        <v>357</v>
      </c>
      <c r="I9" s="1">
        <v>1</v>
      </c>
      <c r="J9" s="1" t="s">
        <v>145</v>
      </c>
      <c r="K9" s="1">
        <v>74</v>
      </c>
      <c r="L9">
        <v>15</v>
      </c>
      <c r="M9">
        <v>371</v>
      </c>
      <c r="N9" s="25">
        <v>6.2</v>
      </c>
      <c r="O9" s="25">
        <v>1.93333</v>
      </c>
      <c r="P9" s="27">
        <v>1.61111</v>
      </c>
      <c r="Q9" s="24">
        <v>0.15795000000000001</v>
      </c>
      <c r="R9" s="25">
        <v>0.86667000000000005</v>
      </c>
      <c r="S9">
        <v>1.2</v>
      </c>
      <c r="T9" s="25">
        <v>2.6</v>
      </c>
      <c r="U9" s="25">
        <v>4.3333300000000001</v>
      </c>
      <c r="V9" s="28">
        <v>0.43076999999999999</v>
      </c>
      <c r="W9" s="25">
        <v>1.5333300000000001</v>
      </c>
      <c r="X9" s="24">
        <v>0.34782999999999997</v>
      </c>
      <c r="Y9" s="25">
        <v>2.73333</v>
      </c>
      <c r="Z9" s="24">
        <v>0.70731999999999995</v>
      </c>
      <c r="AA9" s="24">
        <v>0.49231000000000003</v>
      </c>
      <c r="AB9" s="28">
        <v>0.56023999999999996</v>
      </c>
      <c r="AC9" s="25">
        <v>0.94230000000000003</v>
      </c>
      <c r="AD9" s="25">
        <v>0.44359999999999999</v>
      </c>
      <c r="AE9" s="25">
        <v>0.49880000000000002</v>
      </c>
      <c r="AF9" s="27">
        <v>112.16</v>
      </c>
      <c r="AG9" s="25">
        <v>107.19</v>
      </c>
      <c r="AH9" s="43">
        <f>Table11[[#This Row],[OFF RTG]]-Table11[[#This Row],[DEF RTG]]</f>
        <v>4.9699999999999989</v>
      </c>
      <c r="AI9" s="24">
        <v>0.14415</v>
      </c>
      <c r="AJ9">
        <v>-44</v>
      </c>
      <c r="AS9" t="s">
        <v>397</v>
      </c>
      <c r="AT9" t="s">
        <v>758</v>
      </c>
    </row>
    <row r="10" spans="1:46" x14ac:dyDescent="0.35">
      <c r="A10" t="s">
        <v>668</v>
      </c>
      <c r="B10" t="s">
        <v>669</v>
      </c>
      <c r="C10" t="s">
        <v>729</v>
      </c>
      <c r="D10" t="s">
        <v>266</v>
      </c>
      <c r="E10" t="s">
        <v>267</v>
      </c>
      <c r="F10" s="1">
        <v>1</v>
      </c>
      <c r="G10" t="s">
        <v>394</v>
      </c>
      <c r="H10" t="s">
        <v>357</v>
      </c>
      <c r="I10" s="1">
        <v>1</v>
      </c>
      <c r="J10" s="1" t="s">
        <v>145</v>
      </c>
      <c r="K10" s="1">
        <v>68</v>
      </c>
      <c r="L10" s="26">
        <v>31</v>
      </c>
      <c r="M10">
        <v>619</v>
      </c>
      <c r="N10" s="25">
        <v>8.3871000000000002</v>
      </c>
      <c r="O10" s="25">
        <v>1.8064499999999999</v>
      </c>
      <c r="P10" s="27">
        <v>1.6</v>
      </c>
      <c r="Q10" s="24">
        <v>0.19564000000000001</v>
      </c>
      <c r="R10" s="25">
        <v>0.67742000000000002</v>
      </c>
      <c r="S10" s="25">
        <v>1.12903</v>
      </c>
      <c r="T10" s="25">
        <v>1.7741899999999999</v>
      </c>
      <c r="U10" s="25">
        <v>7.9032299999999998</v>
      </c>
      <c r="V10" s="24">
        <v>0.35102</v>
      </c>
      <c r="W10" s="25">
        <v>4.4516099999999996</v>
      </c>
      <c r="X10" s="24">
        <v>0.32608999999999999</v>
      </c>
      <c r="Y10" s="25">
        <v>1.5806500000000001</v>
      </c>
      <c r="Z10" s="28">
        <v>0.87755000000000005</v>
      </c>
      <c r="AA10" s="24">
        <v>0.44285999999999998</v>
      </c>
      <c r="AB10" s="24">
        <v>0.48762</v>
      </c>
      <c r="AC10" s="25">
        <v>0.78059999999999996</v>
      </c>
      <c r="AD10" s="25">
        <v>0.3674</v>
      </c>
      <c r="AE10" s="25">
        <v>0.41310000000000002</v>
      </c>
      <c r="AF10" s="25">
        <v>100.18</v>
      </c>
      <c r="AG10" s="25">
        <v>114.7</v>
      </c>
      <c r="AH10" s="29">
        <f>Table11[[#This Row],[OFF RTG]]-Table11[[#This Row],[DEF RTG]]</f>
        <v>-14.519999999999996</v>
      </c>
      <c r="AI10" s="24">
        <v>0.25423000000000001</v>
      </c>
      <c r="AJ10">
        <v>-39</v>
      </c>
      <c r="AS10" t="s">
        <v>149</v>
      </c>
      <c r="AT10" t="s">
        <v>759</v>
      </c>
    </row>
    <row r="11" spans="1:46" x14ac:dyDescent="0.35">
      <c r="A11" t="s">
        <v>551</v>
      </c>
      <c r="B11" t="s">
        <v>176</v>
      </c>
      <c r="C11" t="s">
        <v>729</v>
      </c>
      <c r="D11" t="s">
        <v>195</v>
      </c>
      <c r="E11" t="s">
        <v>196</v>
      </c>
      <c r="F11" s="1">
        <v>1</v>
      </c>
      <c r="G11" t="s">
        <v>466</v>
      </c>
      <c r="H11" t="s">
        <v>196</v>
      </c>
      <c r="I11" s="1">
        <v>1</v>
      </c>
      <c r="J11" s="1" t="s">
        <v>145</v>
      </c>
      <c r="K11" s="1">
        <v>72</v>
      </c>
      <c r="L11" s="26">
        <v>29</v>
      </c>
      <c r="M11">
        <v>556</v>
      </c>
      <c r="N11" s="25">
        <v>6.1379299999999999</v>
      </c>
      <c r="O11" s="27">
        <v>3.2413799999999999</v>
      </c>
      <c r="P11" s="27">
        <v>1.5932200000000001</v>
      </c>
      <c r="Q11" s="24">
        <v>0.32613999999999999</v>
      </c>
      <c r="R11" s="27">
        <v>1.10345</v>
      </c>
      <c r="S11" s="25">
        <v>2.0344799999999998</v>
      </c>
      <c r="T11" s="25">
        <v>1.72414</v>
      </c>
      <c r="U11" s="25">
        <v>5.2413800000000004</v>
      </c>
      <c r="V11" s="28">
        <v>0.40788999999999997</v>
      </c>
      <c r="W11" s="25">
        <v>1.44828</v>
      </c>
      <c r="X11" s="24">
        <v>0.23810000000000001</v>
      </c>
      <c r="Y11" s="25">
        <v>1.9655199999999999</v>
      </c>
      <c r="Z11" s="24">
        <v>0.77193000000000001</v>
      </c>
      <c r="AA11" s="24">
        <v>0.44079000000000002</v>
      </c>
      <c r="AB11" s="24">
        <v>0.50253999999999999</v>
      </c>
      <c r="AC11" s="25">
        <v>0.71630000000000005</v>
      </c>
      <c r="AD11" s="25">
        <v>0.22359999999999999</v>
      </c>
      <c r="AE11" s="25">
        <v>0.49270000000000003</v>
      </c>
      <c r="AF11" s="25">
        <v>98.72</v>
      </c>
      <c r="AG11" s="25">
        <v>112.33</v>
      </c>
      <c r="AH11" s="29">
        <f>Table11[[#This Row],[OFF RTG]]-Table11[[#This Row],[DEF RTG]]</f>
        <v>-13.61</v>
      </c>
      <c r="AI11" s="24">
        <v>0.21249000000000001</v>
      </c>
      <c r="AJ11">
        <v>-33</v>
      </c>
      <c r="AS11" t="s">
        <v>148</v>
      </c>
      <c r="AT11" t="s">
        <v>760</v>
      </c>
    </row>
    <row r="12" spans="1:46" x14ac:dyDescent="0.35">
      <c r="A12" t="s">
        <v>446</v>
      </c>
      <c r="B12" t="s">
        <v>515</v>
      </c>
      <c r="C12" t="s">
        <v>729</v>
      </c>
      <c r="D12" t="s">
        <v>522</v>
      </c>
      <c r="E12" t="s">
        <v>464</v>
      </c>
      <c r="F12" s="1">
        <v>1</v>
      </c>
      <c r="G12" t="s">
        <v>171</v>
      </c>
      <c r="H12" t="s">
        <v>168</v>
      </c>
      <c r="I12" s="1">
        <v>1</v>
      </c>
      <c r="J12" s="1" t="s">
        <v>145</v>
      </c>
      <c r="K12" s="1">
        <v>71</v>
      </c>
      <c r="L12" s="26">
        <v>27</v>
      </c>
      <c r="M12">
        <v>778</v>
      </c>
      <c r="N12" s="25">
        <v>8.4074100000000005</v>
      </c>
      <c r="O12" s="27">
        <v>3.7407400000000002</v>
      </c>
      <c r="P12" s="27">
        <v>1.55385</v>
      </c>
      <c r="Q12" s="24">
        <v>0.24690000000000001</v>
      </c>
      <c r="R12" s="27">
        <v>1.2963</v>
      </c>
      <c r="S12" s="25">
        <v>2.40741</v>
      </c>
      <c r="T12" s="25">
        <v>2.0370400000000002</v>
      </c>
      <c r="U12" s="25">
        <v>9.2592599999999994</v>
      </c>
      <c r="V12" s="24">
        <v>0.35599999999999998</v>
      </c>
      <c r="W12" s="25">
        <v>3.6296300000000001</v>
      </c>
      <c r="X12" s="24">
        <v>0.23469000000000001</v>
      </c>
      <c r="Y12" s="25">
        <v>1.5555600000000001</v>
      </c>
      <c r="Z12" s="24">
        <v>0.61904999999999999</v>
      </c>
      <c r="AA12" s="24">
        <v>0.40200000000000002</v>
      </c>
      <c r="AB12" s="24">
        <v>0.42271999999999998</v>
      </c>
      <c r="AC12" s="25">
        <v>-0.48130000000000001</v>
      </c>
      <c r="AD12" s="25">
        <v>-0.64439999999999997</v>
      </c>
      <c r="AE12" s="25">
        <v>0.16309999999999999</v>
      </c>
      <c r="AF12" s="25">
        <v>86.54</v>
      </c>
      <c r="AG12" s="25">
        <v>119.71</v>
      </c>
      <c r="AH12" s="29">
        <f>Table11[[#This Row],[OFF RTG]]-Table11[[#This Row],[DEF RTG]]</f>
        <v>-33.169999999999987</v>
      </c>
      <c r="AI12" s="24">
        <v>0.21052000000000001</v>
      </c>
      <c r="AJ12">
        <v>-286</v>
      </c>
      <c r="AS12" t="s">
        <v>739</v>
      </c>
      <c r="AT12" t="s">
        <v>775</v>
      </c>
    </row>
    <row r="13" spans="1:46" x14ac:dyDescent="0.35">
      <c r="A13" t="s">
        <v>657</v>
      </c>
      <c r="B13" t="s">
        <v>658</v>
      </c>
      <c r="C13" t="s">
        <v>729</v>
      </c>
      <c r="D13" t="s">
        <v>691</v>
      </c>
      <c r="E13" t="s">
        <v>460</v>
      </c>
      <c r="F13" s="1">
        <v>1</v>
      </c>
      <c r="G13" t="s">
        <v>366</v>
      </c>
      <c r="H13" t="s">
        <v>357</v>
      </c>
      <c r="I13" s="1">
        <v>1</v>
      </c>
      <c r="J13" s="1" t="s">
        <v>145</v>
      </c>
      <c r="K13" s="1">
        <v>74</v>
      </c>
      <c r="L13" s="26">
        <v>29</v>
      </c>
      <c r="M13">
        <v>1046</v>
      </c>
      <c r="N13" s="27">
        <v>19.965520000000001</v>
      </c>
      <c r="O13" s="25">
        <v>2.7930999999999999</v>
      </c>
      <c r="P13" s="25">
        <v>1.26563</v>
      </c>
      <c r="Q13" s="24">
        <v>0.19549</v>
      </c>
      <c r="R13" s="25">
        <v>0.75861999999999996</v>
      </c>
      <c r="S13" s="25">
        <v>2.2069000000000001</v>
      </c>
      <c r="T13" s="27">
        <v>1.5172399999999999</v>
      </c>
      <c r="U13" s="25">
        <v>16</v>
      </c>
      <c r="V13" s="28">
        <v>0.44612000000000002</v>
      </c>
      <c r="W13" s="25">
        <v>3.6896599999999999</v>
      </c>
      <c r="X13" s="24">
        <v>0.3271</v>
      </c>
      <c r="Y13" s="25">
        <v>5.7586199999999996</v>
      </c>
      <c r="Z13" s="24">
        <v>0.77844000000000002</v>
      </c>
      <c r="AA13" s="24">
        <v>0.48383999999999999</v>
      </c>
      <c r="AB13" s="28">
        <v>0.53859999999999997</v>
      </c>
      <c r="AC13" s="25">
        <v>1.3239000000000001</v>
      </c>
      <c r="AD13" s="25">
        <v>1.5185</v>
      </c>
      <c r="AE13" s="25">
        <v>-0.1946</v>
      </c>
      <c r="AF13" s="25">
        <v>105.02</v>
      </c>
      <c r="AG13" s="25">
        <v>124.05</v>
      </c>
      <c r="AH13" s="29">
        <f>Table11[[#This Row],[OFF RTG]]-Table11[[#This Row],[DEF RTG]]</f>
        <v>-19.03</v>
      </c>
      <c r="AI13" s="24">
        <v>0.32118000000000002</v>
      </c>
      <c r="AJ13">
        <v>-310</v>
      </c>
      <c r="AS13" t="s">
        <v>147</v>
      </c>
      <c r="AT13" t="s">
        <v>761</v>
      </c>
    </row>
    <row r="14" spans="1:46" x14ac:dyDescent="0.35">
      <c r="A14" t="s">
        <v>655</v>
      </c>
      <c r="B14" t="s">
        <v>656</v>
      </c>
      <c r="C14" t="s">
        <v>729</v>
      </c>
      <c r="D14" t="s">
        <v>689</v>
      </c>
      <c r="E14" t="s">
        <v>480</v>
      </c>
      <c r="F14" s="1">
        <v>2</v>
      </c>
      <c r="G14" t="s">
        <v>364</v>
      </c>
      <c r="H14" t="s">
        <v>357</v>
      </c>
      <c r="I14" s="1">
        <v>1</v>
      </c>
      <c r="J14" s="1" t="s">
        <v>145</v>
      </c>
      <c r="K14" s="1">
        <v>71</v>
      </c>
      <c r="L14" s="26">
        <v>32</v>
      </c>
      <c r="M14">
        <v>1162</v>
      </c>
      <c r="N14" s="27">
        <v>16.09375</v>
      </c>
      <c r="O14" s="27">
        <v>4.6875</v>
      </c>
      <c r="P14" s="25">
        <v>1.2605</v>
      </c>
      <c r="Q14" s="24">
        <v>0.28917999999999999</v>
      </c>
      <c r="R14" s="27">
        <v>1.75</v>
      </c>
      <c r="S14" s="25">
        <v>3.71875</v>
      </c>
      <c r="T14" s="25">
        <v>1.8125</v>
      </c>
      <c r="U14" s="25">
        <v>13.125</v>
      </c>
      <c r="V14" s="28">
        <v>0.43095</v>
      </c>
      <c r="W14" s="25">
        <v>1.71875</v>
      </c>
      <c r="X14" s="24">
        <v>0.29091</v>
      </c>
      <c r="Y14" s="25">
        <v>5.875</v>
      </c>
      <c r="Z14" s="24">
        <v>0.72872000000000003</v>
      </c>
      <c r="AA14" s="24">
        <v>0.45</v>
      </c>
      <c r="AB14" s="24">
        <v>0.51222999999999996</v>
      </c>
      <c r="AC14" s="25">
        <v>1.9829000000000001</v>
      </c>
      <c r="AD14" s="25">
        <v>0.57379999999999998</v>
      </c>
      <c r="AE14" s="25">
        <v>1.4091</v>
      </c>
      <c r="AF14" s="25">
        <v>98.67</v>
      </c>
      <c r="AG14" s="25">
        <v>108.65</v>
      </c>
      <c r="AH14" s="29">
        <f>Table11[[#This Row],[OFF RTG]]-Table11[[#This Row],[DEF RTG]]</f>
        <v>-9.980000000000004</v>
      </c>
      <c r="AI14" s="24">
        <v>0.27766000000000002</v>
      </c>
      <c r="AJ14" s="26">
        <v>19</v>
      </c>
      <c r="AS14" t="s">
        <v>401</v>
      </c>
      <c r="AT14" t="s">
        <v>762</v>
      </c>
    </row>
    <row r="15" spans="1:46" x14ac:dyDescent="0.35">
      <c r="A15" t="s">
        <v>277</v>
      </c>
      <c r="B15" t="s">
        <v>571</v>
      </c>
      <c r="C15" t="s">
        <v>729</v>
      </c>
      <c r="D15" t="s">
        <v>495</v>
      </c>
      <c r="E15" t="s">
        <v>459</v>
      </c>
      <c r="F15" s="1">
        <v>1</v>
      </c>
      <c r="G15" t="s">
        <v>242</v>
      </c>
      <c r="H15" t="s">
        <v>215</v>
      </c>
      <c r="I15" s="1">
        <v>1</v>
      </c>
      <c r="J15" s="1" t="s">
        <v>145</v>
      </c>
      <c r="K15" s="1">
        <v>71</v>
      </c>
      <c r="L15">
        <v>19</v>
      </c>
      <c r="M15">
        <v>307</v>
      </c>
      <c r="N15" s="25">
        <v>3.8421099999999999</v>
      </c>
      <c r="O15" s="25">
        <v>1.68421</v>
      </c>
      <c r="P15" s="25">
        <v>1.18519</v>
      </c>
      <c r="Q15" s="24">
        <v>0.22395999999999999</v>
      </c>
      <c r="R15" s="25">
        <v>0.42104999999999998</v>
      </c>
      <c r="S15" s="25">
        <v>1.4210499999999999</v>
      </c>
      <c r="T15" s="27">
        <v>0.73684000000000005</v>
      </c>
      <c r="U15" s="25">
        <v>3.7368399999999999</v>
      </c>
      <c r="V15" s="24">
        <v>0.32394000000000001</v>
      </c>
      <c r="W15" s="25">
        <v>1.7894699999999999</v>
      </c>
      <c r="X15" s="24">
        <v>0.20588000000000001</v>
      </c>
      <c r="Y15" s="25">
        <v>1.31579</v>
      </c>
      <c r="Z15" s="28">
        <v>0.8</v>
      </c>
      <c r="AA15" s="24">
        <v>0.37324000000000002</v>
      </c>
      <c r="AB15" s="24">
        <v>0.44512000000000002</v>
      </c>
      <c r="AC15" s="25">
        <v>-5.6300000000000003E-2</v>
      </c>
      <c r="AD15" s="25">
        <v>-0.31109999999999999</v>
      </c>
      <c r="AE15" s="25">
        <v>0.25469999999999998</v>
      </c>
      <c r="AF15" s="25">
        <v>83.48</v>
      </c>
      <c r="AG15" s="25">
        <v>112.93</v>
      </c>
      <c r="AH15" s="29">
        <f>Table11[[#This Row],[OFF RTG]]-Table11[[#This Row],[DEF RTG]]</f>
        <v>-29.450000000000003</v>
      </c>
      <c r="AI15" s="24">
        <v>0.19031999999999999</v>
      </c>
      <c r="AJ15">
        <v>-98</v>
      </c>
      <c r="AS15" t="s">
        <v>736</v>
      </c>
      <c r="AT15" t="s">
        <v>776</v>
      </c>
    </row>
    <row r="16" spans="1:46" x14ac:dyDescent="0.35">
      <c r="A16" t="s">
        <v>446</v>
      </c>
      <c r="B16" t="s">
        <v>678</v>
      </c>
      <c r="C16" t="s">
        <v>729</v>
      </c>
      <c r="D16" t="s">
        <v>701</v>
      </c>
      <c r="E16" t="s">
        <v>478</v>
      </c>
      <c r="F16" s="1">
        <v>1</v>
      </c>
      <c r="G16" t="s">
        <v>360</v>
      </c>
      <c r="H16" t="s">
        <v>357</v>
      </c>
      <c r="I16" s="1">
        <v>1</v>
      </c>
      <c r="J16" s="1" t="s">
        <v>145</v>
      </c>
      <c r="K16" s="1">
        <v>74</v>
      </c>
      <c r="L16">
        <v>15</v>
      </c>
      <c r="M16">
        <v>260</v>
      </c>
      <c r="N16" s="25">
        <v>3.9333300000000002</v>
      </c>
      <c r="O16" s="25">
        <v>1.2</v>
      </c>
      <c r="P16" s="25">
        <v>1.125</v>
      </c>
      <c r="Q16" s="24">
        <v>0.12003</v>
      </c>
      <c r="R16" s="27">
        <v>1.1333299999999999</v>
      </c>
      <c r="S16" s="25">
        <v>1.06667</v>
      </c>
      <c r="T16" s="25">
        <v>1.93333</v>
      </c>
      <c r="U16" s="25">
        <v>4.5999999999999996</v>
      </c>
      <c r="V16" s="24">
        <v>0.28986000000000001</v>
      </c>
      <c r="W16" s="25">
        <v>1.93333</v>
      </c>
      <c r="X16" s="24">
        <v>0.31034</v>
      </c>
      <c r="Y16" s="25">
        <v>0.8</v>
      </c>
      <c r="Z16" s="28">
        <v>0.83333000000000002</v>
      </c>
      <c r="AA16" s="24">
        <v>0.35507</v>
      </c>
      <c r="AB16" s="24">
        <v>0.39704</v>
      </c>
      <c r="AC16" s="25">
        <v>0.3044</v>
      </c>
      <c r="AD16" s="25">
        <v>-0.14760000000000001</v>
      </c>
      <c r="AE16" s="25">
        <v>0.45200000000000001</v>
      </c>
      <c r="AF16" s="25">
        <v>87.25</v>
      </c>
      <c r="AG16" s="27">
        <v>103.01</v>
      </c>
      <c r="AH16" s="29">
        <f>Table11[[#This Row],[OFF RTG]]-Table11[[#This Row],[DEF RTG]]</f>
        <v>-15.760000000000005</v>
      </c>
      <c r="AI16" s="24">
        <v>0.17197000000000001</v>
      </c>
      <c r="AJ16" s="26">
        <v>4</v>
      </c>
      <c r="AS16" t="s">
        <v>153</v>
      </c>
      <c r="AT16" t="s">
        <v>763</v>
      </c>
    </row>
    <row r="17" spans="1:46" x14ac:dyDescent="0.35">
      <c r="A17" t="s">
        <v>343</v>
      </c>
      <c r="B17" t="s">
        <v>142</v>
      </c>
      <c r="C17" t="s">
        <v>729</v>
      </c>
      <c r="D17" t="s">
        <v>511</v>
      </c>
      <c r="E17" t="s">
        <v>458</v>
      </c>
      <c r="F17" s="1">
        <v>1</v>
      </c>
      <c r="G17" t="s">
        <v>432</v>
      </c>
      <c r="H17" t="s">
        <v>168</v>
      </c>
      <c r="I17" s="1">
        <v>1</v>
      </c>
      <c r="J17" s="1" t="s">
        <v>145</v>
      </c>
      <c r="K17" s="1">
        <v>74</v>
      </c>
      <c r="L17" s="26">
        <v>33</v>
      </c>
      <c r="M17">
        <v>1065</v>
      </c>
      <c r="N17" s="27">
        <v>16.181819999999998</v>
      </c>
      <c r="O17" s="25">
        <v>2.1515200000000001</v>
      </c>
      <c r="P17" s="25">
        <v>1.0289900000000001</v>
      </c>
      <c r="Q17" s="24">
        <v>0.15159</v>
      </c>
      <c r="R17" s="27">
        <v>1.1515200000000001</v>
      </c>
      <c r="S17" s="25">
        <v>2.09091</v>
      </c>
      <c r="T17" s="25">
        <v>1.57576</v>
      </c>
      <c r="U17" s="25">
        <v>14.48485</v>
      </c>
      <c r="V17" s="24">
        <v>0.37029000000000001</v>
      </c>
      <c r="W17" s="25">
        <v>5.8181799999999999</v>
      </c>
      <c r="X17" s="24">
        <v>0.32812999999999998</v>
      </c>
      <c r="Y17" s="25">
        <v>4.5757599999999998</v>
      </c>
      <c r="Z17" s="24">
        <v>0.77483000000000002</v>
      </c>
      <c r="AA17" s="24">
        <v>0.43619000000000002</v>
      </c>
      <c r="AB17" s="24">
        <v>0.49045</v>
      </c>
      <c r="AC17" s="25">
        <v>1.9381999999999999</v>
      </c>
      <c r="AD17" s="25">
        <v>0.49909999999999999</v>
      </c>
      <c r="AE17" s="25">
        <v>1.4391</v>
      </c>
      <c r="AF17" s="25">
        <v>98.65</v>
      </c>
      <c r="AG17" s="25">
        <v>107.19</v>
      </c>
      <c r="AH17" s="29">
        <f>Table11[[#This Row],[OFF RTG]]-Table11[[#This Row],[DEF RTG]]</f>
        <v>-8.539999999999992</v>
      </c>
      <c r="AI17" s="24">
        <v>0.29099000000000003</v>
      </c>
      <c r="AJ17">
        <v>-111</v>
      </c>
      <c r="AS17" t="s">
        <v>737</v>
      </c>
      <c r="AT17" t="s">
        <v>777</v>
      </c>
    </row>
    <row r="18" spans="1:46" x14ac:dyDescent="0.35">
      <c r="A18" t="s">
        <v>534</v>
      </c>
      <c r="B18" t="s">
        <v>535</v>
      </c>
      <c r="C18" t="s">
        <v>729</v>
      </c>
      <c r="D18" t="s">
        <v>543</v>
      </c>
      <c r="E18" t="s">
        <v>479</v>
      </c>
      <c r="F18" s="1">
        <v>2</v>
      </c>
      <c r="G18" t="s">
        <v>433</v>
      </c>
      <c r="H18" t="s">
        <v>215</v>
      </c>
      <c r="I18" s="1">
        <v>1</v>
      </c>
      <c r="J18" s="1" t="s">
        <v>145</v>
      </c>
      <c r="K18" s="1">
        <v>74</v>
      </c>
      <c r="L18" s="26">
        <v>25</v>
      </c>
      <c r="M18">
        <v>764</v>
      </c>
      <c r="N18" s="27">
        <v>11</v>
      </c>
      <c r="O18" s="25">
        <v>1.04</v>
      </c>
      <c r="P18" s="25">
        <v>0.57777999999999996</v>
      </c>
      <c r="Q18" s="24">
        <v>7.9430000000000001E-2</v>
      </c>
      <c r="R18" s="27">
        <v>1</v>
      </c>
      <c r="S18" s="25">
        <v>1.8</v>
      </c>
      <c r="T18" s="27">
        <v>1.08</v>
      </c>
      <c r="U18" s="25">
        <v>9.92</v>
      </c>
      <c r="V18" s="24">
        <v>0.3871</v>
      </c>
      <c r="W18" s="25">
        <v>3.64</v>
      </c>
      <c r="X18" s="28">
        <v>0.35165000000000002</v>
      </c>
      <c r="Y18" s="25">
        <v>2.68</v>
      </c>
      <c r="Z18" s="24">
        <v>0.76119000000000003</v>
      </c>
      <c r="AA18" s="24">
        <v>0.45161000000000001</v>
      </c>
      <c r="AB18" s="24">
        <v>0.4955</v>
      </c>
      <c r="AC18" s="25">
        <v>0.9516</v>
      </c>
      <c r="AD18" s="25">
        <v>4.6399999999999997E-2</v>
      </c>
      <c r="AE18" s="25">
        <v>0.9052</v>
      </c>
      <c r="AF18" s="25">
        <v>95.54</v>
      </c>
      <c r="AG18" s="25">
        <v>109.06</v>
      </c>
      <c r="AH18" s="29">
        <f>Table11[[#This Row],[OFF RTG]]-Table11[[#This Row],[DEF RTG]]</f>
        <v>-13.519999999999996</v>
      </c>
      <c r="AI18" s="24">
        <v>0.21708</v>
      </c>
      <c r="AJ18">
        <v>-207</v>
      </c>
      <c r="AS18" t="s">
        <v>154</v>
      </c>
      <c r="AT18" t="s">
        <v>765</v>
      </c>
    </row>
    <row r="19" spans="1:46" x14ac:dyDescent="0.35">
      <c r="A19" t="s">
        <v>609</v>
      </c>
      <c r="B19" t="s">
        <v>610</v>
      </c>
      <c r="C19" t="s">
        <v>729</v>
      </c>
      <c r="D19" t="s">
        <v>169</v>
      </c>
      <c r="E19" t="s">
        <v>168</v>
      </c>
      <c r="F19" s="1">
        <v>1</v>
      </c>
      <c r="G19" t="s">
        <v>187</v>
      </c>
      <c r="H19" t="s">
        <v>168</v>
      </c>
      <c r="I19" s="1">
        <v>1</v>
      </c>
      <c r="J19" s="1" t="s">
        <v>145</v>
      </c>
      <c r="K19" s="1">
        <v>72</v>
      </c>
      <c r="L19">
        <v>23</v>
      </c>
      <c r="M19">
        <v>402</v>
      </c>
      <c r="N19" s="27">
        <v>10.13043</v>
      </c>
      <c r="O19" s="25">
        <v>0.26086999999999999</v>
      </c>
      <c r="P19" s="25">
        <v>0.26086999999999999</v>
      </c>
      <c r="Q19" s="24">
        <v>3.8640000000000001E-2</v>
      </c>
      <c r="R19" s="25">
        <v>8.6959999999999996E-2</v>
      </c>
      <c r="S19" s="27">
        <v>1</v>
      </c>
      <c r="T19" s="27">
        <v>0.60870000000000002</v>
      </c>
      <c r="U19" s="25">
        <v>9.0434800000000006</v>
      </c>
      <c r="V19" s="24">
        <v>0.37019000000000002</v>
      </c>
      <c r="W19" s="25">
        <v>6.4782599999999997</v>
      </c>
      <c r="X19" s="28">
        <v>0.38255</v>
      </c>
      <c r="Y19" s="25">
        <v>1.17391</v>
      </c>
      <c r="Z19" s="28">
        <v>0.81481000000000003</v>
      </c>
      <c r="AA19" s="28">
        <v>0.50721000000000005</v>
      </c>
      <c r="AB19" s="28">
        <v>0.52978999999999998</v>
      </c>
      <c r="AC19" s="25">
        <v>0.67969999999999997</v>
      </c>
      <c r="AD19" s="25">
        <v>0.56879999999999997</v>
      </c>
      <c r="AE19" s="25">
        <v>0.1109</v>
      </c>
      <c r="AF19" s="25">
        <v>106.11</v>
      </c>
      <c r="AG19" s="25">
        <v>118.98</v>
      </c>
      <c r="AH19" s="29">
        <f>Table11[[#This Row],[OFF RTG]]-Table11[[#This Row],[DEF RTG]]</f>
        <v>-12.870000000000005</v>
      </c>
      <c r="AI19" s="24">
        <v>0.30625000000000002</v>
      </c>
      <c r="AJ19">
        <v>-171</v>
      </c>
      <c r="AS19" t="s">
        <v>738</v>
      </c>
      <c r="AT19" t="s">
        <v>778</v>
      </c>
    </row>
    <row r="20" spans="1:46" x14ac:dyDescent="0.35">
      <c r="A20" t="s">
        <v>666</v>
      </c>
      <c r="B20" t="s">
        <v>667</v>
      </c>
      <c r="C20" t="s">
        <v>406</v>
      </c>
      <c r="D20" t="s">
        <v>487</v>
      </c>
      <c r="E20" t="s">
        <v>469</v>
      </c>
      <c r="F20" s="1">
        <v>1</v>
      </c>
      <c r="G20" t="s">
        <v>395</v>
      </c>
      <c r="H20" t="s">
        <v>357</v>
      </c>
      <c r="I20" s="1">
        <v>1</v>
      </c>
      <c r="J20" s="1" t="s">
        <v>145</v>
      </c>
      <c r="K20" s="1">
        <v>73</v>
      </c>
      <c r="L20" s="26">
        <v>30</v>
      </c>
      <c r="M20">
        <v>692</v>
      </c>
      <c r="N20" s="25">
        <v>8.4666700000000006</v>
      </c>
      <c r="O20" s="25">
        <v>0.86667000000000005</v>
      </c>
      <c r="P20" s="27">
        <v>1.73333</v>
      </c>
      <c r="Q20" s="24">
        <v>7.936E-2</v>
      </c>
      <c r="R20" s="25">
        <v>0.56667000000000001</v>
      </c>
      <c r="S20" s="27">
        <v>0.5</v>
      </c>
      <c r="T20" s="25">
        <v>1.56667</v>
      </c>
      <c r="U20" s="25">
        <v>6.3</v>
      </c>
      <c r="V20" s="28">
        <v>0.41270000000000001</v>
      </c>
      <c r="W20" s="25">
        <v>4.2333299999999996</v>
      </c>
      <c r="X20" s="28">
        <v>0.40156999999999998</v>
      </c>
      <c r="Y20" s="25">
        <v>1.8666700000000001</v>
      </c>
      <c r="Z20" s="28">
        <v>0.83928999999999998</v>
      </c>
      <c r="AA20" s="28">
        <v>0.54762</v>
      </c>
      <c r="AB20" s="28">
        <v>0.59457000000000004</v>
      </c>
      <c r="AC20" s="25">
        <v>1.6927000000000001</v>
      </c>
      <c r="AD20" s="25">
        <v>1.2965</v>
      </c>
      <c r="AE20" s="25">
        <v>0.3962</v>
      </c>
      <c r="AF20" s="27">
        <v>118.94</v>
      </c>
      <c r="AG20" s="25">
        <v>115.73</v>
      </c>
      <c r="AH20" s="29">
        <f>Table11[[#This Row],[OFF RTG]]-Table11[[#This Row],[DEF RTG]]</f>
        <v>3.2099999999999937</v>
      </c>
      <c r="AI20" s="24">
        <v>0.18432000000000001</v>
      </c>
      <c r="AJ20">
        <v>-71</v>
      </c>
      <c r="AS20" t="s">
        <v>155</v>
      </c>
      <c r="AT20" t="s">
        <v>766</v>
      </c>
    </row>
    <row r="21" spans="1:46" x14ac:dyDescent="0.35">
      <c r="A21" t="s">
        <v>80</v>
      </c>
      <c r="B21" t="s">
        <v>659</v>
      </c>
      <c r="C21" t="s">
        <v>406</v>
      </c>
      <c r="D21" t="s">
        <v>692</v>
      </c>
      <c r="E21" t="s">
        <v>478</v>
      </c>
      <c r="F21" s="1">
        <v>1</v>
      </c>
      <c r="G21" t="s">
        <v>489</v>
      </c>
      <c r="H21" t="s">
        <v>357</v>
      </c>
      <c r="I21" s="1">
        <v>1</v>
      </c>
      <c r="J21" s="1" t="s">
        <v>145</v>
      </c>
      <c r="K21" s="1">
        <v>70</v>
      </c>
      <c r="L21" s="26">
        <v>30</v>
      </c>
      <c r="M21">
        <v>927</v>
      </c>
      <c r="N21" s="27">
        <v>13.56667</v>
      </c>
      <c r="O21" s="25">
        <v>2.76667</v>
      </c>
      <c r="P21" s="27">
        <v>1.7291700000000001</v>
      </c>
      <c r="Q21" s="24">
        <v>0.17047999999999999</v>
      </c>
      <c r="R21" s="25">
        <v>0.83333000000000002</v>
      </c>
      <c r="S21" s="25">
        <v>1.6</v>
      </c>
      <c r="T21" s="27">
        <v>1.23333</v>
      </c>
      <c r="U21" s="25">
        <v>8.6666699999999999</v>
      </c>
      <c r="V21" s="28">
        <v>0.42692000000000002</v>
      </c>
      <c r="W21" s="25">
        <v>4.7</v>
      </c>
      <c r="X21" s="28">
        <v>0.43262</v>
      </c>
      <c r="Y21" s="25">
        <v>4.7333299999999996</v>
      </c>
      <c r="Z21" s="28">
        <v>0.87324000000000002</v>
      </c>
      <c r="AA21" s="28">
        <v>0.54422999999999999</v>
      </c>
      <c r="AB21" s="28">
        <v>0.63100999999999996</v>
      </c>
      <c r="AC21" s="25">
        <v>3.2048999999999999</v>
      </c>
      <c r="AD21" s="25">
        <v>2.6646999999999998</v>
      </c>
      <c r="AE21" s="25">
        <v>0.54020000000000001</v>
      </c>
      <c r="AF21" s="27">
        <v>126.21</v>
      </c>
      <c r="AG21" s="25">
        <v>115.61</v>
      </c>
      <c r="AH21" s="43">
        <f>Table11[[#This Row],[OFF RTG]]-Table11[[#This Row],[DEF RTG]]</f>
        <v>10.599999999999994</v>
      </c>
      <c r="AI21" s="24">
        <v>0.20330000000000001</v>
      </c>
      <c r="AJ21" s="26">
        <v>38</v>
      </c>
      <c r="AS21" t="s">
        <v>157</v>
      </c>
      <c r="AT21" t="s">
        <v>764</v>
      </c>
    </row>
    <row r="22" spans="1:46" x14ac:dyDescent="0.35">
      <c r="A22" t="s">
        <v>616</v>
      </c>
      <c r="B22" t="s">
        <v>617</v>
      </c>
      <c r="C22" t="s">
        <v>406</v>
      </c>
      <c r="D22" t="s">
        <v>454</v>
      </c>
      <c r="E22" t="s">
        <v>460</v>
      </c>
      <c r="F22" s="1">
        <v>1</v>
      </c>
      <c r="G22" t="s">
        <v>439</v>
      </c>
      <c r="H22" t="s">
        <v>168</v>
      </c>
      <c r="I22" s="1">
        <v>1</v>
      </c>
      <c r="J22" s="1" t="s">
        <v>145</v>
      </c>
      <c r="K22" s="1">
        <v>72</v>
      </c>
      <c r="L22" s="26">
        <v>41</v>
      </c>
      <c r="M22">
        <v>314</v>
      </c>
      <c r="N22" s="25">
        <v>3.9032300000000002</v>
      </c>
      <c r="O22" s="25">
        <v>1.12903</v>
      </c>
      <c r="P22" s="27">
        <v>1.59091</v>
      </c>
      <c r="Q22" s="24">
        <v>0.23183999999999999</v>
      </c>
      <c r="R22" s="25">
        <v>0.51612999999999998</v>
      </c>
      <c r="S22" s="27">
        <v>0.70967999999999998</v>
      </c>
      <c r="T22" s="27">
        <v>0.51612999999999998</v>
      </c>
      <c r="U22" s="25">
        <v>3.3871000000000002</v>
      </c>
      <c r="V22" s="28">
        <v>0.41904999999999998</v>
      </c>
      <c r="W22" s="25">
        <v>0.93547999999999998</v>
      </c>
      <c r="X22" s="28">
        <v>0.37930999999999998</v>
      </c>
      <c r="Y22" s="25">
        <v>1</v>
      </c>
      <c r="Z22" s="24">
        <v>0.70967999999999998</v>
      </c>
      <c r="AA22" s="24">
        <v>0.47143000000000002</v>
      </c>
      <c r="AB22" s="24">
        <v>0.51012000000000002</v>
      </c>
      <c r="AC22" s="25">
        <v>0.622</v>
      </c>
      <c r="AD22" s="25">
        <v>0.21179999999999999</v>
      </c>
      <c r="AE22" s="25">
        <v>0.41010000000000002</v>
      </c>
      <c r="AF22" s="25">
        <v>101.35</v>
      </c>
      <c r="AG22" s="25">
        <v>107.72</v>
      </c>
      <c r="AH22" s="29">
        <f>Table11[[#This Row],[OFF RTG]]-Table11[[#This Row],[DEF RTG]]</f>
        <v>-6.3700000000000045</v>
      </c>
      <c r="AI22" s="24">
        <v>0.22478999999999999</v>
      </c>
      <c r="AJ22">
        <v>-44</v>
      </c>
      <c r="AS22" t="s">
        <v>156</v>
      </c>
      <c r="AT22" t="s">
        <v>767</v>
      </c>
    </row>
    <row r="23" spans="1:46" x14ac:dyDescent="0.35">
      <c r="A23" t="s">
        <v>660</v>
      </c>
      <c r="B23" t="s">
        <v>661</v>
      </c>
      <c r="C23" t="s">
        <v>406</v>
      </c>
      <c r="D23" t="s">
        <v>435</v>
      </c>
      <c r="E23" t="s">
        <v>476</v>
      </c>
      <c r="F23" s="1">
        <v>1</v>
      </c>
      <c r="G23" t="s">
        <v>366</v>
      </c>
      <c r="H23" t="s">
        <v>357</v>
      </c>
      <c r="I23" s="1">
        <v>1</v>
      </c>
      <c r="J23" s="1" t="s">
        <v>145</v>
      </c>
      <c r="K23" s="1">
        <v>72</v>
      </c>
      <c r="L23" s="26">
        <v>31</v>
      </c>
      <c r="M23">
        <v>925</v>
      </c>
      <c r="N23" s="25">
        <v>5.0967700000000002</v>
      </c>
      <c r="O23" s="27">
        <v>3.7741899999999999</v>
      </c>
      <c r="P23" s="27">
        <v>1.5</v>
      </c>
      <c r="Q23" s="24">
        <v>0.24335000000000001</v>
      </c>
      <c r="R23" s="27">
        <v>1.90323</v>
      </c>
      <c r="S23" s="25">
        <v>2.51613</v>
      </c>
      <c r="T23" s="25">
        <v>2.7096800000000001</v>
      </c>
      <c r="U23" s="25">
        <v>4.7419399999999996</v>
      </c>
      <c r="V23" s="28">
        <v>0.42857000000000001</v>
      </c>
      <c r="W23" s="25">
        <v>1.7096800000000001</v>
      </c>
      <c r="X23" s="28">
        <v>0.37735999999999997</v>
      </c>
      <c r="Y23" s="25">
        <v>0.58065</v>
      </c>
      <c r="Z23" s="24">
        <v>0.66666999999999998</v>
      </c>
      <c r="AA23" s="24">
        <v>0.49659999999999999</v>
      </c>
      <c r="AB23" s="24">
        <v>0.51000999999999996</v>
      </c>
      <c r="AC23" s="25">
        <v>-0.14399999999999999</v>
      </c>
      <c r="AD23" s="25">
        <v>-0.49890000000000001</v>
      </c>
      <c r="AE23" s="25">
        <v>0.35489999999999999</v>
      </c>
      <c r="AF23" s="25">
        <v>87.39</v>
      </c>
      <c r="AG23" s="25">
        <v>117.78</v>
      </c>
      <c r="AH23" s="29">
        <f>Table11[[#This Row],[OFF RTG]]-Table11[[#This Row],[DEF RTG]]</f>
        <v>-30.39</v>
      </c>
      <c r="AI23" s="24">
        <v>0.14036000000000001</v>
      </c>
      <c r="AJ23">
        <v>-317</v>
      </c>
      <c r="AS23" t="s">
        <v>100</v>
      </c>
      <c r="AT23" t="s">
        <v>768</v>
      </c>
    </row>
    <row r="24" spans="1:46" x14ac:dyDescent="0.35">
      <c r="A24" t="s">
        <v>582</v>
      </c>
      <c r="B24" t="s">
        <v>583</v>
      </c>
      <c r="C24" t="s">
        <v>406</v>
      </c>
      <c r="D24" t="s">
        <v>595</v>
      </c>
      <c r="E24" t="s">
        <v>596</v>
      </c>
      <c r="F24" s="1">
        <v>2</v>
      </c>
      <c r="G24" t="s">
        <v>433</v>
      </c>
      <c r="H24" t="s">
        <v>215</v>
      </c>
      <c r="I24" s="1">
        <v>1</v>
      </c>
      <c r="J24" s="1" t="s">
        <v>145</v>
      </c>
      <c r="K24" s="1">
        <v>72</v>
      </c>
      <c r="L24">
        <v>9</v>
      </c>
      <c r="M24">
        <v>22</v>
      </c>
      <c r="N24" s="29"/>
      <c r="O24" s="29"/>
      <c r="P24" s="29"/>
      <c r="Q24" s="32"/>
      <c r="R24" s="29"/>
      <c r="S24" s="29"/>
      <c r="T24" s="29"/>
      <c r="U24" s="29"/>
      <c r="V24" s="32"/>
      <c r="W24" s="29"/>
      <c r="X24" s="32"/>
      <c r="Y24" s="29"/>
      <c r="Z24" s="32"/>
      <c r="AA24" s="32"/>
      <c r="AB24" s="32"/>
      <c r="AC24" s="29"/>
      <c r="AD24" s="29"/>
      <c r="AE24" s="29"/>
      <c r="AF24" s="29"/>
      <c r="AG24" s="29"/>
      <c r="AH24" s="29">
        <f>Table11[[#This Row],[OFF RTG]]-Table11[[#This Row],[DEF RTG]]</f>
        <v>0</v>
      </c>
      <c r="AI24" s="32"/>
      <c r="AJ24" s="1"/>
      <c r="AS24" t="s">
        <v>101</v>
      </c>
      <c r="AT24" t="s">
        <v>769</v>
      </c>
    </row>
    <row r="25" spans="1:46" x14ac:dyDescent="0.35">
      <c r="A25" t="s">
        <v>721</v>
      </c>
      <c r="B25" t="s">
        <v>722</v>
      </c>
      <c r="C25" t="s">
        <v>406</v>
      </c>
      <c r="D25" t="s">
        <v>690</v>
      </c>
      <c r="E25" t="s">
        <v>482</v>
      </c>
      <c r="F25" s="1">
        <v>2</v>
      </c>
      <c r="G25" t="s">
        <v>315</v>
      </c>
      <c r="H25" t="s">
        <v>305</v>
      </c>
      <c r="I25" s="1">
        <v>1</v>
      </c>
      <c r="J25" s="1" t="s">
        <v>145</v>
      </c>
      <c r="K25" s="1">
        <v>72</v>
      </c>
      <c r="L25">
        <v>3</v>
      </c>
      <c r="M25">
        <v>4</v>
      </c>
      <c r="N25" s="29"/>
      <c r="O25" s="29"/>
      <c r="P25" s="29"/>
      <c r="Q25" s="31"/>
      <c r="R25" s="29"/>
      <c r="S25" s="29"/>
      <c r="T25" s="29"/>
      <c r="U25" s="29"/>
      <c r="V25" s="31"/>
      <c r="W25" s="29"/>
      <c r="X25" s="31"/>
      <c r="Y25" s="29"/>
      <c r="Z25" s="31"/>
      <c r="AA25" s="31"/>
      <c r="AB25" s="32"/>
      <c r="AC25" s="29"/>
      <c r="AD25" s="29"/>
      <c r="AE25" s="29"/>
      <c r="AF25" s="29"/>
      <c r="AG25" s="29"/>
      <c r="AH25" s="29">
        <f>Table11[[#This Row],[OFF RTG]]-Table11[[#This Row],[DEF RTG]]</f>
        <v>0</v>
      </c>
      <c r="AI25" s="31"/>
      <c r="AJ25" s="1"/>
      <c r="AS25" t="s">
        <v>102</v>
      </c>
      <c r="AT25" t="s">
        <v>770</v>
      </c>
    </row>
    <row r="26" spans="1:46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30"/>
      <c r="S26" s="30"/>
      <c r="T26" s="30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S26" t="s">
        <v>103</v>
      </c>
      <c r="AT26" t="s">
        <v>771</v>
      </c>
    </row>
    <row r="27" spans="1:46" x14ac:dyDescent="0.35">
      <c r="A27" t="s">
        <v>94</v>
      </c>
      <c r="B27" t="s">
        <v>95</v>
      </c>
      <c r="C27" t="s">
        <v>97</v>
      </c>
      <c r="D27" t="s">
        <v>417</v>
      </c>
      <c r="E27" t="s">
        <v>731</v>
      </c>
      <c r="F27" t="s">
        <v>418</v>
      </c>
      <c r="G27" t="s">
        <v>419</v>
      </c>
      <c r="H27" t="s">
        <v>732</v>
      </c>
      <c r="I27" t="s">
        <v>733</v>
      </c>
      <c r="J27" t="s">
        <v>144</v>
      </c>
      <c r="K27" t="s">
        <v>734</v>
      </c>
      <c r="L27" t="s">
        <v>105</v>
      </c>
      <c r="M27" t="s">
        <v>75</v>
      </c>
      <c r="N27" t="s">
        <v>152</v>
      </c>
      <c r="O27" t="s">
        <v>151</v>
      </c>
      <c r="P27" t="s">
        <v>399</v>
      </c>
      <c r="Q27" t="s">
        <v>400</v>
      </c>
      <c r="R27" t="s">
        <v>150</v>
      </c>
      <c r="S27" t="s">
        <v>730</v>
      </c>
      <c r="T27" t="s">
        <v>397</v>
      </c>
      <c r="U27" t="s">
        <v>149</v>
      </c>
      <c r="V27" t="s">
        <v>148</v>
      </c>
      <c r="W27" t="s">
        <v>739</v>
      </c>
      <c r="X27" t="s">
        <v>147</v>
      </c>
      <c r="Y27" t="s">
        <v>401</v>
      </c>
      <c r="Z27" t="s">
        <v>736</v>
      </c>
      <c r="AA27" t="s">
        <v>153</v>
      </c>
      <c r="AB27" t="s">
        <v>737</v>
      </c>
      <c r="AC27" t="s">
        <v>154</v>
      </c>
      <c r="AD27" t="s">
        <v>738</v>
      </c>
      <c r="AE27" t="s">
        <v>155</v>
      </c>
      <c r="AF27" t="s">
        <v>157</v>
      </c>
      <c r="AG27" t="s">
        <v>156</v>
      </c>
      <c r="AH27" t="s">
        <v>100</v>
      </c>
      <c r="AI27" t="s">
        <v>101</v>
      </c>
      <c r="AJ27" t="s">
        <v>102</v>
      </c>
      <c r="AK27" t="s">
        <v>103</v>
      </c>
      <c r="AL27" t="s">
        <v>104</v>
      </c>
      <c r="AM27" t="s">
        <v>158</v>
      </c>
      <c r="AN27" t="s">
        <v>398</v>
      </c>
      <c r="AO27" t="s">
        <v>740</v>
      </c>
      <c r="AS27" t="s">
        <v>104</v>
      </c>
      <c r="AT27" t="s">
        <v>772</v>
      </c>
    </row>
    <row r="28" spans="1:46" x14ac:dyDescent="0.35">
      <c r="A28" t="s">
        <v>388</v>
      </c>
      <c r="B28" t="s">
        <v>389</v>
      </c>
      <c r="C28" t="s">
        <v>405</v>
      </c>
      <c r="D28" t="s">
        <v>434</v>
      </c>
      <c r="E28" t="s">
        <v>473</v>
      </c>
      <c r="F28">
        <v>1</v>
      </c>
      <c r="G28" t="s">
        <v>394</v>
      </c>
      <c r="H28" t="s">
        <v>357</v>
      </c>
      <c r="I28">
        <v>1</v>
      </c>
      <c r="J28" t="s">
        <v>145</v>
      </c>
      <c r="K28">
        <v>78</v>
      </c>
      <c r="L28">
        <v>18</v>
      </c>
      <c r="M28">
        <v>122</v>
      </c>
      <c r="N28" s="25">
        <v>2.2777799999999999</v>
      </c>
      <c r="O28" s="25">
        <v>0.88888999999999996</v>
      </c>
      <c r="P28" s="24">
        <v>8.9700000000000005E-3</v>
      </c>
      <c r="Q28" s="24">
        <v>0.16300000000000001</v>
      </c>
      <c r="R28" s="25">
        <v>0.44444</v>
      </c>
      <c r="S28" s="25">
        <v>1</v>
      </c>
      <c r="T28" s="24">
        <v>0.13885</v>
      </c>
      <c r="U28" s="25">
        <v>0.22222</v>
      </c>
      <c r="V28" s="25">
        <v>0.11111</v>
      </c>
      <c r="W28" s="24">
        <v>3.9129999999999998E-2</v>
      </c>
      <c r="X28" s="27">
        <v>0.44444</v>
      </c>
      <c r="Y28" s="27">
        <v>0.88888999999999996</v>
      </c>
      <c r="Z28" s="25">
        <v>2.8333300000000001</v>
      </c>
      <c r="AA28" s="24">
        <v>0.31373000000000001</v>
      </c>
      <c r="AB28" s="25">
        <v>1.61111</v>
      </c>
      <c r="AC28" s="24">
        <v>0.27585999999999999</v>
      </c>
      <c r="AD28" s="25">
        <v>0.11111</v>
      </c>
      <c r="AE28" s="24">
        <v>0.5</v>
      </c>
      <c r="AF28" s="24">
        <v>0.39216000000000001</v>
      </c>
      <c r="AG28" s="24">
        <v>0.39499000000000001</v>
      </c>
      <c r="AH28" s="25">
        <v>-8.9499999999999996E-2</v>
      </c>
      <c r="AI28" s="25">
        <v>-0.20979999999999999</v>
      </c>
      <c r="AJ28" s="25">
        <v>0.1203</v>
      </c>
      <c r="AK28" s="25">
        <v>79.37</v>
      </c>
      <c r="AL28" s="25">
        <v>111.17</v>
      </c>
      <c r="AM28" s="25">
        <f>Table13[[#This Row],[OFF RTG]]-Table13[[#This Row],[DEF RTG]]</f>
        <v>-31.799999999999997</v>
      </c>
      <c r="AN28" s="24">
        <v>0.26139000000000001</v>
      </c>
      <c r="AO28">
        <v>-40</v>
      </c>
      <c r="AS28" t="s">
        <v>158</v>
      </c>
      <c r="AT28" t="s">
        <v>773</v>
      </c>
    </row>
    <row r="29" spans="1:46" x14ac:dyDescent="0.35">
      <c r="A29" t="s">
        <v>662</v>
      </c>
      <c r="B29" t="s">
        <v>176</v>
      </c>
      <c r="C29" t="s">
        <v>729</v>
      </c>
      <c r="D29" t="s">
        <v>694</v>
      </c>
      <c r="E29" t="s">
        <v>467</v>
      </c>
      <c r="F29">
        <v>1</v>
      </c>
      <c r="G29" t="s">
        <v>394</v>
      </c>
      <c r="H29" t="s">
        <v>357</v>
      </c>
      <c r="I29">
        <v>1</v>
      </c>
      <c r="J29" t="s">
        <v>145</v>
      </c>
      <c r="K29">
        <v>75</v>
      </c>
      <c r="L29" s="26">
        <v>30</v>
      </c>
      <c r="M29">
        <v>882</v>
      </c>
      <c r="N29" s="27">
        <v>12.93333</v>
      </c>
      <c r="O29" s="27">
        <v>7.5666700000000002</v>
      </c>
      <c r="P29" s="24">
        <v>9.5399999999999999E-2</v>
      </c>
      <c r="Q29" s="24">
        <v>0.21323</v>
      </c>
      <c r="R29" s="25">
        <v>2.3333300000000001</v>
      </c>
      <c r="S29" s="27">
        <v>2.25806</v>
      </c>
      <c r="T29" s="24">
        <v>0.18254000000000001</v>
      </c>
      <c r="U29" s="27">
        <v>1.9</v>
      </c>
      <c r="V29" s="25">
        <v>0.2</v>
      </c>
      <c r="W29" s="24">
        <v>4.7300000000000002E-2</v>
      </c>
      <c r="X29" s="27">
        <v>1.0333300000000001</v>
      </c>
      <c r="Y29" s="25">
        <v>1.56667</v>
      </c>
      <c r="Z29" s="25">
        <v>10.73333</v>
      </c>
      <c r="AA29" s="28">
        <v>0.46894000000000002</v>
      </c>
      <c r="AB29" s="25">
        <v>1.9</v>
      </c>
      <c r="AC29" s="24">
        <v>0.26316000000000001</v>
      </c>
      <c r="AD29" s="25">
        <v>3.2</v>
      </c>
      <c r="AE29" s="24">
        <v>0.73958000000000002</v>
      </c>
      <c r="AF29" s="24">
        <v>0.49224000000000001</v>
      </c>
      <c r="AG29" s="28">
        <v>0.53266999999999998</v>
      </c>
      <c r="AH29" s="25">
        <v>3.3946999999999998</v>
      </c>
      <c r="AI29" s="25">
        <v>2.0724999999999998</v>
      </c>
      <c r="AJ29" s="25">
        <v>1.3222</v>
      </c>
      <c r="AK29" s="27">
        <v>116.61</v>
      </c>
      <c r="AL29" s="25">
        <v>105.6</v>
      </c>
      <c r="AM29" s="27">
        <f>Table13[[#This Row],[OFF RTG]]-Table13[[#This Row],[DEF RTG]]</f>
        <v>11.010000000000005</v>
      </c>
      <c r="AN29" s="24">
        <v>0.23247999999999999</v>
      </c>
      <c r="AO29">
        <v>-143</v>
      </c>
      <c r="AS29" t="s">
        <v>398</v>
      </c>
      <c r="AT29" t="s">
        <v>774</v>
      </c>
    </row>
    <row r="30" spans="1:46" x14ac:dyDescent="0.35">
      <c r="A30" t="s">
        <v>23</v>
      </c>
      <c r="B30" t="s">
        <v>613</v>
      </c>
      <c r="C30" t="s">
        <v>729</v>
      </c>
      <c r="D30" t="s">
        <v>431</v>
      </c>
      <c r="E30" t="s">
        <v>474</v>
      </c>
      <c r="F30">
        <v>1</v>
      </c>
      <c r="G30" t="s">
        <v>436</v>
      </c>
      <c r="H30" t="s">
        <v>168</v>
      </c>
      <c r="I30">
        <v>1</v>
      </c>
      <c r="J30" t="s">
        <v>145</v>
      </c>
      <c r="K30">
        <v>78</v>
      </c>
      <c r="L30">
        <v>8</v>
      </c>
      <c r="M30">
        <v>204</v>
      </c>
      <c r="N30" s="25">
        <v>4.75</v>
      </c>
      <c r="O30" s="25">
        <v>3.125</v>
      </c>
      <c r="P30" s="24">
        <v>3.9309999999999998E-2</v>
      </c>
      <c r="Q30" s="24">
        <v>9.4829999999999998E-2</v>
      </c>
      <c r="R30" s="25">
        <v>2.375</v>
      </c>
      <c r="S30" s="27">
        <v>1.9</v>
      </c>
      <c r="T30" s="24">
        <v>0.17859</v>
      </c>
      <c r="U30" s="25">
        <v>0.875</v>
      </c>
      <c r="V30" s="25">
        <v>0.125</v>
      </c>
      <c r="W30" s="24">
        <v>2.5829999999999999E-2</v>
      </c>
      <c r="X30" s="25">
        <v>1.25</v>
      </c>
      <c r="Y30" s="25">
        <v>2.125</v>
      </c>
      <c r="Z30" s="25">
        <v>5</v>
      </c>
      <c r="AA30" s="24">
        <v>0.27500000000000002</v>
      </c>
      <c r="AB30" s="25">
        <v>0.75</v>
      </c>
      <c r="AC30" s="24">
        <v>0.33333000000000002</v>
      </c>
      <c r="AD30" s="25">
        <v>3.625</v>
      </c>
      <c r="AE30" s="24">
        <v>0.48276000000000002</v>
      </c>
      <c r="AF30" s="24">
        <v>0.3</v>
      </c>
      <c r="AG30" s="24">
        <v>0.35985</v>
      </c>
      <c r="AH30" s="25">
        <v>0.13439999999999999</v>
      </c>
      <c r="AI30" s="25">
        <v>-0.15740000000000001</v>
      </c>
      <c r="AJ30" s="25">
        <v>0.29189999999999999</v>
      </c>
      <c r="AK30" s="25">
        <v>84.15</v>
      </c>
      <c r="AL30" s="25">
        <v>106.32</v>
      </c>
      <c r="AM30" s="25">
        <f>Table13[[#This Row],[OFF RTG]]-Table13[[#This Row],[DEF RTG]]</f>
        <v>-22.169999999999987</v>
      </c>
      <c r="AN30" s="24">
        <v>0.15206</v>
      </c>
      <c r="AO30">
        <v>-135</v>
      </c>
    </row>
    <row r="31" spans="1:46" x14ac:dyDescent="0.35">
      <c r="A31" t="s">
        <v>443</v>
      </c>
      <c r="B31" t="s">
        <v>599</v>
      </c>
      <c r="C31" t="s">
        <v>729</v>
      </c>
      <c r="D31" t="s">
        <v>447</v>
      </c>
      <c r="E31" t="s">
        <v>463</v>
      </c>
      <c r="F31">
        <v>1</v>
      </c>
      <c r="G31" t="s">
        <v>436</v>
      </c>
      <c r="H31" t="s">
        <v>168</v>
      </c>
      <c r="I31">
        <v>1</v>
      </c>
      <c r="J31" t="s">
        <v>145</v>
      </c>
      <c r="K31">
        <v>75</v>
      </c>
      <c r="L31" s="26">
        <v>26</v>
      </c>
      <c r="M31">
        <v>507</v>
      </c>
      <c r="N31" s="25">
        <v>4.9615400000000003</v>
      </c>
      <c r="O31" s="25">
        <v>2.4615399999999998</v>
      </c>
      <c r="P31" s="24">
        <v>8.3700000000000007E-3</v>
      </c>
      <c r="Q31" s="24">
        <v>0.12238</v>
      </c>
      <c r="R31" s="25">
        <v>1.34615</v>
      </c>
      <c r="S31" s="27">
        <v>1.6666700000000001</v>
      </c>
      <c r="T31" s="24">
        <v>0.12984000000000001</v>
      </c>
      <c r="U31" s="25">
        <v>0.92308000000000001</v>
      </c>
      <c r="V31" s="25">
        <v>0.23077</v>
      </c>
      <c r="W31" s="24">
        <v>4.0809999999999999E-2</v>
      </c>
      <c r="X31" s="27">
        <v>0.80769000000000002</v>
      </c>
      <c r="Y31" s="27">
        <v>1.38462</v>
      </c>
      <c r="Z31" s="25">
        <v>5.61538</v>
      </c>
      <c r="AA31" s="24">
        <v>0.32191999999999998</v>
      </c>
      <c r="AB31" s="25">
        <v>3.38462</v>
      </c>
      <c r="AC31" s="24">
        <v>0.28409000000000001</v>
      </c>
      <c r="AD31" s="25">
        <v>0.5</v>
      </c>
      <c r="AE31" s="24">
        <v>0.76922999999999997</v>
      </c>
      <c r="AF31" s="24">
        <v>0.40753</v>
      </c>
      <c r="AG31" s="24">
        <v>0.42518</v>
      </c>
      <c r="AH31" s="25">
        <v>0.74470000000000003</v>
      </c>
      <c r="AI31" s="25">
        <v>-0.15809999999999999</v>
      </c>
      <c r="AJ31" s="25">
        <v>0.90280000000000005</v>
      </c>
      <c r="AK31" s="25">
        <v>90.58</v>
      </c>
      <c r="AL31" s="27">
        <v>102.45</v>
      </c>
      <c r="AM31" s="25">
        <f>Table13[[#This Row],[OFF RTG]]-Table13[[#This Row],[DEF RTG]]</f>
        <v>-11.870000000000005</v>
      </c>
      <c r="AN31" s="24">
        <v>0.16533</v>
      </c>
      <c r="AO31">
        <v>-44</v>
      </c>
    </row>
    <row r="32" spans="1:46" x14ac:dyDescent="0.35">
      <c r="A32" t="s">
        <v>10</v>
      </c>
      <c r="B32" t="s">
        <v>673</v>
      </c>
      <c r="C32" t="s">
        <v>729</v>
      </c>
      <c r="D32" t="s">
        <v>698</v>
      </c>
      <c r="E32" t="s">
        <v>460</v>
      </c>
      <c r="F32">
        <v>1</v>
      </c>
      <c r="G32" t="s">
        <v>365</v>
      </c>
      <c r="H32" t="s">
        <v>357</v>
      </c>
      <c r="I32">
        <v>1</v>
      </c>
      <c r="J32" t="s">
        <v>145</v>
      </c>
      <c r="K32">
        <v>77</v>
      </c>
      <c r="L32" s="26">
        <v>31</v>
      </c>
      <c r="M32">
        <v>443</v>
      </c>
      <c r="N32" s="25">
        <v>4.1935500000000001</v>
      </c>
      <c r="O32" s="25">
        <v>1.09677</v>
      </c>
      <c r="P32" s="24">
        <v>1.7850000000000001E-2</v>
      </c>
      <c r="Q32" s="24">
        <v>6.8989999999999996E-2</v>
      </c>
      <c r="R32" s="25">
        <v>0.96774000000000004</v>
      </c>
      <c r="S32" s="27">
        <v>1.6666700000000001</v>
      </c>
      <c r="T32" s="24">
        <v>0.12101000000000001</v>
      </c>
      <c r="U32" s="25">
        <v>0.3871</v>
      </c>
      <c r="V32" s="25">
        <v>0</v>
      </c>
      <c r="W32" s="24">
        <v>1.55E-2</v>
      </c>
      <c r="X32" s="27">
        <v>0.58065</v>
      </c>
      <c r="Y32" s="27">
        <v>0.77419000000000004</v>
      </c>
      <c r="Z32" s="25">
        <v>4.0967700000000002</v>
      </c>
      <c r="AA32" s="24">
        <v>0.32283000000000001</v>
      </c>
      <c r="AB32" s="25">
        <v>2.9032300000000002</v>
      </c>
      <c r="AC32" s="24">
        <v>0.32222000000000001</v>
      </c>
      <c r="AD32" s="25">
        <v>0.87097000000000002</v>
      </c>
      <c r="AE32" s="24">
        <v>0.70369999999999999</v>
      </c>
      <c r="AF32" s="24">
        <v>0.43701000000000001</v>
      </c>
      <c r="AG32" s="24">
        <v>0.46795999999999999</v>
      </c>
      <c r="AH32" s="25">
        <v>0.72309999999999997</v>
      </c>
      <c r="AI32" s="25">
        <v>0.20699999999999999</v>
      </c>
      <c r="AJ32" s="25">
        <v>0.5161</v>
      </c>
      <c r="AK32" s="25">
        <v>101.19</v>
      </c>
      <c r="AL32" s="25">
        <v>109.34</v>
      </c>
      <c r="AM32" s="25">
        <f>Table13[[#This Row],[OFF RTG]]-Table13[[#This Row],[DEF RTG]]</f>
        <v>-8.1500000000000057</v>
      </c>
      <c r="AN32" s="24">
        <v>0.17182</v>
      </c>
      <c r="AO32">
        <v>-18</v>
      </c>
    </row>
    <row r="33" spans="1:41" x14ac:dyDescent="0.35">
      <c r="A33" t="s">
        <v>403</v>
      </c>
      <c r="B33" t="s">
        <v>518</v>
      </c>
      <c r="C33" t="s">
        <v>729</v>
      </c>
      <c r="D33" t="s">
        <v>524</v>
      </c>
      <c r="E33" t="s">
        <v>521</v>
      </c>
      <c r="F33">
        <v>1</v>
      </c>
      <c r="G33" t="s">
        <v>170</v>
      </c>
      <c r="H33" t="s">
        <v>168</v>
      </c>
      <c r="I33">
        <v>1</v>
      </c>
      <c r="J33" t="s">
        <v>145</v>
      </c>
      <c r="K33">
        <v>75</v>
      </c>
      <c r="L33" s="26">
        <v>29</v>
      </c>
      <c r="M33">
        <v>564</v>
      </c>
      <c r="N33" s="25">
        <v>7.6206899999999997</v>
      </c>
      <c r="O33" s="25">
        <v>1.4827600000000001</v>
      </c>
      <c r="P33" s="24">
        <v>1.3820000000000001E-2</v>
      </c>
      <c r="Q33" s="24">
        <v>7.7090000000000006E-2</v>
      </c>
      <c r="R33" s="25">
        <v>2.1724100000000002</v>
      </c>
      <c r="S33" s="27">
        <v>1.575</v>
      </c>
      <c r="T33" s="24">
        <v>0.23079</v>
      </c>
      <c r="U33" s="25">
        <v>0.93103000000000002</v>
      </c>
      <c r="V33" s="25">
        <v>6.8970000000000004E-2</v>
      </c>
      <c r="W33" s="24">
        <v>3.2399999999999998E-2</v>
      </c>
      <c r="X33" s="25">
        <v>1.37931</v>
      </c>
      <c r="Y33" s="27">
        <v>1.3103400000000001</v>
      </c>
      <c r="Z33" s="25">
        <v>6.7586199999999996</v>
      </c>
      <c r="AA33" s="24">
        <v>0.37755</v>
      </c>
      <c r="AB33" s="25">
        <v>3.9655200000000002</v>
      </c>
      <c r="AC33" s="28">
        <v>0.35652</v>
      </c>
      <c r="AD33" s="25">
        <v>1.37931</v>
      </c>
      <c r="AE33" s="28">
        <v>0.8</v>
      </c>
      <c r="AF33" s="24">
        <v>0.48214000000000001</v>
      </c>
      <c r="AG33" s="24">
        <v>0.51732</v>
      </c>
      <c r="AH33" s="25">
        <v>1.4943</v>
      </c>
      <c r="AI33" s="25">
        <v>0.55389999999999995</v>
      </c>
      <c r="AJ33" s="25">
        <v>0.94040000000000001</v>
      </c>
      <c r="AK33" s="25">
        <v>104.83</v>
      </c>
      <c r="AL33" s="27">
        <v>103.82</v>
      </c>
      <c r="AM33" s="25">
        <f>Table13[[#This Row],[OFF RTG]]-Table13[[#This Row],[DEF RTG]]</f>
        <v>1.0100000000000051</v>
      </c>
      <c r="AN33" s="24">
        <v>0.22126000000000001</v>
      </c>
      <c r="AO33" s="26">
        <v>1</v>
      </c>
    </row>
    <row r="34" spans="1:41" x14ac:dyDescent="0.35">
      <c r="A34" t="s">
        <v>302</v>
      </c>
      <c r="B34" t="s">
        <v>499</v>
      </c>
      <c r="C34" t="s">
        <v>729</v>
      </c>
      <c r="D34" t="s">
        <v>422</v>
      </c>
      <c r="E34" t="s">
        <v>458</v>
      </c>
      <c r="F34">
        <v>1</v>
      </c>
      <c r="G34" t="s">
        <v>127</v>
      </c>
      <c r="H34" t="s">
        <v>112</v>
      </c>
      <c r="I34">
        <v>1</v>
      </c>
      <c r="J34" t="s">
        <v>145</v>
      </c>
      <c r="K34">
        <v>75</v>
      </c>
      <c r="L34" s="26">
        <v>31</v>
      </c>
      <c r="M34">
        <v>915</v>
      </c>
      <c r="N34" s="25">
        <v>9.4516100000000005</v>
      </c>
      <c r="O34" s="25">
        <v>3.0645199999999999</v>
      </c>
      <c r="P34" s="24">
        <v>1.737E-2</v>
      </c>
      <c r="Q34" s="24">
        <v>0.10514</v>
      </c>
      <c r="R34" s="27">
        <v>3.1935500000000001</v>
      </c>
      <c r="S34" s="27">
        <v>1.4558800000000001</v>
      </c>
      <c r="T34" s="24">
        <v>0.24922</v>
      </c>
      <c r="U34" s="27">
        <v>1.12903</v>
      </c>
      <c r="V34" s="25">
        <v>3.2259999999999997E-2</v>
      </c>
      <c r="W34" s="24">
        <v>2.383E-2</v>
      </c>
      <c r="X34" s="25">
        <v>2.1935500000000001</v>
      </c>
      <c r="Y34" s="25">
        <v>2.3225799999999999</v>
      </c>
      <c r="Z34" s="25">
        <v>8.5483899999999995</v>
      </c>
      <c r="AA34" s="28">
        <v>0.41887000000000002</v>
      </c>
      <c r="AB34" s="25">
        <v>1.6774199999999999</v>
      </c>
      <c r="AC34" s="28">
        <v>0.38462000000000002</v>
      </c>
      <c r="AD34" s="25">
        <v>2.74194</v>
      </c>
      <c r="AE34" s="24">
        <v>0.6</v>
      </c>
      <c r="AF34" s="24">
        <v>0.45660000000000001</v>
      </c>
      <c r="AG34" s="24">
        <v>0.48446</v>
      </c>
      <c r="AH34" s="25">
        <v>0.191</v>
      </c>
      <c r="AI34" s="25">
        <v>-0.26229999999999998</v>
      </c>
      <c r="AJ34" s="25">
        <v>0.45329999999999998</v>
      </c>
      <c r="AK34" s="25">
        <v>91.99</v>
      </c>
      <c r="AL34" s="25">
        <v>116.57</v>
      </c>
      <c r="AM34" s="25">
        <f>Table13[[#This Row],[OFF RTG]]-Table13[[#This Row],[DEF RTG]]</f>
        <v>-24.58</v>
      </c>
      <c r="AN34" s="24">
        <v>0.20916000000000001</v>
      </c>
      <c r="AO34">
        <v>-406</v>
      </c>
    </row>
    <row r="35" spans="1:41" x14ac:dyDescent="0.35">
      <c r="A35" t="s">
        <v>681</v>
      </c>
      <c r="B35" t="s">
        <v>682</v>
      </c>
      <c r="C35" t="s">
        <v>729</v>
      </c>
      <c r="D35" t="s">
        <v>702</v>
      </c>
      <c r="E35" t="s">
        <v>481</v>
      </c>
      <c r="F35">
        <v>2</v>
      </c>
      <c r="G35" t="s">
        <v>362</v>
      </c>
      <c r="H35" t="s">
        <v>357</v>
      </c>
      <c r="I35">
        <v>1</v>
      </c>
      <c r="J35" t="s">
        <v>145</v>
      </c>
      <c r="K35">
        <v>76</v>
      </c>
      <c r="L35">
        <v>22</v>
      </c>
      <c r="M35">
        <v>176</v>
      </c>
      <c r="N35" s="25">
        <v>2.5454500000000002</v>
      </c>
      <c r="O35" s="25">
        <v>0.63636000000000004</v>
      </c>
      <c r="P35" s="24">
        <v>3.2009999999999997E-2</v>
      </c>
      <c r="Q35" s="24">
        <v>5.9650000000000002E-2</v>
      </c>
      <c r="R35" s="25">
        <v>0.45455000000000001</v>
      </c>
      <c r="S35" s="25">
        <v>1.4285699999999999</v>
      </c>
      <c r="T35" s="24">
        <v>0.13084999999999999</v>
      </c>
      <c r="U35" s="25">
        <v>0.27272999999999997</v>
      </c>
      <c r="V35" s="25">
        <v>4.5449999999999997E-2</v>
      </c>
      <c r="W35" s="24">
        <v>2.8760000000000001E-2</v>
      </c>
      <c r="X35" s="27">
        <v>0.31818000000000002</v>
      </c>
      <c r="Y35" s="27">
        <v>0.90908999999999995</v>
      </c>
      <c r="Z35" s="25">
        <v>2.09091</v>
      </c>
      <c r="AA35" s="24">
        <v>0.34782999999999997</v>
      </c>
      <c r="AB35" s="25">
        <v>1.3181799999999999</v>
      </c>
      <c r="AC35" s="24">
        <v>0.34483000000000003</v>
      </c>
      <c r="AD35" s="25">
        <v>0.90908999999999995</v>
      </c>
      <c r="AE35" s="24">
        <v>0.7</v>
      </c>
      <c r="AF35" s="24">
        <v>0.45651999999999998</v>
      </c>
      <c r="AG35" s="24">
        <v>0.51095000000000002</v>
      </c>
      <c r="AH35" s="25">
        <v>0.4627</v>
      </c>
      <c r="AI35" s="25">
        <v>0.23350000000000001</v>
      </c>
      <c r="AJ35" s="25">
        <v>0.22919999999999999</v>
      </c>
      <c r="AK35" s="27">
        <v>111.39</v>
      </c>
      <c r="AL35" s="25">
        <v>107.74</v>
      </c>
      <c r="AM35" s="25">
        <f>Table13[[#This Row],[OFF RTG]]-Table13[[#This Row],[DEF RTG]]</f>
        <v>3.6500000000000057</v>
      </c>
      <c r="AN35" s="24">
        <v>0.18251000000000001</v>
      </c>
      <c r="AO35">
        <v>-12</v>
      </c>
    </row>
    <row r="36" spans="1:41" x14ac:dyDescent="0.35">
      <c r="A36" t="s">
        <v>663</v>
      </c>
      <c r="B36" t="s">
        <v>664</v>
      </c>
      <c r="C36" t="s">
        <v>729</v>
      </c>
      <c r="D36" t="s">
        <v>697</v>
      </c>
      <c r="E36" t="s">
        <v>458</v>
      </c>
      <c r="F36">
        <v>1</v>
      </c>
      <c r="G36" t="s">
        <v>363</v>
      </c>
      <c r="H36" t="s">
        <v>357</v>
      </c>
      <c r="I36">
        <v>1</v>
      </c>
      <c r="J36" t="s">
        <v>145</v>
      </c>
      <c r="K36">
        <v>77</v>
      </c>
      <c r="L36" s="26">
        <v>32</v>
      </c>
      <c r="M36">
        <v>741</v>
      </c>
      <c r="N36" s="25">
        <v>6.8125</v>
      </c>
      <c r="O36" s="25">
        <v>3.03125</v>
      </c>
      <c r="P36" s="24">
        <v>4.9480000000000003E-2</v>
      </c>
      <c r="Q36" s="24">
        <v>9.5039999999999999E-2</v>
      </c>
      <c r="R36" s="25">
        <v>0.96875</v>
      </c>
      <c r="S36" s="25">
        <v>1.40909</v>
      </c>
      <c r="T36" s="24">
        <v>7.356E-2</v>
      </c>
      <c r="U36" s="25">
        <v>0.40625</v>
      </c>
      <c r="V36" s="25">
        <v>0.125</v>
      </c>
      <c r="W36" s="24">
        <v>1.643E-2</v>
      </c>
      <c r="X36" s="27">
        <v>0.6875</v>
      </c>
      <c r="Y36" s="27">
        <v>1.375</v>
      </c>
      <c r="Z36" s="25">
        <v>6.125</v>
      </c>
      <c r="AA36" s="24">
        <v>0.36735000000000001</v>
      </c>
      <c r="AB36" s="25">
        <v>5.3125</v>
      </c>
      <c r="AC36" s="24">
        <v>0.34705999999999998</v>
      </c>
      <c r="AD36" s="25">
        <v>0.625</v>
      </c>
      <c r="AE36" s="24">
        <v>0.75</v>
      </c>
      <c r="AF36" s="28">
        <v>0.51785999999999999</v>
      </c>
      <c r="AG36" s="28">
        <v>0.53222999999999998</v>
      </c>
      <c r="AH36" s="25">
        <v>1.3703000000000001</v>
      </c>
      <c r="AI36" s="25">
        <v>0.81510000000000005</v>
      </c>
      <c r="AJ36" s="25">
        <v>0.55520000000000003</v>
      </c>
      <c r="AK36" s="27">
        <v>111.79</v>
      </c>
      <c r="AL36" s="25">
        <v>113.82</v>
      </c>
      <c r="AM36" s="25">
        <f>Table13[[#This Row],[OFF RTG]]-Table13[[#This Row],[DEF RTG]]</f>
        <v>-2.0299999999999869</v>
      </c>
      <c r="AN36" s="24">
        <v>0.15090999999999999</v>
      </c>
      <c r="AO36">
        <v>-8</v>
      </c>
    </row>
    <row r="37" spans="1:41" x14ac:dyDescent="0.35">
      <c r="A37" t="s">
        <v>372</v>
      </c>
      <c r="B37" t="s">
        <v>227</v>
      </c>
      <c r="C37" t="s">
        <v>729</v>
      </c>
      <c r="D37" t="s">
        <v>693</v>
      </c>
      <c r="E37" t="s">
        <v>482</v>
      </c>
      <c r="F37">
        <v>2</v>
      </c>
      <c r="G37" t="s">
        <v>367</v>
      </c>
      <c r="H37" t="s">
        <v>357</v>
      </c>
      <c r="I37">
        <v>1</v>
      </c>
      <c r="J37" t="s">
        <v>145</v>
      </c>
      <c r="K37">
        <v>77</v>
      </c>
      <c r="L37" s="26">
        <v>30</v>
      </c>
      <c r="M37">
        <v>921</v>
      </c>
      <c r="N37" s="27">
        <v>11.56667</v>
      </c>
      <c r="O37" s="27">
        <v>5.0333300000000003</v>
      </c>
      <c r="P37" s="24">
        <v>3.9030000000000002E-2</v>
      </c>
      <c r="Q37" s="24">
        <v>0.15451999999999999</v>
      </c>
      <c r="R37" s="25">
        <v>2</v>
      </c>
      <c r="S37" s="25">
        <v>1.2244900000000001</v>
      </c>
      <c r="T37" s="24">
        <v>0.13163</v>
      </c>
      <c r="U37" s="25">
        <v>0.73333000000000004</v>
      </c>
      <c r="V37" s="25">
        <v>0.36667</v>
      </c>
      <c r="W37" s="24">
        <v>2.886E-2</v>
      </c>
      <c r="X37" s="25">
        <v>1.6333299999999999</v>
      </c>
      <c r="Y37" s="25">
        <v>1.8</v>
      </c>
      <c r="Z37" s="25">
        <v>9.4666700000000006</v>
      </c>
      <c r="AA37" s="28">
        <v>0.40493000000000001</v>
      </c>
      <c r="AB37" s="25">
        <v>3.1333299999999999</v>
      </c>
      <c r="AC37" s="24">
        <v>0.27660000000000001</v>
      </c>
      <c r="AD37" s="25">
        <v>3.6666699999999999</v>
      </c>
      <c r="AE37" s="28">
        <v>0.82726999999999995</v>
      </c>
      <c r="AF37" s="24">
        <v>0.45069999999999999</v>
      </c>
      <c r="AG37" s="24">
        <v>0.52195999999999998</v>
      </c>
      <c r="AH37" s="25">
        <v>2.7816999999999998</v>
      </c>
      <c r="AI37" s="25">
        <v>1.0508999999999999</v>
      </c>
      <c r="AJ37" s="25">
        <v>1.7309000000000001</v>
      </c>
      <c r="AK37" s="25">
        <v>106.32</v>
      </c>
      <c r="AL37" s="27">
        <v>101.47</v>
      </c>
      <c r="AM37" s="27">
        <f>Table13[[#This Row],[OFF RTG]]-Table13[[#This Row],[DEF RTG]]</f>
        <v>4.8499999999999943</v>
      </c>
      <c r="AN37" s="24">
        <v>0.22475999999999999</v>
      </c>
      <c r="AO37" s="26">
        <v>165</v>
      </c>
    </row>
    <row r="38" spans="1:41" x14ac:dyDescent="0.35">
      <c r="A38" t="s">
        <v>646</v>
      </c>
      <c r="B38" t="s">
        <v>647</v>
      </c>
      <c r="C38" t="s">
        <v>729</v>
      </c>
      <c r="D38" t="s">
        <v>650</v>
      </c>
      <c r="E38" t="s">
        <v>478</v>
      </c>
      <c r="F38">
        <v>1</v>
      </c>
      <c r="G38" t="s">
        <v>304</v>
      </c>
      <c r="H38" t="s">
        <v>267</v>
      </c>
      <c r="I38">
        <v>1</v>
      </c>
      <c r="J38" t="s">
        <v>145</v>
      </c>
      <c r="K38">
        <v>76</v>
      </c>
      <c r="L38" s="26">
        <v>33</v>
      </c>
      <c r="M38">
        <v>1048</v>
      </c>
      <c r="N38" s="25">
        <v>8.6363599999999998</v>
      </c>
      <c r="O38" s="27">
        <v>4.5151500000000002</v>
      </c>
      <c r="P38" s="24">
        <v>4.6289999999999998E-2</v>
      </c>
      <c r="Q38" s="24">
        <v>0.12590000000000001</v>
      </c>
      <c r="R38" s="25">
        <v>1.60606</v>
      </c>
      <c r="S38" s="25">
        <v>1.20455</v>
      </c>
      <c r="T38" s="24">
        <v>9.4710000000000003E-2</v>
      </c>
      <c r="U38" s="27">
        <v>1.2424200000000001</v>
      </c>
      <c r="V38" s="25">
        <v>0.18182000000000001</v>
      </c>
      <c r="W38" s="33">
        <v>3.0609999999999998E-2</v>
      </c>
      <c r="X38" s="25">
        <v>1.3333299999999999</v>
      </c>
      <c r="Y38" s="25">
        <v>3</v>
      </c>
      <c r="Z38" s="25">
        <v>6.8484800000000003</v>
      </c>
      <c r="AA38" s="28">
        <v>0.42035</v>
      </c>
      <c r="AB38" s="25">
        <v>2.7878799999999999</v>
      </c>
      <c r="AC38" s="24">
        <v>0.29348000000000002</v>
      </c>
      <c r="AD38" s="25">
        <v>2.5454500000000002</v>
      </c>
      <c r="AE38" s="28">
        <v>0.80952000000000002</v>
      </c>
      <c r="AF38" s="24">
        <v>0.48009000000000002</v>
      </c>
      <c r="AG38" s="28">
        <v>0.54183000000000003</v>
      </c>
      <c r="AH38" s="25">
        <v>2.5667</v>
      </c>
      <c r="AI38" s="25">
        <v>1.0245</v>
      </c>
      <c r="AJ38" s="25">
        <v>1.5422</v>
      </c>
      <c r="AK38" s="25">
        <v>108.53</v>
      </c>
      <c r="AL38" s="25">
        <v>105.89</v>
      </c>
      <c r="AM38" s="25">
        <f>Table13[[#This Row],[OFF RTG]]-Table13[[#This Row],[DEF RTG]]</f>
        <v>2.6400000000000006</v>
      </c>
      <c r="AN38" s="24">
        <v>0.15656</v>
      </c>
      <c r="AO38" s="26">
        <v>67</v>
      </c>
    </row>
    <row r="39" spans="1:41" x14ac:dyDescent="0.35">
      <c r="A39" t="s">
        <v>404</v>
      </c>
      <c r="B39" t="s">
        <v>109</v>
      </c>
      <c r="C39" t="s">
        <v>729</v>
      </c>
      <c r="D39" t="s">
        <v>725</v>
      </c>
      <c r="E39" t="s">
        <v>462</v>
      </c>
      <c r="F39">
        <v>1</v>
      </c>
      <c r="G39" t="s">
        <v>498</v>
      </c>
      <c r="H39" t="s">
        <v>305</v>
      </c>
      <c r="I39">
        <v>1</v>
      </c>
      <c r="J39" t="s">
        <v>145</v>
      </c>
      <c r="K39">
        <v>77</v>
      </c>
      <c r="L39" s="26">
        <v>31</v>
      </c>
      <c r="M39">
        <v>637</v>
      </c>
      <c r="N39" s="25">
        <v>5.7741899999999999</v>
      </c>
      <c r="O39" s="25">
        <v>3.1935500000000001</v>
      </c>
      <c r="P39" s="24">
        <v>4.8989999999999999E-2</v>
      </c>
      <c r="Q39" s="24">
        <v>0.11194</v>
      </c>
      <c r="R39" s="25">
        <v>0.77419000000000004</v>
      </c>
      <c r="S39" s="25">
        <v>1.2</v>
      </c>
      <c r="T39" s="24">
        <v>5.9330000000000001E-2</v>
      </c>
      <c r="U39" s="25">
        <v>0.64515999999999996</v>
      </c>
      <c r="V39" s="25">
        <v>0.22581000000000001</v>
      </c>
      <c r="W39" s="24">
        <v>2.845E-2</v>
      </c>
      <c r="X39" s="27">
        <v>0.64515999999999996</v>
      </c>
      <c r="Y39" s="27">
        <v>1.5483899999999999</v>
      </c>
      <c r="Z39" s="25">
        <v>4.0967700000000002</v>
      </c>
      <c r="AA39" s="28">
        <v>0.48031000000000001</v>
      </c>
      <c r="AB39" s="25">
        <v>0.67742000000000002</v>
      </c>
      <c r="AC39" s="24">
        <v>0.19048000000000001</v>
      </c>
      <c r="AD39" s="25">
        <v>2.3871000000000002</v>
      </c>
      <c r="AE39" s="24">
        <v>0.71621999999999997</v>
      </c>
      <c r="AF39" s="24">
        <v>0.49606</v>
      </c>
      <c r="AG39" s="28">
        <v>0.56077999999999995</v>
      </c>
      <c r="AH39" s="25">
        <v>1.7919</v>
      </c>
      <c r="AI39" s="25">
        <v>0.87609999999999999</v>
      </c>
      <c r="AJ39" s="25">
        <v>0.91579999999999995</v>
      </c>
      <c r="AK39" s="27">
        <v>117.63</v>
      </c>
      <c r="AL39" s="25">
        <v>106.28</v>
      </c>
      <c r="AM39" s="27">
        <f>Table13[[#This Row],[OFF RTG]]-Table13[[#This Row],[DEF RTG]]</f>
        <v>11.349999999999994</v>
      </c>
      <c r="AN39" s="24">
        <v>0.13231999999999999</v>
      </c>
      <c r="AO39" s="26">
        <v>41</v>
      </c>
    </row>
    <row r="40" spans="1:41" x14ac:dyDescent="0.35">
      <c r="A40" t="s">
        <v>390</v>
      </c>
      <c r="B40" t="s">
        <v>391</v>
      </c>
      <c r="C40" t="s">
        <v>729</v>
      </c>
      <c r="D40" t="s">
        <v>700</v>
      </c>
      <c r="E40" t="s">
        <v>463</v>
      </c>
      <c r="F40">
        <v>1</v>
      </c>
      <c r="G40" t="s">
        <v>367</v>
      </c>
      <c r="H40" t="s">
        <v>357</v>
      </c>
      <c r="I40">
        <v>1</v>
      </c>
      <c r="J40" t="s">
        <v>146</v>
      </c>
      <c r="K40">
        <v>78</v>
      </c>
      <c r="L40" s="26">
        <v>30</v>
      </c>
      <c r="M40">
        <v>367</v>
      </c>
      <c r="N40" s="25">
        <v>2.1</v>
      </c>
      <c r="O40" s="25">
        <v>1.0333300000000001</v>
      </c>
      <c r="P40" s="24">
        <v>6.2729999999999994E-2</v>
      </c>
      <c r="Q40" s="24">
        <v>7.4770000000000003E-2</v>
      </c>
      <c r="R40" s="25">
        <v>0.2</v>
      </c>
      <c r="S40" s="25">
        <v>1.2</v>
      </c>
      <c r="T40" s="24">
        <v>4.1739999999999999E-2</v>
      </c>
      <c r="U40" s="25">
        <v>6.6669999999999993E-2</v>
      </c>
      <c r="V40" s="25">
        <v>6.6669999999999993E-2</v>
      </c>
      <c r="W40" s="33">
        <v>1.33199999999999E-2</v>
      </c>
      <c r="X40" s="27">
        <v>0.16667000000000001</v>
      </c>
      <c r="Y40" s="27">
        <v>0.33333000000000002</v>
      </c>
      <c r="Z40" s="25">
        <v>2.3333300000000001</v>
      </c>
      <c r="AA40" s="24">
        <v>0.31429000000000001</v>
      </c>
      <c r="AB40" s="25">
        <v>1.56667</v>
      </c>
      <c r="AC40" s="24">
        <v>0.25531999999999999</v>
      </c>
      <c r="AD40" s="25">
        <v>0.23333000000000001</v>
      </c>
      <c r="AE40" s="28">
        <v>1</v>
      </c>
      <c r="AF40" s="24">
        <v>0.4</v>
      </c>
      <c r="AG40" s="24">
        <v>0.43092000000000003</v>
      </c>
      <c r="AH40" s="25">
        <v>0.44440000000000002</v>
      </c>
      <c r="AI40" s="25">
        <v>8.5999999999999993E-2</v>
      </c>
      <c r="AJ40" s="25">
        <v>0.3584</v>
      </c>
      <c r="AK40" s="25">
        <v>99.64</v>
      </c>
      <c r="AL40" s="25">
        <v>107.36</v>
      </c>
      <c r="AM40" s="25">
        <f>Table13[[#This Row],[OFF RTG]]-Table13[[#This Row],[DEF RTG]]</f>
        <v>-7.7199999999999989</v>
      </c>
      <c r="AN40" s="24">
        <v>0.15847</v>
      </c>
      <c r="AO40">
        <v>-99</v>
      </c>
    </row>
    <row r="41" spans="1:41" x14ac:dyDescent="0.35">
      <c r="A41" t="s">
        <v>527</v>
      </c>
      <c r="B41" t="s">
        <v>528</v>
      </c>
      <c r="C41" t="s">
        <v>729</v>
      </c>
      <c r="D41" t="s">
        <v>540</v>
      </c>
      <c r="E41" t="s">
        <v>541</v>
      </c>
      <c r="F41">
        <v>3</v>
      </c>
      <c r="G41" t="s">
        <v>243</v>
      </c>
      <c r="H41" t="s">
        <v>215</v>
      </c>
      <c r="I41">
        <v>1</v>
      </c>
      <c r="J41" t="s">
        <v>146</v>
      </c>
      <c r="K41">
        <v>78</v>
      </c>
      <c r="L41" s="26">
        <v>30</v>
      </c>
      <c r="M41">
        <v>901</v>
      </c>
      <c r="N41" s="27">
        <v>10.633330000000001</v>
      </c>
      <c r="O41" s="27">
        <v>5.1333299999999999</v>
      </c>
      <c r="P41" s="24">
        <v>4.1430000000000002E-2</v>
      </c>
      <c r="Q41" s="24">
        <v>0.14527999999999999</v>
      </c>
      <c r="R41" s="27">
        <v>3.0333299999999999</v>
      </c>
      <c r="S41" s="25">
        <v>1.19737</v>
      </c>
      <c r="T41" s="24">
        <v>0.19056999999999999</v>
      </c>
      <c r="U41" s="27">
        <v>1.6666700000000001</v>
      </c>
      <c r="V41" s="27">
        <v>0.56667000000000001</v>
      </c>
      <c r="W41" s="24">
        <v>5.176E-2</v>
      </c>
      <c r="X41" s="25">
        <v>2.5333299999999999</v>
      </c>
      <c r="Y41" s="25">
        <v>2.6333299999999999</v>
      </c>
      <c r="Z41" s="25">
        <v>9.1999999999999993</v>
      </c>
      <c r="AA41" s="24">
        <v>0.39129999999999998</v>
      </c>
      <c r="AB41" s="25">
        <v>3.1333299999999999</v>
      </c>
      <c r="AC41" s="24">
        <v>0.26595999999999997</v>
      </c>
      <c r="AD41" s="25">
        <v>3.6</v>
      </c>
      <c r="AE41" s="24">
        <v>0.72221999999999997</v>
      </c>
      <c r="AF41" s="24">
        <v>0.43658999999999998</v>
      </c>
      <c r="AG41" s="24">
        <v>0.49303999999999998</v>
      </c>
      <c r="AH41" s="25">
        <v>2.0215999999999998</v>
      </c>
      <c r="AI41" s="25">
        <v>0.35120000000000001</v>
      </c>
      <c r="AJ41" s="25">
        <v>1.6704000000000001</v>
      </c>
      <c r="AK41" s="25">
        <v>98.8</v>
      </c>
      <c r="AL41" s="27">
        <v>101.7</v>
      </c>
      <c r="AM41" s="25">
        <f>Table13[[#This Row],[OFF RTG]]-Table13[[#This Row],[DEF RTG]]</f>
        <v>-2.9000000000000057</v>
      </c>
      <c r="AN41" s="24">
        <v>0.21615999999999999</v>
      </c>
      <c r="AO41" s="26">
        <v>62</v>
      </c>
    </row>
    <row r="42" spans="1:41" x14ac:dyDescent="0.35">
      <c r="A42" t="s">
        <v>529</v>
      </c>
      <c r="B42" t="s">
        <v>430</v>
      </c>
      <c r="C42" t="s">
        <v>729</v>
      </c>
      <c r="D42" t="s">
        <v>542</v>
      </c>
      <c r="E42" t="s">
        <v>460</v>
      </c>
      <c r="F42">
        <v>1</v>
      </c>
      <c r="G42" t="s">
        <v>219</v>
      </c>
      <c r="H42" t="s">
        <v>215</v>
      </c>
      <c r="I42">
        <v>1</v>
      </c>
      <c r="J42" t="s">
        <v>145</v>
      </c>
      <c r="K42">
        <v>75</v>
      </c>
      <c r="L42" s="26">
        <v>26</v>
      </c>
      <c r="M42">
        <v>856</v>
      </c>
      <c r="N42" s="27">
        <v>12.461539999999999</v>
      </c>
      <c r="O42" s="25">
        <v>2.9615399999999998</v>
      </c>
      <c r="P42" s="24">
        <v>9.8099999999999993E-3</v>
      </c>
      <c r="Q42" s="24">
        <v>9.4530000000000003E-2</v>
      </c>
      <c r="R42" s="25">
        <v>2.69231</v>
      </c>
      <c r="S42" s="25">
        <v>1.14754</v>
      </c>
      <c r="T42" s="24">
        <v>0.16419</v>
      </c>
      <c r="U42" s="27">
        <v>1.0769200000000001</v>
      </c>
      <c r="V42" s="25">
        <v>3.8460000000000001E-2</v>
      </c>
      <c r="W42" s="24">
        <v>2.0420000000000001E-2</v>
      </c>
      <c r="X42" s="25">
        <v>2.3461500000000002</v>
      </c>
      <c r="Y42" s="27">
        <v>1.19231</v>
      </c>
      <c r="Z42" s="25">
        <v>9.0384600000000006</v>
      </c>
      <c r="AA42" s="24">
        <v>0.35319</v>
      </c>
      <c r="AB42" s="25">
        <v>5.1538500000000003</v>
      </c>
      <c r="AC42" s="24">
        <v>0.31342999999999999</v>
      </c>
      <c r="AD42" s="25">
        <v>5.4230799999999997</v>
      </c>
      <c r="AE42" s="28">
        <v>0.82269999999999999</v>
      </c>
      <c r="AF42" s="24">
        <v>0.44255</v>
      </c>
      <c r="AG42" s="28">
        <v>0.54544999999999999</v>
      </c>
      <c r="AH42" s="25">
        <v>1.7726</v>
      </c>
      <c r="AI42" s="25">
        <v>0.80069999999999997</v>
      </c>
      <c r="AJ42" s="25">
        <v>0.97189999999999999</v>
      </c>
      <c r="AK42" s="25">
        <v>104.82</v>
      </c>
      <c r="AL42" s="25">
        <v>109.62</v>
      </c>
      <c r="AM42" s="25">
        <f>Table13[[#This Row],[OFF RTG]]-Table13[[#This Row],[DEF RTG]]</f>
        <v>-4.8000000000000114</v>
      </c>
      <c r="AN42" s="24">
        <v>0.20938000000000001</v>
      </c>
      <c r="AO42">
        <v>-104</v>
      </c>
    </row>
    <row r="43" spans="1:41" x14ac:dyDescent="0.35">
      <c r="A43" t="s">
        <v>490</v>
      </c>
      <c r="B43" t="s">
        <v>608</v>
      </c>
      <c r="C43" t="s">
        <v>729</v>
      </c>
      <c r="D43" t="s">
        <v>195</v>
      </c>
      <c r="E43" t="s">
        <v>196</v>
      </c>
      <c r="F43">
        <v>1</v>
      </c>
      <c r="G43" t="s">
        <v>439</v>
      </c>
      <c r="H43" t="s">
        <v>168</v>
      </c>
      <c r="I43">
        <v>1</v>
      </c>
      <c r="J43" t="s">
        <v>145</v>
      </c>
      <c r="K43">
        <v>77</v>
      </c>
      <c r="L43" s="26">
        <v>30</v>
      </c>
      <c r="M43">
        <v>405</v>
      </c>
      <c r="N43" s="25">
        <v>4.3333300000000001</v>
      </c>
      <c r="O43" s="25">
        <v>1.6</v>
      </c>
      <c r="P43" s="24">
        <v>1.504E-2</v>
      </c>
      <c r="Q43" s="24">
        <v>0.11867</v>
      </c>
      <c r="R43" s="25">
        <v>0.33333000000000002</v>
      </c>
      <c r="S43" s="25">
        <v>1.11111</v>
      </c>
      <c r="T43" s="24">
        <v>4.7199999999999999E-2</v>
      </c>
      <c r="U43" s="25">
        <v>0.26667000000000002</v>
      </c>
      <c r="V43" s="25">
        <v>0.1</v>
      </c>
      <c r="W43" s="24">
        <v>2.035E-2</v>
      </c>
      <c r="X43" s="27">
        <v>0.3</v>
      </c>
      <c r="Y43" s="27">
        <v>0.96667000000000003</v>
      </c>
      <c r="Z43" s="25">
        <v>3.9666700000000001</v>
      </c>
      <c r="AA43" s="24">
        <v>0.37814999999999999</v>
      </c>
      <c r="AB43" s="25">
        <v>3.5333299999999999</v>
      </c>
      <c r="AC43" s="28">
        <v>0.36792000000000002</v>
      </c>
      <c r="AD43" s="25">
        <v>3.3329999999999999E-2</v>
      </c>
      <c r="AE43" s="28">
        <v>1</v>
      </c>
      <c r="AF43" s="28">
        <v>0.54201999999999995</v>
      </c>
      <c r="AG43" s="28">
        <v>0.54439000000000004</v>
      </c>
      <c r="AH43" s="25">
        <v>0.86990000000000001</v>
      </c>
      <c r="AI43" s="25">
        <v>0.4254</v>
      </c>
      <c r="AJ43" s="25">
        <v>0.44450000000000001</v>
      </c>
      <c r="AK43" s="27">
        <v>110.61</v>
      </c>
      <c r="AL43" s="25">
        <v>109.97</v>
      </c>
      <c r="AM43" s="25">
        <f>Table13[[#This Row],[OFF RTG]]-Table13[[#This Row],[DEF RTG]]</f>
        <v>0.64000000000000057</v>
      </c>
      <c r="AN43" s="24">
        <v>0.15952</v>
      </c>
      <c r="AO43">
        <v>-88</v>
      </c>
    </row>
    <row r="44" spans="1:41" x14ac:dyDescent="0.35">
      <c r="A44" t="s">
        <v>670</v>
      </c>
      <c r="B44" t="s">
        <v>440</v>
      </c>
      <c r="C44" t="s">
        <v>729</v>
      </c>
      <c r="D44" t="s">
        <v>239</v>
      </c>
      <c r="E44" t="s">
        <v>215</v>
      </c>
      <c r="F44">
        <v>1</v>
      </c>
      <c r="G44" t="s">
        <v>395</v>
      </c>
      <c r="H44" t="s">
        <v>357</v>
      </c>
      <c r="I44">
        <v>1</v>
      </c>
      <c r="J44" t="s">
        <v>145</v>
      </c>
      <c r="K44">
        <v>75</v>
      </c>
      <c r="L44">
        <v>21</v>
      </c>
      <c r="M44">
        <v>589</v>
      </c>
      <c r="N44" s="25">
        <v>9.2857099999999999</v>
      </c>
      <c r="O44" s="25">
        <v>3.6190500000000001</v>
      </c>
      <c r="P44" s="24">
        <v>5.1810000000000002E-2</v>
      </c>
      <c r="Q44" s="24">
        <v>0.11377</v>
      </c>
      <c r="R44" s="27">
        <v>3.0476200000000002</v>
      </c>
      <c r="S44" s="25">
        <v>1.0847500000000001</v>
      </c>
      <c r="T44" s="24">
        <v>0.22186</v>
      </c>
      <c r="U44" s="27">
        <v>0.95238</v>
      </c>
      <c r="V44" s="25">
        <v>0.14285999999999999</v>
      </c>
      <c r="W44" s="24">
        <v>2.6749999999999999E-2</v>
      </c>
      <c r="X44" s="25">
        <v>2.80952</v>
      </c>
      <c r="Y44" s="25">
        <v>2.09524</v>
      </c>
      <c r="Z44" s="25">
        <v>7.3809500000000003</v>
      </c>
      <c r="AA44" s="28">
        <v>0.45161000000000001</v>
      </c>
      <c r="AB44" s="25">
        <v>0.95238</v>
      </c>
      <c r="AC44" s="24">
        <v>0.2</v>
      </c>
      <c r="AD44" s="25">
        <v>3.6190500000000001</v>
      </c>
      <c r="AE44" s="24">
        <v>0.67105000000000004</v>
      </c>
      <c r="AF44" s="24">
        <v>0.46451999999999999</v>
      </c>
      <c r="AG44" s="24">
        <v>0.51751999999999998</v>
      </c>
      <c r="AH44" s="25">
        <v>0.52659999999999996</v>
      </c>
      <c r="AI44" s="25">
        <v>-8.8999999999999999E-3</v>
      </c>
      <c r="AJ44" s="25">
        <v>0.53549999999999998</v>
      </c>
      <c r="AK44" s="25">
        <v>94.76</v>
      </c>
      <c r="AL44" s="25">
        <v>112.04</v>
      </c>
      <c r="AM44" s="25">
        <f>Table13[[#This Row],[OFF RTG]]-Table13[[#This Row],[DEF RTG]]</f>
        <v>-17.28</v>
      </c>
      <c r="AN44" s="24">
        <v>0.22983999999999999</v>
      </c>
      <c r="AO44">
        <v>-35</v>
      </c>
    </row>
    <row r="45" spans="1:41" x14ac:dyDescent="0.35">
      <c r="A45" t="s">
        <v>80</v>
      </c>
      <c r="B45" t="s">
        <v>501</v>
      </c>
      <c r="C45" t="s">
        <v>729</v>
      </c>
      <c r="D45" t="s">
        <v>645</v>
      </c>
      <c r="E45" t="s">
        <v>510</v>
      </c>
      <c r="F45">
        <v>2</v>
      </c>
      <c r="G45" t="s">
        <v>130</v>
      </c>
      <c r="H45" t="s">
        <v>112</v>
      </c>
      <c r="I45">
        <v>1</v>
      </c>
      <c r="J45" t="s">
        <v>145</v>
      </c>
      <c r="K45">
        <v>77</v>
      </c>
      <c r="L45" s="26">
        <v>30</v>
      </c>
      <c r="M45">
        <v>835</v>
      </c>
      <c r="N45" s="27">
        <v>14.3</v>
      </c>
      <c r="O45" s="27">
        <v>5.6333299999999999</v>
      </c>
      <c r="P45" s="24">
        <v>4.6730000000000001E-2</v>
      </c>
      <c r="Q45" s="24">
        <v>0.18484999999999999</v>
      </c>
      <c r="R45" s="25">
        <v>2.0333299999999999</v>
      </c>
      <c r="S45" s="25">
        <v>1.0701799999999999</v>
      </c>
      <c r="T45" s="24">
        <v>0.15620000000000001</v>
      </c>
      <c r="U45" s="27">
        <v>1.43333</v>
      </c>
      <c r="V45" s="25">
        <v>0.36667</v>
      </c>
      <c r="W45" s="24">
        <v>4.725E-2</v>
      </c>
      <c r="X45" s="25">
        <v>1.9</v>
      </c>
      <c r="Y45" s="27">
        <v>1.23333</v>
      </c>
      <c r="Z45" s="25">
        <v>10.5</v>
      </c>
      <c r="AA45" s="28">
        <v>0.49206</v>
      </c>
      <c r="AB45" s="25">
        <v>4.0333300000000003</v>
      </c>
      <c r="AC45" s="24">
        <v>0.32230999999999999</v>
      </c>
      <c r="AD45" s="25">
        <v>3.0666699999999998</v>
      </c>
      <c r="AE45" s="28">
        <v>0.86956999999999995</v>
      </c>
      <c r="AF45" s="28">
        <v>0.55396999999999996</v>
      </c>
      <c r="AG45" s="28">
        <v>0.60338000000000003</v>
      </c>
      <c r="AH45" s="25">
        <v>4.1395999999999997</v>
      </c>
      <c r="AI45" s="25">
        <v>1.9389000000000001</v>
      </c>
      <c r="AJ45" s="25">
        <v>2.2006999999999999</v>
      </c>
      <c r="AK45" s="27">
        <v>114.48</v>
      </c>
      <c r="AL45" s="27">
        <v>93.25</v>
      </c>
      <c r="AM45" s="27">
        <f>Table13[[#This Row],[OFF RTG]]-Table13[[#This Row],[DEF RTG]]</f>
        <v>21.230000000000004</v>
      </c>
      <c r="AN45" s="24">
        <v>0.26682</v>
      </c>
      <c r="AO45" s="26">
        <v>148</v>
      </c>
    </row>
    <row r="46" spans="1:41" x14ac:dyDescent="0.35">
      <c r="A46" t="s">
        <v>504</v>
      </c>
      <c r="B46" t="s">
        <v>505</v>
      </c>
      <c r="C46" t="s">
        <v>729</v>
      </c>
      <c r="D46" t="s">
        <v>453</v>
      </c>
      <c r="E46" t="s">
        <v>459</v>
      </c>
      <c r="F46">
        <v>1</v>
      </c>
      <c r="G46" t="s">
        <v>127</v>
      </c>
      <c r="H46" t="s">
        <v>112</v>
      </c>
      <c r="I46">
        <v>1</v>
      </c>
      <c r="J46" t="s">
        <v>145</v>
      </c>
      <c r="K46">
        <v>76</v>
      </c>
      <c r="L46" s="26">
        <v>29</v>
      </c>
      <c r="M46">
        <v>603</v>
      </c>
      <c r="N46" s="25">
        <v>5.65517</v>
      </c>
      <c r="O46" s="25">
        <v>2.10345</v>
      </c>
      <c r="P46" s="24">
        <v>5.0610000000000002E-2</v>
      </c>
      <c r="Q46" s="24">
        <v>6.3079999999999997E-2</v>
      </c>
      <c r="R46" s="25">
        <v>1.44828</v>
      </c>
      <c r="S46" s="25">
        <v>1.05</v>
      </c>
      <c r="T46" s="24">
        <v>0.15182999999999999</v>
      </c>
      <c r="U46" s="25">
        <v>0.68966000000000005</v>
      </c>
      <c r="V46" s="25">
        <v>0.13793</v>
      </c>
      <c r="W46" s="24">
        <v>2.7269999999999999E-2</v>
      </c>
      <c r="X46" s="25">
        <v>1.37931</v>
      </c>
      <c r="Y46" s="25">
        <v>2.4137900000000001</v>
      </c>
      <c r="Z46" s="25">
        <v>4.65517</v>
      </c>
      <c r="AA46" s="24">
        <v>0.36296</v>
      </c>
      <c r="AB46" s="25">
        <v>2.0689700000000002</v>
      </c>
      <c r="AC46" s="24">
        <v>0.28333000000000003</v>
      </c>
      <c r="AD46" s="25">
        <v>2.10345</v>
      </c>
      <c r="AE46" s="28">
        <v>0.80327999999999999</v>
      </c>
      <c r="AF46" s="24">
        <v>0.42592999999999998</v>
      </c>
      <c r="AG46" s="24">
        <v>0.50680000000000003</v>
      </c>
      <c r="AH46" s="25">
        <v>0.26329999999999998</v>
      </c>
      <c r="AI46" s="25">
        <v>6.3399999999999998E-2</v>
      </c>
      <c r="AJ46" s="25">
        <v>0.19989999999999999</v>
      </c>
      <c r="AK46" s="25">
        <v>96.16</v>
      </c>
      <c r="AL46" s="25">
        <v>118.37</v>
      </c>
      <c r="AM46" s="25">
        <f>Table13[[#This Row],[OFF RTG]]-Table13[[#This Row],[DEF RTG]]</f>
        <v>-22.210000000000008</v>
      </c>
      <c r="AN46" s="24">
        <v>0.1729</v>
      </c>
      <c r="AO46">
        <v>-238</v>
      </c>
    </row>
    <row r="47" spans="1:41" x14ac:dyDescent="0.35">
      <c r="A47" t="s">
        <v>545</v>
      </c>
      <c r="B47" t="s">
        <v>546</v>
      </c>
      <c r="C47" t="s">
        <v>729</v>
      </c>
      <c r="D47" t="s">
        <v>195</v>
      </c>
      <c r="E47" t="s">
        <v>196</v>
      </c>
      <c r="F47">
        <v>1</v>
      </c>
      <c r="G47" t="s">
        <v>214</v>
      </c>
      <c r="H47" t="s">
        <v>196</v>
      </c>
      <c r="I47">
        <v>1</v>
      </c>
      <c r="J47" t="s">
        <v>145</v>
      </c>
      <c r="K47">
        <v>75</v>
      </c>
      <c r="L47" s="26">
        <v>29</v>
      </c>
      <c r="M47">
        <v>939</v>
      </c>
      <c r="N47" s="27">
        <v>12.482760000000001</v>
      </c>
      <c r="O47" s="25">
        <v>3.34483</v>
      </c>
      <c r="P47" s="24">
        <v>3.7569999999999999E-2</v>
      </c>
      <c r="Q47" s="24">
        <v>8.8660000000000003E-2</v>
      </c>
      <c r="R47" s="25">
        <v>2.1379299999999999</v>
      </c>
      <c r="S47" s="25">
        <v>0.93938999999999995</v>
      </c>
      <c r="T47" s="24">
        <v>0.16946</v>
      </c>
      <c r="U47" s="27">
        <v>2.34483</v>
      </c>
      <c r="V47" s="25">
        <v>0.2069</v>
      </c>
      <c r="W47" s="33">
        <v>5.0369999999999998E-2</v>
      </c>
      <c r="X47" s="25">
        <v>2.2758600000000002</v>
      </c>
      <c r="Y47" s="25">
        <v>2.0689700000000002</v>
      </c>
      <c r="Z47" s="25">
        <v>11.482760000000001</v>
      </c>
      <c r="AA47" s="28">
        <v>0.40540999999999999</v>
      </c>
      <c r="AB47" s="25">
        <v>4.65517</v>
      </c>
      <c r="AC47" s="24">
        <v>0.34815000000000002</v>
      </c>
      <c r="AD47" s="25">
        <v>2</v>
      </c>
      <c r="AE47" s="24">
        <v>0.77585999999999999</v>
      </c>
      <c r="AF47" s="24">
        <v>0.47598000000000001</v>
      </c>
      <c r="AG47" s="24">
        <v>0.50488</v>
      </c>
      <c r="AH47" s="25">
        <v>1.0952</v>
      </c>
      <c r="AI47" s="25">
        <v>7.7499999999999999E-2</v>
      </c>
      <c r="AJ47" s="25">
        <v>1.0177</v>
      </c>
      <c r="AK47" s="25">
        <v>95.69</v>
      </c>
      <c r="AL47" s="25">
        <v>110.15</v>
      </c>
      <c r="AM47" s="25">
        <f>Table13[[#This Row],[OFF RTG]]-Table13[[#This Row],[DEF RTG]]</f>
        <v>-14.460000000000008</v>
      </c>
      <c r="AN47" s="24">
        <v>0.23238</v>
      </c>
      <c r="AO47">
        <v>-327</v>
      </c>
    </row>
    <row r="48" spans="1:41" x14ac:dyDescent="0.35">
      <c r="A48" t="s">
        <v>485</v>
      </c>
      <c r="B48" t="s">
        <v>513</v>
      </c>
      <c r="C48" t="s">
        <v>729</v>
      </c>
      <c r="D48" t="s">
        <v>519</v>
      </c>
      <c r="E48" t="s">
        <v>473</v>
      </c>
      <c r="F48">
        <v>1</v>
      </c>
      <c r="G48" t="s">
        <v>187</v>
      </c>
      <c r="H48" t="s">
        <v>168</v>
      </c>
      <c r="I48">
        <v>1</v>
      </c>
      <c r="J48" t="s">
        <v>145</v>
      </c>
      <c r="K48">
        <v>76</v>
      </c>
      <c r="L48" s="26">
        <v>31</v>
      </c>
      <c r="M48">
        <v>878</v>
      </c>
      <c r="N48" s="27">
        <v>10.774190000000001</v>
      </c>
      <c r="O48" s="25">
        <v>2.51613</v>
      </c>
      <c r="P48" s="24">
        <v>1.3089999999999999E-2</v>
      </c>
      <c r="Q48" s="24">
        <v>9.5119999999999996E-2</v>
      </c>
      <c r="R48" s="25">
        <v>1.3225800000000001</v>
      </c>
      <c r="S48" s="25">
        <v>0.93181999999999998</v>
      </c>
      <c r="T48" s="24">
        <v>0.1022</v>
      </c>
      <c r="U48" s="25">
        <v>0.54839000000000004</v>
      </c>
      <c r="V48" s="25">
        <v>3.2259999999999997E-2</v>
      </c>
      <c r="W48" s="24">
        <v>1.349E-2</v>
      </c>
      <c r="X48" s="25">
        <v>1.4193499999999999</v>
      </c>
      <c r="Y48" s="27">
        <v>1.09677</v>
      </c>
      <c r="Z48" s="25">
        <v>9.3225800000000003</v>
      </c>
      <c r="AA48" s="28">
        <v>0.40483999999999998</v>
      </c>
      <c r="AB48" s="25">
        <v>0.80645</v>
      </c>
      <c r="AC48" s="24">
        <v>0.12</v>
      </c>
      <c r="AD48" s="25">
        <v>3.9354800000000001</v>
      </c>
      <c r="AE48" s="24">
        <v>0.79508000000000001</v>
      </c>
      <c r="AF48" s="24">
        <v>0.41003000000000001</v>
      </c>
      <c r="AG48" s="24">
        <v>0.48731000000000002</v>
      </c>
      <c r="AH48" s="25">
        <v>1.0623</v>
      </c>
      <c r="AI48" s="25">
        <v>0.53800000000000003</v>
      </c>
      <c r="AJ48" s="25">
        <v>0.5242</v>
      </c>
      <c r="AK48" s="25">
        <v>101.09</v>
      </c>
      <c r="AL48" s="25">
        <v>115.45</v>
      </c>
      <c r="AM48" s="25">
        <f>Table13[[#This Row],[OFF RTG]]-Table13[[#This Row],[DEF RTG]]</f>
        <v>-14.36</v>
      </c>
      <c r="AN48" s="24">
        <v>0.22700000000000001</v>
      </c>
      <c r="AO48">
        <v>-166</v>
      </c>
    </row>
    <row r="49" spans="1:41" x14ac:dyDescent="0.35">
      <c r="A49" t="s">
        <v>284</v>
      </c>
      <c r="B49" t="s">
        <v>538</v>
      </c>
      <c r="C49" t="s">
        <v>729</v>
      </c>
      <c r="D49" t="s">
        <v>492</v>
      </c>
      <c r="E49" t="s">
        <v>478</v>
      </c>
      <c r="F49">
        <v>1</v>
      </c>
      <c r="G49" t="s">
        <v>243</v>
      </c>
      <c r="H49" t="s">
        <v>215</v>
      </c>
      <c r="I49">
        <v>1</v>
      </c>
      <c r="J49" t="s">
        <v>145</v>
      </c>
      <c r="K49">
        <v>77</v>
      </c>
      <c r="L49">
        <v>21</v>
      </c>
      <c r="M49">
        <v>697</v>
      </c>
      <c r="N49" s="27">
        <v>16.380949999999999</v>
      </c>
      <c r="O49" s="27">
        <v>4.80952</v>
      </c>
      <c r="P49" s="24">
        <v>6.5610000000000002E-2</v>
      </c>
      <c r="Q49" s="24">
        <v>9.4579999999999997E-2</v>
      </c>
      <c r="R49" s="25">
        <v>1.7619</v>
      </c>
      <c r="S49" s="25">
        <v>0.92500000000000004</v>
      </c>
      <c r="T49" s="24">
        <v>0.10152</v>
      </c>
      <c r="U49" s="27">
        <v>1.5238100000000001</v>
      </c>
      <c r="V49" s="25">
        <v>0.19048000000000001</v>
      </c>
      <c r="W49" s="24">
        <v>3.175E-2</v>
      </c>
      <c r="X49" s="25">
        <v>1.90476</v>
      </c>
      <c r="Y49" s="25">
        <v>2.7618999999999998</v>
      </c>
      <c r="Z49" s="25">
        <v>10.71429</v>
      </c>
      <c r="AA49" s="28">
        <v>0.43110999999999999</v>
      </c>
      <c r="AB49" s="25">
        <v>2.7142900000000001</v>
      </c>
      <c r="AC49" s="24">
        <v>0.31579000000000002</v>
      </c>
      <c r="AD49" s="25">
        <v>7.5238100000000001</v>
      </c>
      <c r="AE49" s="28">
        <v>0.83543999999999996</v>
      </c>
      <c r="AF49" s="24">
        <v>0.47110999999999997</v>
      </c>
      <c r="AG49" s="28">
        <v>0.58404</v>
      </c>
      <c r="AH49" s="25">
        <v>2.8856999999999999</v>
      </c>
      <c r="AI49" s="25">
        <v>1.8563000000000001</v>
      </c>
      <c r="AJ49" s="25">
        <v>1.0294000000000001</v>
      </c>
      <c r="AK49" s="27">
        <v>120.49</v>
      </c>
      <c r="AL49" s="25">
        <v>105.82</v>
      </c>
      <c r="AM49" s="27">
        <f>Table13[[#This Row],[OFF RTG]]-Table13[[#This Row],[DEF RTG]]</f>
        <v>14.670000000000002</v>
      </c>
      <c r="AN49" s="24">
        <v>0.22925999999999999</v>
      </c>
      <c r="AO49" s="26">
        <v>2</v>
      </c>
    </row>
    <row r="50" spans="1:41" x14ac:dyDescent="0.35">
      <c r="A50" t="s">
        <v>660</v>
      </c>
      <c r="B50" t="s">
        <v>708</v>
      </c>
      <c r="C50" t="s">
        <v>729</v>
      </c>
      <c r="D50" t="s">
        <v>496</v>
      </c>
      <c r="E50" t="s">
        <v>460</v>
      </c>
      <c r="F50">
        <v>1</v>
      </c>
      <c r="G50" t="s">
        <v>315</v>
      </c>
      <c r="H50" t="s">
        <v>305</v>
      </c>
      <c r="I50">
        <v>1</v>
      </c>
      <c r="J50" t="s">
        <v>145</v>
      </c>
      <c r="K50">
        <v>75</v>
      </c>
      <c r="L50" s="26">
        <v>30</v>
      </c>
      <c r="M50">
        <v>813</v>
      </c>
      <c r="N50" s="27">
        <v>12.33333</v>
      </c>
      <c r="O50" s="25">
        <v>3</v>
      </c>
      <c r="P50" s="24">
        <v>2.647E-2</v>
      </c>
      <c r="Q50" s="24">
        <v>0.10198</v>
      </c>
      <c r="R50" s="25">
        <v>1.2</v>
      </c>
      <c r="S50" s="25">
        <v>0.92308000000000001</v>
      </c>
      <c r="T50" s="24">
        <v>0.10167</v>
      </c>
      <c r="U50" s="25">
        <v>0.8</v>
      </c>
      <c r="V50" s="25">
        <v>0.13333</v>
      </c>
      <c r="W50" s="24">
        <v>2.3109999999999999E-2</v>
      </c>
      <c r="X50" s="25">
        <v>1.3</v>
      </c>
      <c r="Y50" s="25">
        <v>1.73333</v>
      </c>
      <c r="Z50" s="25">
        <v>11.56667</v>
      </c>
      <c r="AA50" s="24">
        <v>0.36598999999999998</v>
      </c>
      <c r="AB50" s="25">
        <v>4.1333299999999999</v>
      </c>
      <c r="AC50" s="24">
        <v>0.28226000000000001</v>
      </c>
      <c r="AD50" s="25">
        <v>3.6</v>
      </c>
      <c r="AE50" s="24">
        <v>0.75</v>
      </c>
      <c r="AF50" s="24">
        <v>0.41643000000000002</v>
      </c>
      <c r="AG50" s="24">
        <v>0.46894999999999998</v>
      </c>
      <c r="AH50" s="25">
        <v>0.68220000000000003</v>
      </c>
      <c r="AI50" s="25">
        <v>0.21690000000000001</v>
      </c>
      <c r="AJ50" s="25">
        <v>0.4652</v>
      </c>
      <c r="AK50" s="25">
        <v>97.16</v>
      </c>
      <c r="AL50" s="25">
        <v>115.75</v>
      </c>
      <c r="AM50" s="25">
        <f>Table13[[#This Row],[OFF RTG]]-Table13[[#This Row],[DEF RTG]]</f>
        <v>-18.590000000000003</v>
      </c>
      <c r="AN50" s="24">
        <v>0.27355000000000002</v>
      </c>
      <c r="AO50">
        <v>-299</v>
      </c>
    </row>
    <row r="51" spans="1:41" x14ac:dyDescent="0.35">
      <c r="A51" t="s">
        <v>429</v>
      </c>
      <c r="B51" t="s">
        <v>613</v>
      </c>
      <c r="C51" t="s">
        <v>729</v>
      </c>
      <c r="D51" t="s">
        <v>629</v>
      </c>
      <c r="E51" t="s">
        <v>630</v>
      </c>
      <c r="F51">
        <v>3</v>
      </c>
      <c r="G51" t="s">
        <v>188</v>
      </c>
      <c r="H51" t="s">
        <v>168</v>
      </c>
      <c r="I51">
        <v>1</v>
      </c>
      <c r="J51" t="s">
        <v>145</v>
      </c>
      <c r="K51">
        <v>77</v>
      </c>
      <c r="L51">
        <v>11</v>
      </c>
      <c r="M51">
        <v>346</v>
      </c>
      <c r="N51" s="27">
        <v>18.181819999999998</v>
      </c>
      <c r="O51" s="27">
        <v>5.2727300000000001</v>
      </c>
      <c r="P51" s="24">
        <v>5.3859999999999998E-2</v>
      </c>
      <c r="Q51" s="24">
        <v>0.14208000000000001</v>
      </c>
      <c r="R51" s="25">
        <v>1.36364</v>
      </c>
      <c r="S51" s="25">
        <v>0.88234999999999997</v>
      </c>
      <c r="T51" s="24">
        <v>0.10054</v>
      </c>
      <c r="U51" s="27">
        <v>1.2727299999999999</v>
      </c>
      <c r="V51" s="25">
        <v>0.18182000000000001</v>
      </c>
      <c r="W51" s="24">
        <v>2.7900000000000001E-2</v>
      </c>
      <c r="X51" s="25">
        <v>1.54545</v>
      </c>
      <c r="Y51" s="25">
        <v>3.2727300000000001</v>
      </c>
      <c r="Z51" s="25">
        <v>14.454549999999999</v>
      </c>
      <c r="AA51" s="28">
        <v>0.44653999999999999</v>
      </c>
      <c r="AB51" s="25">
        <v>5.3636400000000002</v>
      </c>
      <c r="AC51" s="24">
        <v>0.32202999999999998</v>
      </c>
      <c r="AD51" s="25">
        <v>4.1818200000000001</v>
      </c>
      <c r="AE51" s="28">
        <v>0.84782999999999997</v>
      </c>
      <c r="AF51" s="28">
        <v>0.50629000000000002</v>
      </c>
      <c r="AG51" s="28">
        <v>0.55803999999999998</v>
      </c>
      <c r="AH51" s="25">
        <v>0.86770000000000003</v>
      </c>
      <c r="AI51" s="25">
        <v>0.69130000000000003</v>
      </c>
      <c r="AJ51" s="25">
        <v>0.1764</v>
      </c>
      <c r="AK51" s="27">
        <v>111.06</v>
      </c>
      <c r="AL51" s="25">
        <v>116.44</v>
      </c>
      <c r="AM51" s="25">
        <f>Table13[[#This Row],[OFF RTG]]-Table13[[#This Row],[DEF RTG]]</f>
        <v>-5.3799999999999955</v>
      </c>
      <c r="AN51" s="24">
        <v>0.27716000000000002</v>
      </c>
      <c r="AO51">
        <v>-167</v>
      </c>
    </row>
    <row r="52" spans="1:41" x14ac:dyDescent="0.35">
      <c r="A52" t="s">
        <v>547</v>
      </c>
      <c r="B52" t="s">
        <v>191</v>
      </c>
      <c r="C52" t="s">
        <v>729</v>
      </c>
      <c r="D52" t="s">
        <v>552</v>
      </c>
      <c r="E52" t="s">
        <v>488</v>
      </c>
      <c r="F52">
        <v>2</v>
      </c>
      <c r="G52" t="s">
        <v>195</v>
      </c>
      <c r="H52" t="s">
        <v>196</v>
      </c>
      <c r="I52">
        <v>1</v>
      </c>
      <c r="J52" t="s">
        <v>145</v>
      </c>
      <c r="K52">
        <v>77</v>
      </c>
      <c r="L52" s="26">
        <v>25</v>
      </c>
      <c r="M52">
        <v>895</v>
      </c>
      <c r="N52" s="27">
        <v>17.440000000000001</v>
      </c>
      <c r="O52" s="27">
        <v>5.68</v>
      </c>
      <c r="P52" s="24">
        <v>4.0919999999999998E-2</v>
      </c>
      <c r="Q52" s="24">
        <v>0.14602000000000001</v>
      </c>
      <c r="R52" s="25">
        <v>2.68</v>
      </c>
      <c r="S52" s="25">
        <v>0.85897000000000001</v>
      </c>
      <c r="T52" s="24">
        <v>0.19481999999999999</v>
      </c>
      <c r="U52" s="25">
        <v>0.92</v>
      </c>
      <c r="V52" s="25">
        <v>0.4</v>
      </c>
      <c r="W52" s="24">
        <v>2.8029999999999999E-2</v>
      </c>
      <c r="X52" s="25">
        <v>3.12</v>
      </c>
      <c r="Y52" s="25">
        <v>1.56</v>
      </c>
      <c r="Z52" s="25">
        <v>13.72</v>
      </c>
      <c r="AA52" s="28">
        <v>0.42274</v>
      </c>
      <c r="AB52" s="25">
        <v>1.72</v>
      </c>
      <c r="AC52" s="24">
        <v>0.20930000000000001</v>
      </c>
      <c r="AD52" s="25">
        <v>8.2799999999999994</v>
      </c>
      <c r="AE52" s="24">
        <v>0.66183999999999998</v>
      </c>
      <c r="AF52" s="24">
        <v>0.43586000000000003</v>
      </c>
      <c r="AG52" s="24">
        <v>0.50219000000000003</v>
      </c>
      <c r="AH52" s="25">
        <v>0.54010000000000002</v>
      </c>
      <c r="AI52" s="25">
        <v>0.29749999999999999</v>
      </c>
      <c r="AJ52" s="25">
        <v>0.24260000000000001</v>
      </c>
      <c r="AK52" s="25">
        <v>97.35</v>
      </c>
      <c r="AL52" s="25">
        <v>119.03</v>
      </c>
      <c r="AM52" s="25">
        <f>Table13[[#This Row],[OFF RTG]]-Table13[[#This Row],[DEF RTG]]</f>
        <v>-21.680000000000007</v>
      </c>
      <c r="AN52" s="24">
        <v>0.29653000000000002</v>
      </c>
      <c r="AO52">
        <v>-373</v>
      </c>
    </row>
    <row r="53" spans="1:41" x14ac:dyDescent="0.35">
      <c r="A53" t="s">
        <v>536</v>
      </c>
      <c r="B53" t="s">
        <v>537</v>
      </c>
      <c r="C53" t="s">
        <v>729</v>
      </c>
      <c r="D53" t="s">
        <v>172</v>
      </c>
      <c r="E53" t="s">
        <v>168</v>
      </c>
      <c r="F53">
        <v>1</v>
      </c>
      <c r="G53" t="s">
        <v>450</v>
      </c>
      <c r="H53" t="s">
        <v>215</v>
      </c>
      <c r="I53">
        <v>1</v>
      </c>
      <c r="J53" t="s">
        <v>145</v>
      </c>
      <c r="K53">
        <v>77</v>
      </c>
      <c r="L53" s="26">
        <v>25</v>
      </c>
      <c r="M53">
        <v>748</v>
      </c>
      <c r="N53" s="27">
        <v>15.16</v>
      </c>
      <c r="O53" s="25">
        <v>3.16</v>
      </c>
      <c r="P53" s="24">
        <v>4.8820000000000002E-2</v>
      </c>
      <c r="Q53" s="24">
        <v>7.0749999999999993E-2</v>
      </c>
      <c r="R53" s="25">
        <v>1.24</v>
      </c>
      <c r="S53" s="25">
        <v>0.68889</v>
      </c>
      <c r="T53" s="24">
        <v>9.2859999999999998E-2</v>
      </c>
      <c r="U53" s="27">
        <v>1.4</v>
      </c>
      <c r="V53" s="25">
        <v>0.28000000000000003</v>
      </c>
      <c r="W53" s="24">
        <v>3.823E-2</v>
      </c>
      <c r="X53" s="25">
        <v>1.8</v>
      </c>
      <c r="Y53" s="25">
        <v>2.8</v>
      </c>
      <c r="Z53" s="25">
        <v>11.88</v>
      </c>
      <c r="AA53" s="28">
        <v>0.42087999999999998</v>
      </c>
      <c r="AB53" s="25">
        <v>4.3600000000000003</v>
      </c>
      <c r="AC53" s="28">
        <v>0.37614999999999998</v>
      </c>
      <c r="AD53" s="25">
        <v>4.4800000000000004</v>
      </c>
      <c r="AE53" s="24">
        <v>0.78571000000000002</v>
      </c>
      <c r="AF53" s="24">
        <v>0.4899</v>
      </c>
      <c r="AG53" s="28">
        <v>0.54720999999999997</v>
      </c>
      <c r="AH53" s="25">
        <v>1.948</v>
      </c>
      <c r="AI53" s="25">
        <v>1.2</v>
      </c>
      <c r="AJ53" s="25">
        <v>0.74809999999999999</v>
      </c>
      <c r="AK53" s="25">
        <v>108.45</v>
      </c>
      <c r="AL53" s="25">
        <v>111.07</v>
      </c>
      <c r="AM53" s="25">
        <f>Table13[[#This Row],[OFF RTG]]-Table13[[#This Row],[DEF RTG]]</f>
        <v>-2.6199999999999903</v>
      </c>
      <c r="AN53" s="24">
        <v>0.27161999999999997</v>
      </c>
      <c r="AO53">
        <v>-111</v>
      </c>
    </row>
    <row r="54" spans="1:41" x14ac:dyDescent="0.35">
      <c r="A54" t="s">
        <v>566</v>
      </c>
      <c r="B54" t="s">
        <v>375</v>
      </c>
      <c r="C54" t="s">
        <v>729</v>
      </c>
      <c r="D54" t="s">
        <v>588</v>
      </c>
      <c r="E54" t="s">
        <v>472</v>
      </c>
      <c r="F54">
        <v>1</v>
      </c>
      <c r="G54" t="s">
        <v>433</v>
      </c>
      <c r="H54" t="s">
        <v>215</v>
      </c>
      <c r="I54">
        <v>1</v>
      </c>
      <c r="J54" t="s">
        <v>145</v>
      </c>
      <c r="K54">
        <v>77</v>
      </c>
      <c r="L54">
        <v>23</v>
      </c>
      <c r="M54">
        <v>412</v>
      </c>
      <c r="N54" s="25">
        <v>5.9130399999999996</v>
      </c>
      <c r="O54" s="25">
        <v>2.8260900000000002</v>
      </c>
      <c r="P54" s="24">
        <v>5.1970000000000002E-2</v>
      </c>
      <c r="Q54" s="24">
        <v>0.13214999999999999</v>
      </c>
      <c r="R54" s="25">
        <v>0.78261000000000003</v>
      </c>
      <c r="S54" s="25">
        <v>0.66666999999999998</v>
      </c>
      <c r="T54" s="24">
        <v>0.10148</v>
      </c>
      <c r="U54" s="25">
        <v>0.39129999999999998</v>
      </c>
      <c r="V54" s="25">
        <v>0.26086999999999999</v>
      </c>
      <c r="W54" s="24">
        <v>3.1910000000000001E-2</v>
      </c>
      <c r="X54" s="25">
        <v>1.17391</v>
      </c>
      <c r="Y54" s="25">
        <v>1.6521699999999999</v>
      </c>
      <c r="Z54" s="25">
        <v>5.3043500000000003</v>
      </c>
      <c r="AA54" s="28">
        <v>0.42623</v>
      </c>
      <c r="AB54" s="25">
        <v>1.4782599999999999</v>
      </c>
      <c r="AC54" s="24">
        <v>0.26471</v>
      </c>
      <c r="AD54" s="25">
        <v>1.6956500000000001</v>
      </c>
      <c r="AE54" s="24">
        <v>0.58974000000000004</v>
      </c>
      <c r="AF54" s="24">
        <v>0.46311000000000002</v>
      </c>
      <c r="AG54" s="24">
        <v>0.48851</v>
      </c>
      <c r="AH54" s="25">
        <v>0.47789999999999999</v>
      </c>
      <c r="AI54" s="25">
        <v>-4.9599999999999998E-2</v>
      </c>
      <c r="AJ54" s="25">
        <v>0.52739999999999998</v>
      </c>
      <c r="AK54" s="25">
        <v>93.61</v>
      </c>
      <c r="AL54" s="25">
        <v>108.02</v>
      </c>
      <c r="AM54" s="25">
        <f>Table13[[#This Row],[OFF RTG]]-Table13[[#This Row],[DEF RTG]]</f>
        <v>-14.409999999999997</v>
      </c>
      <c r="AN54" s="24">
        <v>0.20829</v>
      </c>
      <c r="AO54">
        <v>-36</v>
      </c>
    </row>
    <row r="55" spans="1:41" x14ac:dyDescent="0.35">
      <c r="A55" t="s">
        <v>567</v>
      </c>
      <c r="B55" t="s">
        <v>568</v>
      </c>
      <c r="C55" t="s">
        <v>729</v>
      </c>
      <c r="D55" t="s">
        <v>589</v>
      </c>
      <c r="E55" t="s">
        <v>469</v>
      </c>
      <c r="F55">
        <v>1</v>
      </c>
      <c r="G55" t="s">
        <v>242</v>
      </c>
      <c r="H55" t="s">
        <v>215</v>
      </c>
      <c r="I55">
        <v>1</v>
      </c>
      <c r="J55" t="s">
        <v>145</v>
      </c>
      <c r="K55">
        <v>76</v>
      </c>
      <c r="L55">
        <v>19</v>
      </c>
      <c r="M55">
        <v>398</v>
      </c>
      <c r="N55" s="25">
        <v>5.1578900000000001</v>
      </c>
      <c r="O55" s="25">
        <v>3.5263200000000001</v>
      </c>
      <c r="P55" s="24">
        <v>5.9029999999999999E-2</v>
      </c>
      <c r="Q55" s="24">
        <v>0.14038999999999999</v>
      </c>
      <c r="R55" s="25">
        <v>0.47367999999999999</v>
      </c>
      <c r="S55" s="25">
        <v>0.64285999999999999</v>
      </c>
      <c r="T55" s="24">
        <v>4.9360000000000001E-2</v>
      </c>
      <c r="U55" s="25">
        <v>0.63158000000000003</v>
      </c>
      <c r="V55" s="25">
        <v>0.36842000000000003</v>
      </c>
      <c r="W55" s="24">
        <v>3.7470000000000003E-2</v>
      </c>
      <c r="X55" s="27">
        <v>0.73684000000000005</v>
      </c>
      <c r="Y55" s="25">
        <v>2.4736799999999999</v>
      </c>
      <c r="Z55" s="25">
        <v>5.2631600000000001</v>
      </c>
      <c r="AA55" s="24">
        <v>0.33</v>
      </c>
      <c r="AB55" s="25">
        <v>3.7368399999999999</v>
      </c>
      <c r="AC55" s="24">
        <v>0.29576999999999998</v>
      </c>
      <c r="AD55" s="25">
        <v>0.84211000000000003</v>
      </c>
      <c r="AE55" s="24">
        <v>0.6875</v>
      </c>
      <c r="AF55" s="24">
        <v>0.435</v>
      </c>
      <c r="AG55" s="24">
        <v>0.45794000000000001</v>
      </c>
      <c r="AH55" s="25">
        <v>0.57230000000000003</v>
      </c>
      <c r="AI55" s="25">
        <v>6.4199999999999993E-2</v>
      </c>
      <c r="AJ55" s="25">
        <v>0.5081</v>
      </c>
      <c r="AK55" s="25">
        <v>97.17</v>
      </c>
      <c r="AL55" s="25">
        <v>108.06</v>
      </c>
      <c r="AM55" s="25">
        <f>Table13[[#This Row],[OFF RTG]]-Table13[[#This Row],[DEF RTG]]</f>
        <v>-10.89</v>
      </c>
      <c r="AN55" s="24">
        <v>0.16116</v>
      </c>
      <c r="AO55">
        <v>-60</v>
      </c>
    </row>
    <row r="56" spans="1:41" x14ac:dyDescent="0.35">
      <c r="A56" t="s">
        <v>390</v>
      </c>
      <c r="B56" t="s">
        <v>560</v>
      </c>
      <c r="C56" t="s">
        <v>729</v>
      </c>
      <c r="D56" t="s">
        <v>585</v>
      </c>
      <c r="E56" t="s">
        <v>586</v>
      </c>
      <c r="F56">
        <v>2</v>
      </c>
      <c r="G56" t="s">
        <v>243</v>
      </c>
      <c r="H56" t="s">
        <v>215</v>
      </c>
      <c r="I56">
        <v>1</v>
      </c>
      <c r="J56" t="s">
        <v>145</v>
      </c>
      <c r="K56">
        <v>78</v>
      </c>
      <c r="L56">
        <v>23</v>
      </c>
      <c r="M56">
        <v>617</v>
      </c>
      <c r="N56" s="27">
        <v>10.260870000000001</v>
      </c>
      <c r="O56" s="27">
        <v>4.3478300000000001</v>
      </c>
      <c r="P56" s="24">
        <v>3.5459999999999998E-2</v>
      </c>
      <c r="Q56" s="24">
        <v>0.14172000000000001</v>
      </c>
      <c r="R56" s="25">
        <v>0.60870000000000002</v>
      </c>
      <c r="S56" s="25">
        <v>0.60870000000000002</v>
      </c>
      <c r="T56" s="24">
        <v>4.3959999999999999E-2</v>
      </c>
      <c r="U56" s="27">
        <v>1.4347799999999999</v>
      </c>
      <c r="V56" s="25">
        <v>0.13042999999999999</v>
      </c>
      <c r="W56" s="24">
        <v>3.6319999999999998E-2</v>
      </c>
      <c r="X56" s="27">
        <v>1</v>
      </c>
      <c r="Y56" s="25">
        <v>1.86957</v>
      </c>
      <c r="Z56" s="25">
        <v>8.1304300000000005</v>
      </c>
      <c r="AA56" s="24">
        <v>0.37968000000000002</v>
      </c>
      <c r="AB56" s="25">
        <v>5.6956499999999997</v>
      </c>
      <c r="AC56" s="28">
        <v>0.37404999999999999</v>
      </c>
      <c r="AD56" s="25">
        <v>2.3043499999999999</v>
      </c>
      <c r="AE56" s="28">
        <v>0.84906000000000004</v>
      </c>
      <c r="AF56" s="28">
        <v>0.51070000000000004</v>
      </c>
      <c r="AG56" s="28">
        <v>0.56110000000000004</v>
      </c>
      <c r="AH56" s="25">
        <v>2.0737999999999999</v>
      </c>
      <c r="AI56" s="25">
        <v>0.99890000000000001</v>
      </c>
      <c r="AJ56" s="25">
        <v>1.075</v>
      </c>
      <c r="AK56" s="27">
        <v>116.03</v>
      </c>
      <c r="AL56" s="27">
        <v>102.93</v>
      </c>
      <c r="AM56" s="27">
        <f>Table13[[#This Row],[OFF RTG]]-Table13[[#This Row],[DEF RTG]]</f>
        <v>13.099999999999994</v>
      </c>
      <c r="AN56" s="24">
        <v>0.18784000000000001</v>
      </c>
      <c r="AO56" s="26">
        <v>68</v>
      </c>
    </row>
    <row r="57" spans="1:41" x14ac:dyDescent="0.35">
      <c r="A57" t="s">
        <v>614</v>
      </c>
      <c r="B57" t="s">
        <v>615</v>
      </c>
      <c r="C57" t="s">
        <v>729</v>
      </c>
      <c r="D57" t="s">
        <v>631</v>
      </c>
      <c r="E57" t="s">
        <v>474</v>
      </c>
      <c r="F57">
        <v>1</v>
      </c>
      <c r="G57" t="s">
        <v>169</v>
      </c>
      <c r="H57" t="s">
        <v>168</v>
      </c>
      <c r="I57">
        <v>1</v>
      </c>
      <c r="J57" t="s">
        <v>146</v>
      </c>
      <c r="K57">
        <v>77</v>
      </c>
      <c r="L57">
        <v>22</v>
      </c>
      <c r="M57">
        <v>344</v>
      </c>
      <c r="N57" s="25">
        <v>4.2727300000000001</v>
      </c>
      <c r="O57" s="25">
        <v>3.4545499999999998</v>
      </c>
      <c r="P57" s="24">
        <v>0.10624</v>
      </c>
      <c r="Q57" s="24">
        <v>0.14283999999999999</v>
      </c>
      <c r="R57" s="25">
        <v>0.40909000000000001</v>
      </c>
      <c r="S57" s="25">
        <v>0.5625</v>
      </c>
      <c r="T57" s="24">
        <v>5.3409999999999999E-2</v>
      </c>
      <c r="U57" s="25">
        <v>0.59091000000000005</v>
      </c>
      <c r="V57" s="27">
        <v>0.81818000000000002</v>
      </c>
      <c r="W57" s="24">
        <v>8.4229999999999999E-2</v>
      </c>
      <c r="X57" s="27">
        <v>0.72726999999999997</v>
      </c>
      <c r="Y57" s="25">
        <v>1.63636</v>
      </c>
      <c r="Z57" s="25">
        <v>2.5</v>
      </c>
      <c r="AA57" s="28">
        <v>0.6</v>
      </c>
      <c r="AB57" s="25">
        <v>0</v>
      </c>
      <c r="AC57" s="24">
        <v>0</v>
      </c>
      <c r="AD57" s="25">
        <v>2.59091</v>
      </c>
      <c r="AE57" s="24">
        <v>0.49123</v>
      </c>
      <c r="AF57" s="28">
        <v>0.6</v>
      </c>
      <c r="AG57" s="28">
        <v>0.58677000000000001</v>
      </c>
      <c r="AH57" s="25">
        <v>0.97240000000000004</v>
      </c>
      <c r="AI57" s="25">
        <v>0.41689999999999999</v>
      </c>
      <c r="AJ57" s="25">
        <v>0.55549999999999999</v>
      </c>
      <c r="AK57" s="27">
        <v>112.69</v>
      </c>
      <c r="AL57" s="27">
        <v>104.29</v>
      </c>
      <c r="AM57" s="27">
        <f>Table13[[#This Row],[OFF RTG]]-Table13[[#This Row],[DEF RTG]]</f>
        <v>8.3999999999999915</v>
      </c>
      <c r="AN57" s="24">
        <v>0.13661999999999999</v>
      </c>
      <c r="AO57">
        <v>-57</v>
      </c>
    </row>
    <row r="58" spans="1:41" x14ac:dyDescent="0.35">
      <c r="A58" t="s">
        <v>601</v>
      </c>
      <c r="B58" t="s">
        <v>602</v>
      </c>
      <c r="C58" t="s">
        <v>729</v>
      </c>
      <c r="D58" t="s">
        <v>496</v>
      </c>
      <c r="E58" t="s">
        <v>460</v>
      </c>
      <c r="F58">
        <v>1</v>
      </c>
      <c r="G58" t="s">
        <v>186</v>
      </c>
      <c r="H58" t="s">
        <v>168</v>
      </c>
      <c r="I58">
        <v>1</v>
      </c>
      <c r="J58" t="s">
        <v>145</v>
      </c>
      <c r="K58">
        <v>76</v>
      </c>
      <c r="L58" s="26">
        <v>26</v>
      </c>
      <c r="M58">
        <v>485</v>
      </c>
      <c r="N58" s="25">
        <v>3.6538499999999998</v>
      </c>
      <c r="O58" s="25">
        <v>2.2307700000000001</v>
      </c>
      <c r="P58" s="24">
        <v>5.2380000000000003E-2</v>
      </c>
      <c r="Q58" s="24">
        <v>9.0520000000000003E-2</v>
      </c>
      <c r="R58" s="25">
        <v>0.46154000000000001</v>
      </c>
      <c r="S58" s="25">
        <v>0.52173999999999998</v>
      </c>
      <c r="T58" s="24">
        <v>5.1139999999999998E-2</v>
      </c>
      <c r="U58" s="25">
        <v>0.42308000000000001</v>
      </c>
      <c r="V58" s="25">
        <v>0.19231000000000001</v>
      </c>
      <c r="W58" s="24">
        <v>2.5430000000000001E-2</v>
      </c>
      <c r="X58" s="27">
        <v>0.88461999999999996</v>
      </c>
      <c r="Y58" s="27">
        <v>1.4230799999999999</v>
      </c>
      <c r="Z58" s="25">
        <v>4.0384599999999997</v>
      </c>
      <c r="AA58" s="24">
        <v>0.28571000000000002</v>
      </c>
      <c r="AB58" s="25">
        <v>1.9615400000000001</v>
      </c>
      <c r="AC58" s="24">
        <v>0.27450999999999998</v>
      </c>
      <c r="AD58" s="25">
        <v>1.2307699999999999</v>
      </c>
      <c r="AE58" s="24">
        <v>0.65625</v>
      </c>
      <c r="AF58" s="24">
        <v>0.35238000000000003</v>
      </c>
      <c r="AG58" s="24">
        <v>0.39882000000000001</v>
      </c>
      <c r="AH58" s="25">
        <v>8.1799999999999998E-2</v>
      </c>
      <c r="AI58" s="25">
        <v>-0.46410000000000001</v>
      </c>
      <c r="AJ58" s="25">
        <v>0.54590000000000005</v>
      </c>
      <c r="AK58" s="25">
        <v>81.45</v>
      </c>
      <c r="AL58" s="25">
        <v>109.71</v>
      </c>
      <c r="AM58" s="25">
        <f>Table13[[#This Row],[OFF RTG]]-Table13[[#This Row],[DEF RTG]]</f>
        <v>-28.259999999999991</v>
      </c>
      <c r="AN58" s="24">
        <v>0.15841</v>
      </c>
      <c r="AO58">
        <v>-97</v>
      </c>
    </row>
    <row r="59" spans="1:41" x14ac:dyDescent="0.35">
      <c r="A59" t="s">
        <v>451</v>
      </c>
      <c r="B59" t="s">
        <v>508</v>
      </c>
      <c r="C59" t="s">
        <v>729</v>
      </c>
      <c r="D59" t="s">
        <v>143</v>
      </c>
      <c r="E59" t="s">
        <v>112</v>
      </c>
      <c r="F59">
        <v>1</v>
      </c>
      <c r="G59" t="s">
        <v>427</v>
      </c>
      <c r="H59" t="s">
        <v>112</v>
      </c>
      <c r="I59">
        <v>1</v>
      </c>
      <c r="J59" t="s">
        <v>145</v>
      </c>
      <c r="K59">
        <v>78</v>
      </c>
      <c r="L59" s="26">
        <v>25</v>
      </c>
      <c r="M59">
        <v>464</v>
      </c>
      <c r="N59" s="25">
        <v>7.8</v>
      </c>
      <c r="O59" s="27">
        <v>4.4000000000000004</v>
      </c>
      <c r="P59" s="24">
        <v>0.12886</v>
      </c>
      <c r="Q59" s="24">
        <v>0.17035</v>
      </c>
      <c r="R59" s="25">
        <v>0.96</v>
      </c>
      <c r="S59" s="25">
        <v>0.47059000000000001</v>
      </c>
      <c r="T59" s="24">
        <v>0.14327999999999999</v>
      </c>
      <c r="U59" s="25">
        <v>0.44</v>
      </c>
      <c r="V59" s="25">
        <v>0.16</v>
      </c>
      <c r="W59" s="24">
        <v>2.862E-2</v>
      </c>
      <c r="X59" s="25">
        <v>2.04</v>
      </c>
      <c r="Y59" s="25">
        <v>2.08</v>
      </c>
      <c r="Z59" s="25">
        <v>7.12</v>
      </c>
      <c r="AA59" s="24">
        <v>0.3427</v>
      </c>
      <c r="AB59" s="25">
        <v>0.12</v>
      </c>
      <c r="AC59" s="24">
        <v>0</v>
      </c>
      <c r="AD59" s="25">
        <v>4.3600000000000003</v>
      </c>
      <c r="AE59" s="24">
        <v>0.66971999999999998</v>
      </c>
      <c r="AF59" s="24">
        <v>0.3427</v>
      </c>
      <c r="AG59" s="24">
        <v>0.43142000000000003</v>
      </c>
      <c r="AH59" s="25">
        <v>0.126</v>
      </c>
      <c r="AI59" s="25">
        <v>-0.62719999999999998</v>
      </c>
      <c r="AJ59" s="25">
        <v>0.75319999999999998</v>
      </c>
      <c r="AK59" s="25">
        <v>86.21</v>
      </c>
      <c r="AL59" s="27">
        <v>104.25</v>
      </c>
      <c r="AM59" s="25">
        <f>Table13[[#This Row],[OFF RTG]]-Table13[[#This Row],[DEF RTG]]</f>
        <v>-18.040000000000006</v>
      </c>
      <c r="AN59" s="24">
        <v>0.33721000000000001</v>
      </c>
      <c r="AO59">
        <v>-58</v>
      </c>
    </row>
    <row r="60" spans="1:41" x14ac:dyDescent="0.35">
      <c r="A60" t="s">
        <v>309</v>
      </c>
      <c r="B60" t="s">
        <v>598</v>
      </c>
      <c r="C60" t="s">
        <v>729</v>
      </c>
      <c r="D60" t="s">
        <v>626</v>
      </c>
      <c r="E60" t="s">
        <v>459</v>
      </c>
      <c r="F60">
        <v>1</v>
      </c>
      <c r="G60" t="s">
        <v>171</v>
      </c>
      <c r="H60" t="s">
        <v>168</v>
      </c>
      <c r="I60">
        <v>1</v>
      </c>
      <c r="J60" t="s">
        <v>146</v>
      </c>
      <c r="K60">
        <v>78</v>
      </c>
      <c r="L60" s="26">
        <v>29</v>
      </c>
      <c r="M60">
        <v>516</v>
      </c>
      <c r="N60" s="25">
        <v>7.1724100000000002</v>
      </c>
      <c r="O60" s="25">
        <v>3.8620700000000001</v>
      </c>
      <c r="P60" s="24">
        <v>9.0870000000000006E-2</v>
      </c>
      <c r="Q60" s="24">
        <v>0.15257000000000001</v>
      </c>
      <c r="R60" s="25">
        <v>0.24138000000000001</v>
      </c>
      <c r="S60" s="25">
        <v>0.4375</v>
      </c>
      <c r="T60" s="24">
        <v>2.6980000000000001E-2</v>
      </c>
      <c r="U60" s="25">
        <v>0.68966000000000005</v>
      </c>
      <c r="V60" s="25">
        <v>0.31034</v>
      </c>
      <c r="W60" s="24">
        <v>4.2520000000000002E-2</v>
      </c>
      <c r="X60" s="27">
        <v>0.55171999999999999</v>
      </c>
      <c r="Y60" s="25">
        <v>2.34483</v>
      </c>
      <c r="Z60" s="25">
        <v>5.2413800000000004</v>
      </c>
      <c r="AA60" s="28">
        <v>0.48683999999999999</v>
      </c>
      <c r="AB60" s="25">
        <v>3</v>
      </c>
      <c r="AC60" s="28">
        <v>0.39079999999999998</v>
      </c>
      <c r="AD60" s="25">
        <v>1.27586</v>
      </c>
      <c r="AE60" s="24">
        <v>0.70269999999999999</v>
      </c>
      <c r="AF60" s="28">
        <v>0.59867999999999999</v>
      </c>
      <c r="AG60" s="28">
        <v>0.61794000000000004</v>
      </c>
      <c r="AH60" s="25">
        <v>1.2975000000000001</v>
      </c>
      <c r="AI60" s="25">
        <v>1.0827</v>
      </c>
      <c r="AJ60" s="25">
        <v>0.21479999999999999</v>
      </c>
      <c r="AK60" s="27">
        <v>122.32</v>
      </c>
      <c r="AL60" s="25">
        <v>117.45</v>
      </c>
      <c r="AM60" s="27">
        <f>Table13[[#This Row],[OFF RTG]]-Table13[[#This Row],[DEF RTG]]</f>
        <v>4.8699999999999903</v>
      </c>
      <c r="AN60" s="24">
        <v>0.17535999999999999</v>
      </c>
      <c r="AO60">
        <v>-148</v>
      </c>
    </row>
    <row r="61" spans="1:41" x14ac:dyDescent="0.35">
      <c r="A61" t="s">
        <v>619</v>
      </c>
      <c r="B61" t="s">
        <v>301</v>
      </c>
      <c r="C61" t="s">
        <v>729</v>
      </c>
      <c r="D61" t="s">
        <v>439</v>
      </c>
      <c r="E61" t="s">
        <v>168</v>
      </c>
      <c r="F61">
        <v>1</v>
      </c>
      <c r="G61" t="s">
        <v>438</v>
      </c>
      <c r="H61" t="s">
        <v>168</v>
      </c>
      <c r="I61">
        <v>1</v>
      </c>
      <c r="J61" t="s">
        <v>145</v>
      </c>
      <c r="K61">
        <v>76</v>
      </c>
      <c r="L61">
        <v>16</v>
      </c>
      <c r="M61">
        <v>180</v>
      </c>
      <c r="N61" s="25">
        <v>4.1428599999999998</v>
      </c>
      <c r="O61" s="25">
        <v>1.5714300000000001</v>
      </c>
      <c r="P61" s="24">
        <v>3.5499999999999997E-2</v>
      </c>
      <c r="Q61" s="24">
        <v>0.13647000000000001</v>
      </c>
      <c r="R61" s="25">
        <v>0.28571000000000002</v>
      </c>
      <c r="S61" s="25">
        <v>0.4</v>
      </c>
      <c r="T61" s="24">
        <v>6.9900000000000004E-2</v>
      </c>
      <c r="U61" s="25">
        <v>0.14285999999999999</v>
      </c>
      <c r="V61" s="25">
        <v>7.1429999999999993E-2</v>
      </c>
      <c r="W61" s="24">
        <v>1.489E-2</v>
      </c>
      <c r="X61" s="27">
        <v>0.71428999999999998</v>
      </c>
      <c r="Y61" s="27">
        <v>0.78571000000000002</v>
      </c>
      <c r="Z61" s="25">
        <v>4.0714300000000003</v>
      </c>
      <c r="AA61" s="24">
        <v>0.35088000000000003</v>
      </c>
      <c r="AB61" s="25">
        <v>2.1428600000000002</v>
      </c>
      <c r="AC61" s="24">
        <v>0.26667000000000002</v>
      </c>
      <c r="AD61" s="25">
        <v>0.92857000000000001</v>
      </c>
      <c r="AE61" s="24">
        <v>0.76922999999999997</v>
      </c>
      <c r="AF61" s="24">
        <v>0.42104999999999998</v>
      </c>
      <c r="AG61" s="24">
        <v>0.46251999999999999</v>
      </c>
      <c r="AH61" s="25">
        <v>-0.22639999999999999</v>
      </c>
      <c r="AI61" s="25">
        <v>-0.1338</v>
      </c>
      <c r="AJ61" s="25">
        <v>-9.2499999999999999E-2</v>
      </c>
      <c r="AK61" s="25">
        <v>87.16</v>
      </c>
      <c r="AL61" s="25">
        <v>128.09</v>
      </c>
      <c r="AM61" s="25">
        <f>Table13[[#This Row],[OFF RTG]]-Table13[[#This Row],[DEF RTG]]</f>
        <v>-40.930000000000007</v>
      </c>
      <c r="AN61" s="24">
        <v>0.23737</v>
      </c>
      <c r="AO61">
        <v>-102</v>
      </c>
    </row>
    <row r="62" spans="1:41" x14ac:dyDescent="0.35">
      <c r="A62" t="s">
        <v>452</v>
      </c>
      <c r="B62" t="s">
        <v>555</v>
      </c>
      <c r="C62" t="s">
        <v>729</v>
      </c>
      <c r="D62" t="s">
        <v>195</v>
      </c>
      <c r="E62" t="s">
        <v>196</v>
      </c>
      <c r="F62">
        <v>1</v>
      </c>
      <c r="G62" t="s">
        <v>466</v>
      </c>
      <c r="H62" t="s">
        <v>196</v>
      </c>
      <c r="I62">
        <v>1</v>
      </c>
      <c r="J62" t="s">
        <v>146</v>
      </c>
      <c r="K62">
        <v>78</v>
      </c>
      <c r="L62">
        <v>24</v>
      </c>
      <c r="M62">
        <v>178</v>
      </c>
      <c r="N62" s="25">
        <v>2</v>
      </c>
      <c r="O62" s="25">
        <v>1.3333299999999999</v>
      </c>
      <c r="P62" s="24">
        <v>8.4900000000000003E-2</v>
      </c>
      <c r="Q62" s="24">
        <v>0.13635</v>
      </c>
      <c r="R62" s="25">
        <v>0.16667000000000001</v>
      </c>
      <c r="S62" s="25">
        <v>0.28571000000000002</v>
      </c>
      <c r="T62" s="24">
        <v>4.3360000000000003E-2</v>
      </c>
      <c r="U62" s="25">
        <v>0.375</v>
      </c>
      <c r="V62" s="25">
        <v>0.16667000000000001</v>
      </c>
      <c r="W62" s="33">
        <v>5.3529999999999897E-2</v>
      </c>
      <c r="X62" s="27">
        <v>0.58333000000000002</v>
      </c>
      <c r="Y62" s="27">
        <v>1.4166700000000001</v>
      </c>
      <c r="Z62" s="25">
        <v>2.0416699999999999</v>
      </c>
      <c r="AA62" s="24">
        <v>0.38775999999999999</v>
      </c>
      <c r="AB62" s="25">
        <v>0.375</v>
      </c>
      <c r="AC62" s="24">
        <v>0.33333000000000002</v>
      </c>
      <c r="AD62" s="25">
        <v>0.5</v>
      </c>
      <c r="AE62" s="24">
        <v>0.58333000000000002</v>
      </c>
      <c r="AF62" s="24">
        <v>0.41837000000000002</v>
      </c>
      <c r="AG62" s="24">
        <v>0.44198999999999999</v>
      </c>
      <c r="AH62" s="25">
        <v>2.86E-2</v>
      </c>
      <c r="AI62" s="25">
        <v>-0.15409999999999999</v>
      </c>
      <c r="AJ62" s="25">
        <v>0.1827</v>
      </c>
      <c r="AK62" s="25">
        <v>84.85</v>
      </c>
      <c r="AL62" s="25">
        <v>110.76</v>
      </c>
      <c r="AM62" s="25">
        <f>Table13[[#This Row],[OFF RTG]]-Table13[[#This Row],[DEF RTG]]</f>
        <v>-25.910000000000011</v>
      </c>
      <c r="AN62" s="24">
        <v>0.19217000000000001</v>
      </c>
      <c r="AO62">
        <v>-26</v>
      </c>
    </row>
    <row r="63" spans="1:41" x14ac:dyDescent="0.35">
      <c r="A63" t="s">
        <v>717</v>
      </c>
      <c r="B63" t="s">
        <v>718</v>
      </c>
      <c r="C63" t="s">
        <v>729</v>
      </c>
      <c r="D63" t="s">
        <v>465</v>
      </c>
      <c r="E63" t="s">
        <v>196</v>
      </c>
      <c r="F63">
        <v>1</v>
      </c>
      <c r="G63" t="s">
        <v>727</v>
      </c>
      <c r="H63" t="s">
        <v>305</v>
      </c>
      <c r="I63">
        <v>1</v>
      </c>
      <c r="J63" t="s">
        <v>146</v>
      </c>
      <c r="K63">
        <v>78</v>
      </c>
      <c r="L63">
        <v>8</v>
      </c>
      <c r="M63">
        <v>65</v>
      </c>
      <c r="N63" s="25">
        <v>2</v>
      </c>
      <c r="O63" s="25">
        <v>1.375</v>
      </c>
      <c r="P63" s="24">
        <v>5.3949999999999998E-2</v>
      </c>
      <c r="Q63" s="24">
        <v>0.15401999999999999</v>
      </c>
      <c r="R63" s="25">
        <v>0.25</v>
      </c>
      <c r="S63" s="25">
        <v>0.2</v>
      </c>
      <c r="T63" s="24">
        <v>7.5800000000000006E-2</v>
      </c>
      <c r="U63" s="25">
        <v>0.5</v>
      </c>
      <c r="V63" s="25">
        <v>0.125</v>
      </c>
      <c r="W63" s="33">
        <v>5.6189999999999997E-2</v>
      </c>
      <c r="X63" s="25">
        <v>1.25</v>
      </c>
      <c r="Y63" s="27">
        <v>0.625</v>
      </c>
      <c r="Z63" s="25">
        <v>2.375</v>
      </c>
      <c r="AA63" s="24">
        <v>0.31579000000000002</v>
      </c>
      <c r="AB63" s="25">
        <v>0.125</v>
      </c>
      <c r="AC63" s="28">
        <v>1</v>
      </c>
      <c r="AD63" s="25">
        <v>0.5</v>
      </c>
      <c r="AE63" s="24">
        <v>0.75</v>
      </c>
      <c r="AF63" s="24">
        <v>0.34211000000000003</v>
      </c>
      <c r="AG63" s="24">
        <v>0.38462000000000002</v>
      </c>
      <c r="AH63" s="25">
        <v>-0.1303</v>
      </c>
      <c r="AI63" s="25">
        <v>-0.26989999999999997</v>
      </c>
      <c r="AJ63" s="25">
        <v>0.1396</v>
      </c>
      <c r="AK63" s="25">
        <v>60.76</v>
      </c>
      <c r="AL63" s="27">
        <v>98.57</v>
      </c>
      <c r="AM63" s="25">
        <f>Table13[[#This Row],[OFF RTG]]-Table13[[#This Row],[DEF RTG]]</f>
        <v>-37.809999999999995</v>
      </c>
      <c r="AN63" s="24">
        <v>0.26357000000000003</v>
      </c>
      <c r="AO63">
        <v>-23</v>
      </c>
    </row>
    <row r="64" spans="1:41" x14ac:dyDescent="0.35">
      <c r="A64" t="s">
        <v>625</v>
      </c>
      <c r="B64" t="s">
        <v>176</v>
      </c>
      <c r="C64" t="s">
        <v>729</v>
      </c>
      <c r="D64" t="s">
        <v>636</v>
      </c>
      <c r="E64" t="s">
        <v>488</v>
      </c>
      <c r="F64">
        <v>2</v>
      </c>
      <c r="G64" t="s">
        <v>188</v>
      </c>
      <c r="H64" t="s">
        <v>168</v>
      </c>
      <c r="I64">
        <v>1</v>
      </c>
      <c r="J64" t="s">
        <v>146</v>
      </c>
      <c r="K64">
        <v>78</v>
      </c>
      <c r="L64">
        <v>3</v>
      </c>
      <c r="M64">
        <v>12</v>
      </c>
      <c r="N64" s="25"/>
      <c r="O64" s="25"/>
      <c r="P64" s="24"/>
      <c r="Q64" s="24"/>
      <c r="R64" s="25"/>
      <c r="S64" s="25"/>
      <c r="T64" s="24"/>
      <c r="U64" s="25"/>
      <c r="V64" s="25"/>
      <c r="W64" s="24"/>
      <c r="X64" s="25"/>
      <c r="Y64" s="25"/>
      <c r="Z64" s="25"/>
      <c r="AA64" s="24"/>
      <c r="AB64" s="25"/>
      <c r="AC64" s="24"/>
      <c r="AD64" s="25"/>
      <c r="AE64" s="24"/>
      <c r="AF64" s="24"/>
      <c r="AG64" s="24"/>
      <c r="AH64" s="25"/>
      <c r="AI64" s="25"/>
      <c r="AJ64" s="25"/>
      <c r="AK64" s="25"/>
      <c r="AL64" s="25"/>
      <c r="AM64" s="25">
        <f>Table13[[#This Row],[OFF RTG]]-Table13[[#This Row],[DEF RTG]]</f>
        <v>0</v>
      </c>
      <c r="AN64" s="24"/>
    </row>
    <row r="65" spans="1:41" x14ac:dyDescent="0.35">
      <c r="A65" t="s">
        <v>386</v>
      </c>
      <c r="B65" t="s">
        <v>387</v>
      </c>
      <c r="C65" t="s">
        <v>406</v>
      </c>
      <c r="D65" t="s">
        <v>543</v>
      </c>
      <c r="E65" t="s">
        <v>479</v>
      </c>
      <c r="F65">
        <v>2</v>
      </c>
      <c r="G65" t="s">
        <v>361</v>
      </c>
      <c r="H65" t="s">
        <v>357</v>
      </c>
      <c r="I65">
        <v>1</v>
      </c>
      <c r="J65" t="s">
        <v>145</v>
      </c>
      <c r="K65">
        <v>77</v>
      </c>
      <c r="L65" s="26">
        <v>29</v>
      </c>
      <c r="M65">
        <v>827</v>
      </c>
      <c r="N65" s="25">
        <v>9.65517</v>
      </c>
      <c r="O65" s="25">
        <v>1.72414</v>
      </c>
      <c r="P65" s="24">
        <v>1.7989999999999999E-2</v>
      </c>
      <c r="Q65" s="24">
        <v>4.9860000000000002E-2</v>
      </c>
      <c r="R65" s="25">
        <v>1.27586</v>
      </c>
      <c r="S65" s="27">
        <v>3.3636400000000002</v>
      </c>
      <c r="T65" s="24">
        <v>8.8349999999999998E-2</v>
      </c>
      <c r="U65" s="25">
        <v>0.58621000000000001</v>
      </c>
      <c r="V65" s="25">
        <v>0.10345</v>
      </c>
      <c r="W65" s="24">
        <v>1.6740000000000001E-2</v>
      </c>
      <c r="X65" s="27">
        <v>0.37930999999999998</v>
      </c>
      <c r="Y65" s="27">
        <v>1.2413799999999999</v>
      </c>
      <c r="Z65" s="25">
        <v>6.34483</v>
      </c>
      <c r="AA65" s="28">
        <v>0.47282999999999997</v>
      </c>
      <c r="AB65" s="25">
        <v>5.6206899999999997</v>
      </c>
      <c r="AC65" s="28">
        <v>0.46626000000000001</v>
      </c>
      <c r="AD65" s="25">
        <v>1.2413799999999999</v>
      </c>
      <c r="AE65" s="28">
        <v>0.83333000000000002</v>
      </c>
      <c r="AF65" s="28">
        <v>0.67935000000000001</v>
      </c>
      <c r="AG65" s="28">
        <v>0.70069999999999999</v>
      </c>
      <c r="AH65" s="25">
        <v>2.9927999999999999</v>
      </c>
      <c r="AI65" s="25">
        <v>2.1617000000000002</v>
      </c>
      <c r="AJ65" s="25">
        <v>0.83109999999999995</v>
      </c>
      <c r="AK65" s="27">
        <v>142.68</v>
      </c>
      <c r="AL65" s="25">
        <v>111.01</v>
      </c>
      <c r="AM65" s="27">
        <f>Table13[[#This Row],[OFF RTG]]-Table13[[#This Row],[DEF RTG]]</f>
        <v>31.67</v>
      </c>
      <c r="AN65" s="24">
        <v>0.1321</v>
      </c>
      <c r="AO65">
        <v>-34</v>
      </c>
    </row>
    <row r="66" spans="1:41" x14ac:dyDescent="0.35">
      <c r="A66" t="s">
        <v>22</v>
      </c>
      <c r="B66" t="s">
        <v>385</v>
      </c>
      <c r="C66" t="s">
        <v>406</v>
      </c>
      <c r="D66" t="s">
        <v>696</v>
      </c>
      <c r="E66" t="s">
        <v>475</v>
      </c>
      <c r="F66">
        <v>1</v>
      </c>
      <c r="G66" t="s">
        <v>395</v>
      </c>
      <c r="H66" t="s">
        <v>357</v>
      </c>
      <c r="I66">
        <v>1</v>
      </c>
      <c r="J66" t="s">
        <v>145</v>
      </c>
      <c r="K66">
        <v>77</v>
      </c>
      <c r="L66" s="26">
        <v>29</v>
      </c>
      <c r="M66">
        <v>817</v>
      </c>
      <c r="N66" s="25">
        <v>5.0689700000000002</v>
      </c>
      <c r="O66" s="25">
        <v>1.8620699999999999</v>
      </c>
      <c r="P66" s="24">
        <v>1.102E-2</v>
      </c>
      <c r="Q66" s="24">
        <v>7.3160000000000003E-2</v>
      </c>
      <c r="R66" s="25">
        <v>1.62069</v>
      </c>
      <c r="S66" s="27">
        <v>1.51613</v>
      </c>
      <c r="T66" s="24">
        <v>0.11173</v>
      </c>
      <c r="U66" s="25">
        <v>0.44828000000000001</v>
      </c>
      <c r="V66" s="25">
        <v>0.27585999999999999</v>
      </c>
      <c r="W66" s="24">
        <v>2.164E-2</v>
      </c>
      <c r="X66" s="25">
        <v>1.06897</v>
      </c>
      <c r="Y66" s="27">
        <v>1.2413799999999999</v>
      </c>
      <c r="Z66" s="25">
        <v>5</v>
      </c>
      <c r="AA66" s="24">
        <v>0.3931</v>
      </c>
      <c r="AB66" s="25">
        <v>2.8275899999999998</v>
      </c>
      <c r="AC66" s="24">
        <v>0.32927000000000001</v>
      </c>
      <c r="AD66" s="25">
        <v>0.48276000000000002</v>
      </c>
      <c r="AE66" s="24">
        <v>0.42857000000000001</v>
      </c>
      <c r="AF66" s="24">
        <v>0.48620999999999998</v>
      </c>
      <c r="AG66" s="24">
        <v>0.48610999999999999</v>
      </c>
      <c r="AH66" s="25">
        <v>0.40629999999999999</v>
      </c>
      <c r="AI66" s="25">
        <v>-6.3600000000000004E-2</v>
      </c>
      <c r="AJ66" s="25">
        <v>0.46989999999999998</v>
      </c>
      <c r="AK66" s="25">
        <v>93.53</v>
      </c>
      <c r="AL66" s="25">
        <v>115.7</v>
      </c>
      <c r="AM66" s="25">
        <f>Table13[[#This Row],[OFF RTG]]-Table13[[#This Row],[DEF RTG]]</f>
        <v>-22.17</v>
      </c>
      <c r="AN66" s="24">
        <v>0.12520000000000001</v>
      </c>
      <c r="AO66">
        <v>-81</v>
      </c>
    </row>
    <row r="67" spans="1:41" x14ac:dyDescent="0.35">
      <c r="A67" t="s">
        <v>23</v>
      </c>
      <c r="B67" t="s">
        <v>134</v>
      </c>
      <c r="C67" t="s">
        <v>406</v>
      </c>
      <c r="D67" t="s">
        <v>360</v>
      </c>
      <c r="E67" t="s">
        <v>357</v>
      </c>
      <c r="F67">
        <v>1</v>
      </c>
      <c r="G67" t="s">
        <v>126</v>
      </c>
      <c r="H67" t="s">
        <v>112</v>
      </c>
      <c r="I67">
        <v>1</v>
      </c>
      <c r="J67" t="s">
        <v>145</v>
      </c>
      <c r="K67">
        <v>77</v>
      </c>
      <c r="L67">
        <v>24</v>
      </c>
      <c r="M67">
        <v>185</v>
      </c>
      <c r="N67" s="25">
        <v>2.2083300000000001</v>
      </c>
      <c r="O67" s="25">
        <v>0.58333000000000002</v>
      </c>
      <c r="P67" s="24">
        <v>1.345E-2</v>
      </c>
      <c r="Q67" s="24">
        <v>7.7479999999999993E-2</v>
      </c>
      <c r="R67" s="25">
        <v>0.375</v>
      </c>
      <c r="S67" s="25">
        <v>1.2857099999999999</v>
      </c>
      <c r="T67" s="24">
        <v>0.10259</v>
      </c>
      <c r="U67" s="25">
        <v>8.3330000000000001E-2</v>
      </c>
      <c r="V67" s="25">
        <v>0</v>
      </c>
      <c r="W67" s="24">
        <v>6.7000000000000002E-3</v>
      </c>
      <c r="X67" s="27">
        <v>0.29166999999999998</v>
      </c>
      <c r="Y67" s="27">
        <v>0.45833000000000002</v>
      </c>
      <c r="Z67" s="25">
        <v>1.4166700000000001</v>
      </c>
      <c r="AA67" s="28">
        <v>0.5</v>
      </c>
      <c r="AB67" s="25">
        <v>0.91666999999999998</v>
      </c>
      <c r="AC67" s="28">
        <v>0.36364000000000002</v>
      </c>
      <c r="AD67" s="25">
        <v>0.54166999999999998</v>
      </c>
      <c r="AE67" s="28">
        <v>0.84614999999999996</v>
      </c>
      <c r="AF67" s="28">
        <v>0.61765000000000003</v>
      </c>
      <c r="AG67" s="28">
        <v>0.66751000000000005</v>
      </c>
      <c r="AH67" s="25">
        <v>0.40610000000000002</v>
      </c>
      <c r="AI67" s="25">
        <v>0.29270000000000002</v>
      </c>
      <c r="AJ67" s="25">
        <v>0.1134</v>
      </c>
      <c r="AK67" s="27">
        <v>121.11</v>
      </c>
      <c r="AL67" s="25">
        <v>115.34</v>
      </c>
      <c r="AM67" s="27">
        <f>Table13[[#This Row],[OFF RTG]]-Table13[[#This Row],[DEF RTG]]</f>
        <v>5.769999999999996</v>
      </c>
      <c r="AN67" s="24">
        <v>0.13936999999999999</v>
      </c>
      <c r="AO67">
        <v>-19</v>
      </c>
    </row>
    <row r="68" spans="1:41" x14ac:dyDescent="0.35">
      <c r="A68" t="s">
        <v>179</v>
      </c>
      <c r="B68" t="s">
        <v>180</v>
      </c>
      <c r="C68" t="s">
        <v>406</v>
      </c>
      <c r="D68" t="s">
        <v>509</v>
      </c>
      <c r="E68" t="s">
        <v>467</v>
      </c>
      <c r="F68">
        <v>1</v>
      </c>
      <c r="G68" t="s">
        <v>188</v>
      </c>
      <c r="H68" t="s">
        <v>168</v>
      </c>
      <c r="I68">
        <v>1</v>
      </c>
      <c r="J68" t="s">
        <v>145</v>
      </c>
      <c r="K68">
        <v>77</v>
      </c>
      <c r="L68">
        <v>6</v>
      </c>
      <c r="M68">
        <v>121</v>
      </c>
      <c r="N68" s="25">
        <v>7.5</v>
      </c>
      <c r="O68" s="25">
        <v>3.1666699999999999</v>
      </c>
      <c r="P68" s="24">
        <v>3.0159999999999999E-2</v>
      </c>
      <c r="Q68" s="24">
        <v>0.14580000000000001</v>
      </c>
      <c r="R68" s="25">
        <v>1.5</v>
      </c>
      <c r="S68" s="25">
        <v>1.2857099999999999</v>
      </c>
      <c r="T68" s="24">
        <v>0.13494999999999999</v>
      </c>
      <c r="U68" s="25">
        <v>0.66666999999999998</v>
      </c>
      <c r="V68" s="25">
        <v>0</v>
      </c>
      <c r="W68" s="24">
        <v>1.7479999999999999E-2</v>
      </c>
      <c r="X68" s="25">
        <v>1.1666700000000001</v>
      </c>
      <c r="Y68" s="27">
        <v>1.3333299999999999</v>
      </c>
      <c r="Z68" s="25">
        <v>7.1666699999999999</v>
      </c>
      <c r="AA68" s="24">
        <v>0.32557999999999998</v>
      </c>
      <c r="AB68" s="25">
        <v>2.8333300000000001</v>
      </c>
      <c r="AC68" s="28">
        <v>0.35293999999999998</v>
      </c>
      <c r="AD68" s="25">
        <v>2.5</v>
      </c>
      <c r="AE68" s="24">
        <v>0.73333000000000004</v>
      </c>
      <c r="AF68" s="24">
        <v>0.39534999999999998</v>
      </c>
      <c r="AG68" s="24">
        <v>0.45362999999999998</v>
      </c>
      <c r="AH68" s="25">
        <v>3.3700000000000001E-2</v>
      </c>
      <c r="AI68" s="25">
        <v>-1.7000000000000001E-2</v>
      </c>
      <c r="AJ68" s="25">
        <v>5.0700000000000002E-2</v>
      </c>
      <c r="AK68" s="25">
        <v>93.56</v>
      </c>
      <c r="AL68" s="25">
        <v>117.43</v>
      </c>
      <c r="AM68" s="25">
        <f>Table13[[#This Row],[OFF RTG]]-Table13[[#This Row],[DEF RTG]]</f>
        <v>-23.870000000000005</v>
      </c>
      <c r="AN68" s="24">
        <v>0.21412999999999999</v>
      </c>
      <c r="AO68">
        <v>-48</v>
      </c>
    </row>
    <row r="69" spans="1:41" x14ac:dyDescent="0.35">
      <c r="A69" t="s">
        <v>189</v>
      </c>
      <c r="B69" t="s">
        <v>410</v>
      </c>
      <c r="C69" t="s">
        <v>406</v>
      </c>
      <c r="D69" t="s">
        <v>726</v>
      </c>
      <c r="E69" t="s">
        <v>458</v>
      </c>
      <c r="F69">
        <v>1</v>
      </c>
      <c r="G69" t="s">
        <v>332</v>
      </c>
      <c r="H69" t="s">
        <v>305</v>
      </c>
      <c r="I69">
        <v>1</v>
      </c>
      <c r="J69" t="s">
        <v>145</v>
      </c>
      <c r="K69">
        <v>76</v>
      </c>
      <c r="L69">
        <v>18</v>
      </c>
      <c r="M69">
        <v>207</v>
      </c>
      <c r="N69" s="25">
        <v>0.94443999999999995</v>
      </c>
      <c r="O69" s="25">
        <v>0.72221999999999997</v>
      </c>
      <c r="P69" s="24">
        <v>5.8500000000000002E-3</v>
      </c>
      <c r="Q69" s="24">
        <v>6.4119999999999996E-2</v>
      </c>
      <c r="R69" s="25">
        <v>1.61111</v>
      </c>
      <c r="S69" s="25">
        <v>1.2083299999999999</v>
      </c>
      <c r="T69" s="24">
        <v>0.24576999999999999</v>
      </c>
      <c r="U69" s="25">
        <v>0.33333000000000002</v>
      </c>
      <c r="V69" s="25">
        <v>5.5559999999999998E-2</v>
      </c>
      <c r="W69" s="24">
        <v>2.349E-2</v>
      </c>
      <c r="X69" s="25">
        <v>1.3333299999999999</v>
      </c>
      <c r="Y69" s="27">
        <v>1.2777799999999999</v>
      </c>
      <c r="Z69" s="25">
        <v>1.5</v>
      </c>
      <c r="AA69" s="24">
        <v>0.22222</v>
      </c>
      <c r="AB69" s="25">
        <v>5.5559999999999998E-2</v>
      </c>
      <c r="AC69" s="24">
        <v>0</v>
      </c>
      <c r="AD69" s="25">
        <v>0.44444</v>
      </c>
      <c r="AE69" s="24">
        <v>0.625</v>
      </c>
      <c r="AF69" s="24">
        <v>0.22222</v>
      </c>
      <c r="AG69" s="24">
        <v>0.27868999999999999</v>
      </c>
      <c r="AH69" s="25">
        <v>-0.38319999999999999</v>
      </c>
      <c r="AI69" s="25">
        <v>-0.55920000000000003</v>
      </c>
      <c r="AJ69" s="25">
        <v>0.17599999999999999</v>
      </c>
      <c r="AK69" s="25">
        <v>58.35</v>
      </c>
      <c r="AL69" s="25">
        <v>112.71</v>
      </c>
      <c r="AM69" s="25">
        <f>Table13[[#This Row],[OFF RTG]]-Table13[[#This Row],[DEF RTG]]</f>
        <v>-54.359999999999992</v>
      </c>
      <c r="AN69" s="24">
        <v>0.14210999999999999</v>
      </c>
      <c r="AO69">
        <v>-80</v>
      </c>
    </row>
    <row r="70" spans="1:41" x14ac:dyDescent="0.35">
      <c r="A70" t="s">
        <v>210</v>
      </c>
      <c r="B70" t="s">
        <v>211</v>
      </c>
      <c r="C70" t="s">
        <v>406</v>
      </c>
      <c r="D70" t="s">
        <v>559</v>
      </c>
      <c r="E70" t="s">
        <v>470</v>
      </c>
      <c r="F70">
        <v>1</v>
      </c>
      <c r="G70" t="s">
        <v>212</v>
      </c>
      <c r="H70" t="s">
        <v>196</v>
      </c>
      <c r="I70">
        <v>1</v>
      </c>
      <c r="J70" t="s">
        <v>145</v>
      </c>
      <c r="K70">
        <v>77</v>
      </c>
      <c r="L70">
        <v>22</v>
      </c>
      <c r="M70">
        <v>147</v>
      </c>
      <c r="N70" s="25">
        <v>1.04545</v>
      </c>
      <c r="O70" s="25">
        <v>0.81818000000000002</v>
      </c>
      <c r="P70" s="24">
        <v>3.5220000000000001E-2</v>
      </c>
      <c r="Q70" s="24">
        <v>0.11146</v>
      </c>
      <c r="R70" s="25">
        <v>0.27272999999999997</v>
      </c>
      <c r="S70" s="25">
        <v>1.2</v>
      </c>
      <c r="T70" s="24">
        <v>6.3700000000000007E-2</v>
      </c>
      <c r="U70" s="25">
        <v>0.27272999999999997</v>
      </c>
      <c r="V70" s="25">
        <v>0</v>
      </c>
      <c r="W70" s="24">
        <v>2.4639999999999999E-2</v>
      </c>
      <c r="X70" s="27">
        <v>0.22727</v>
      </c>
      <c r="Y70" s="27">
        <v>0.68181999999999998</v>
      </c>
      <c r="Z70" s="25">
        <v>1.45455</v>
      </c>
      <c r="AA70" s="24">
        <v>0.25</v>
      </c>
      <c r="AB70" s="25">
        <v>1.2727299999999999</v>
      </c>
      <c r="AC70" s="24">
        <v>0.17857000000000001</v>
      </c>
      <c r="AD70" s="25">
        <v>9.0910000000000005E-2</v>
      </c>
      <c r="AE70" s="28">
        <v>1</v>
      </c>
      <c r="AF70" s="24">
        <v>0.32812999999999998</v>
      </c>
      <c r="AG70" s="24">
        <v>0.34954000000000002</v>
      </c>
      <c r="AH70" s="25">
        <v>7.3300000000000004E-2</v>
      </c>
      <c r="AI70" s="25">
        <v>-0.1076</v>
      </c>
      <c r="AJ70" s="25">
        <v>0.18090000000000001</v>
      </c>
      <c r="AK70" s="25">
        <v>82.23</v>
      </c>
      <c r="AL70" s="25">
        <v>108.43</v>
      </c>
      <c r="AM70" s="25">
        <f>Table13[[#This Row],[OFF RTG]]-Table13[[#This Row],[DEF RTG]]</f>
        <v>-26.200000000000003</v>
      </c>
      <c r="AN70" s="24">
        <v>0.13195000000000001</v>
      </c>
      <c r="AO70" s="26">
        <v>30</v>
      </c>
    </row>
    <row r="71" spans="1:41" x14ac:dyDescent="0.35">
      <c r="A71" t="s">
        <v>286</v>
      </c>
      <c r="B71" t="s">
        <v>287</v>
      </c>
      <c r="C71" t="s">
        <v>406</v>
      </c>
      <c r="D71" t="s">
        <v>651</v>
      </c>
      <c r="E71" t="s">
        <v>652</v>
      </c>
      <c r="F71">
        <v>1</v>
      </c>
      <c r="G71" t="s">
        <v>266</v>
      </c>
      <c r="H71" t="s">
        <v>267</v>
      </c>
      <c r="I71">
        <v>1</v>
      </c>
      <c r="J71" t="s">
        <v>145</v>
      </c>
      <c r="K71">
        <v>76</v>
      </c>
      <c r="L71" s="26">
        <v>30</v>
      </c>
      <c r="M71">
        <v>945</v>
      </c>
      <c r="N71" s="27">
        <v>13.33333</v>
      </c>
      <c r="O71" s="27">
        <v>4.0999999999999996</v>
      </c>
      <c r="P71" s="24">
        <v>1.6240000000000001E-2</v>
      </c>
      <c r="Q71" s="24">
        <v>0.14580000000000001</v>
      </c>
      <c r="R71" s="25">
        <v>2.8</v>
      </c>
      <c r="S71" s="25">
        <v>1.13514</v>
      </c>
      <c r="T71" s="24">
        <v>0.18187999999999999</v>
      </c>
      <c r="U71" s="27">
        <v>1.8</v>
      </c>
      <c r="V71" s="25">
        <v>0.3</v>
      </c>
      <c r="W71" s="33">
        <v>4.5629999999999997E-2</v>
      </c>
      <c r="X71" s="25">
        <v>2.4666700000000001</v>
      </c>
      <c r="Y71" s="25">
        <v>2.4</v>
      </c>
      <c r="Z71" s="25">
        <v>10.83333</v>
      </c>
      <c r="AA71" s="24">
        <v>0.38153999999999999</v>
      </c>
      <c r="AB71" s="25">
        <v>5.4333299999999998</v>
      </c>
      <c r="AC71" s="24">
        <v>0.33128999999999997</v>
      </c>
      <c r="AD71" s="25">
        <v>4.2666700000000004</v>
      </c>
      <c r="AE71" s="24">
        <v>0.76563000000000003</v>
      </c>
      <c r="AF71" s="24">
        <v>0.46461999999999998</v>
      </c>
      <c r="AG71" s="24">
        <v>0.52451999999999999</v>
      </c>
      <c r="AH71" s="25">
        <v>1.9487000000000001</v>
      </c>
      <c r="AI71" s="25">
        <v>0.63049999999999995</v>
      </c>
      <c r="AJ71" s="25">
        <v>1.3182</v>
      </c>
      <c r="AK71" s="25">
        <v>100.75</v>
      </c>
      <c r="AL71" s="25">
        <v>106.72</v>
      </c>
      <c r="AM71" s="25">
        <f>Table13[[#This Row],[OFF RTG]]-Table13[[#This Row],[DEF RTG]]</f>
        <v>-5.9699999999999989</v>
      </c>
      <c r="AN71" s="24">
        <v>0.25380999999999998</v>
      </c>
      <c r="AO71">
        <v>-57</v>
      </c>
    </row>
    <row r="72" spans="1:41" x14ac:dyDescent="0.35">
      <c r="A72" t="s">
        <v>302</v>
      </c>
      <c r="B72" t="s">
        <v>164</v>
      </c>
      <c r="C72" t="s">
        <v>406</v>
      </c>
      <c r="D72" t="s">
        <v>653</v>
      </c>
      <c r="E72" t="s">
        <v>464</v>
      </c>
      <c r="F72">
        <v>1</v>
      </c>
      <c r="G72" t="s">
        <v>273</v>
      </c>
      <c r="H72" t="s">
        <v>267</v>
      </c>
      <c r="I72">
        <v>1</v>
      </c>
      <c r="J72" t="s">
        <v>146</v>
      </c>
      <c r="K72">
        <v>78</v>
      </c>
      <c r="L72">
        <v>18</v>
      </c>
      <c r="M72">
        <v>355</v>
      </c>
      <c r="N72" s="25">
        <v>5.38889</v>
      </c>
      <c r="O72" s="25">
        <v>2.0555599999999998</v>
      </c>
      <c r="P72" s="24">
        <v>3.8350000000000002E-2</v>
      </c>
      <c r="Q72" s="24">
        <v>8.7249999999999994E-2</v>
      </c>
      <c r="R72" s="25">
        <v>0.61111000000000004</v>
      </c>
      <c r="S72" s="25">
        <v>1.1000000000000001</v>
      </c>
      <c r="T72" s="24">
        <v>5.8500000000000003E-2</v>
      </c>
      <c r="U72" s="25">
        <v>0.16667000000000001</v>
      </c>
      <c r="V72" s="25">
        <v>0</v>
      </c>
      <c r="W72" s="24">
        <v>5.1599999999999997E-3</v>
      </c>
      <c r="X72" s="27">
        <v>0.55556000000000005</v>
      </c>
      <c r="Y72" s="27">
        <v>0.72221999999999997</v>
      </c>
      <c r="Z72" s="25">
        <v>5.2777799999999999</v>
      </c>
      <c r="AA72" s="28">
        <v>0.41053000000000001</v>
      </c>
      <c r="AB72" s="25">
        <v>1.61111</v>
      </c>
      <c r="AC72" s="24">
        <v>0.31034</v>
      </c>
      <c r="AD72" s="25">
        <v>1</v>
      </c>
      <c r="AE72" s="24">
        <v>0.55556000000000005</v>
      </c>
      <c r="AF72" s="24">
        <v>0.45789000000000002</v>
      </c>
      <c r="AG72" s="24">
        <v>0.47133000000000003</v>
      </c>
      <c r="AH72" s="25">
        <v>0.2135</v>
      </c>
      <c r="AI72" s="25">
        <v>6.6900000000000001E-2</v>
      </c>
      <c r="AJ72" s="25">
        <v>0.14660000000000001</v>
      </c>
      <c r="AK72" s="25">
        <v>97.34</v>
      </c>
      <c r="AL72" s="25">
        <v>117.48</v>
      </c>
      <c r="AM72" s="25">
        <f>Table13[[#This Row],[OFF RTG]]-Table13[[#This Row],[DEF RTG]]</f>
        <v>-20.14</v>
      </c>
      <c r="AN72" s="24">
        <v>0.17155999999999999</v>
      </c>
      <c r="AO72">
        <v>-81</v>
      </c>
    </row>
    <row r="73" spans="1:41" x14ac:dyDescent="0.35">
      <c r="A73" t="s">
        <v>136</v>
      </c>
      <c r="B73" t="s">
        <v>137</v>
      </c>
      <c r="C73" t="s">
        <v>406</v>
      </c>
      <c r="D73" t="s">
        <v>365</v>
      </c>
      <c r="E73" t="s">
        <v>357</v>
      </c>
      <c r="F73">
        <v>1</v>
      </c>
      <c r="G73" t="s">
        <v>125</v>
      </c>
      <c r="H73" t="s">
        <v>112</v>
      </c>
      <c r="I73">
        <v>1</v>
      </c>
      <c r="J73" t="s">
        <v>146</v>
      </c>
      <c r="K73">
        <v>77</v>
      </c>
      <c r="L73" s="26">
        <v>31</v>
      </c>
      <c r="M73">
        <v>950</v>
      </c>
      <c r="N73" s="25">
        <v>8.3225800000000003</v>
      </c>
      <c r="O73" s="25">
        <v>3.25806</v>
      </c>
      <c r="P73" s="24">
        <v>1.6899999999999998E-2</v>
      </c>
      <c r="Q73" s="24">
        <v>0.1086</v>
      </c>
      <c r="R73" s="25">
        <v>1.7096800000000001</v>
      </c>
      <c r="S73" s="25">
        <v>0.96364000000000005</v>
      </c>
      <c r="T73" s="24">
        <v>0.1086</v>
      </c>
      <c r="U73" s="25">
        <v>0.74194000000000004</v>
      </c>
      <c r="V73" s="27">
        <v>0.58065</v>
      </c>
      <c r="W73" s="33">
        <v>3.7609999999999998E-2</v>
      </c>
      <c r="X73" s="25">
        <v>1.7741899999999999</v>
      </c>
      <c r="Y73" s="25">
        <v>2.0967699999999998</v>
      </c>
      <c r="Z73" s="25">
        <v>7.4516099999999996</v>
      </c>
      <c r="AA73" s="28">
        <v>0.41991000000000001</v>
      </c>
      <c r="AB73" s="25">
        <v>3.6451600000000002</v>
      </c>
      <c r="AC73" s="24">
        <v>0.30973000000000001</v>
      </c>
      <c r="AD73" s="25">
        <v>1.1935500000000001</v>
      </c>
      <c r="AE73" s="24">
        <v>0.78378000000000003</v>
      </c>
      <c r="AF73" s="24">
        <v>0.49567</v>
      </c>
      <c r="AG73" s="24">
        <v>0.52163000000000004</v>
      </c>
      <c r="AH73" s="25">
        <v>0.96950000000000003</v>
      </c>
      <c r="AI73" s="25">
        <v>4.5400000000000003E-2</v>
      </c>
      <c r="AJ73" s="25">
        <v>0.92420000000000002</v>
      </c>
      <c r="AK73" s="25">
        <v>95.51</v>
      </c>
      <c r="AL73" s="25">
        <v>111.36</v>
      </c>
      <c r="AM73" s="25">
        <f>Table13[[#This Row],[OFF RTG]]-Table13[[#This Row],[DEF RTG]]</f>
        <v>-15.849999999999994</v>
      </c>
      <c r="AN73" s="24">
        <v>0.17202000000000001</v>
      </c>
      <c r="AO73">
        <v>-115</v>
      </c>
    </row>
    <row r="74" spans="1:41" x14ac:dyDescent="0.35">
      <c r="A74" t="s">
        <v>383</v>
      </c>
      <c r="B74" t="s">
        <v>384</v>
      </c>
      <c r="C74" t="s">
        <v>406</v>
      </c>
      <c r="D74" t="s">
        <v>634</v>
      </c>
      <c r="E74" t="s">
        <v>468</v>
      </c>
      <c r="F74">
        <v>1</v>
      </c>
      <c r="G74" t="s">
        <v>360</v>
      </c>
      <c r="H74" t="s">
        <v>357</v>
      </c>
      <c r="I74">
        <v>1</v>
      </c>
      <c r="J74" t="s">
        <v>145</v>
      </c>
      <c r="K74">
        <v>77</v>
      </c>
      <c r="L74" s="26">
        <v>29</v>
      </c>
      <c r="M74">
        <v>393</v>
      </c>
      <c r="N74" s="25">
        <v>4.3793100000000003</v>
      </c>
      <c r="O74" s="25">
        <v>2.3793099999999998</v>
      </c>
      <c r="P74" s="24">
        <v>0.10416</v>
      </c>
      <c r="Q74" s="24">
        <v>9.6509999999999999E-2</v>
      </c>
      <c r="R74" s="25">
        <v>0.62068999999999996</v>
      </c>
      <c r="S74" s="25">
        <v>0.54544999999999999</v>
      </c>
      <c r="T74" s="24">
        <v>8.8069999999999996E-2</v>
      </c>
      <c r="U74" s="25">
        <v>0.48276000000000002</v>
      </c>
      <c r="V74" s="25">
        <v>3.4479999999999997E-2</v>
      </c>
      <c r="W74" s="24">
        <v>2.477E-2</v>
      </c>
      <c r="X74" s="25">
        <v>1.1379300000000001</v>
      </c>
      <c r="Y74" s="27">
        <v>1</v>
      </c>
      <c r="Z74" s="25">
        <v>3.8275899999999998</v>
      </c>
      <c r="AA74" s="28">
        <v>0.42342000000000002</v>
      </c>
      <c r="AB74" s="25">
        <v>0.93103000000000002</v>
      </c>
      <c r="AC74" s="24">
        <v>0.33333000000000002</v>
      </c>
      <c r="AD74" s="25">
        <v>1.10345</v>
      </c>
      <c r="AE74" s="24">
        <v>0.75</v>
      </c>
      <c r="AF74" s="24">
        <v>0.46395999999999998</v>
      </c>
      <c r="AG74" s="24">
        <v>0.50758999999999999</v>
      </c>
      <c r="AH74" s="25">
        <v>0.63380000000000003</v>
      </c>
      <c r="AI74" s="25">
        <v>0.1106</v>
      </c>
      <c r="AJ74" s="25">
        <v>0.5232</v>
      </c>
      <c r="AK74" s="25">
        <v>98.02</v>
      </c>
      <c r="AL74" s="25">
        <v>107.47</v>
      </c>
      <c r="AM74" s="25">
        <f>Table13[[#This Row],[OFF RTG]]-Table13[[#This Row],[DEF RTG]]</f>
        <v>-9.4500000000000028</v>
      </c>
      <c r="AN74" s="24">
        <v>0.19617999999999999</v>
      </c>
      <c r="AO74">
        <v>-36</v>
      </c>
    </row>
    <row r="75" spans="1:41" x14ac:dyDescent="0.35">
      <c r="A75" t="s">
        <v>683</v>
      </c>
      <c r="B75" t="s">
        <v>684</v>
      </c>
      <c r="C75" t="s">
        <v>406</v>
      </c>
      <c r="D75" t="s">
        <v>703</v>
      </c>
      <c r="E75" t="s">
        <v>478</v>
      </c>
      <c r="F75">
        <v>1</v>
      </c>
      <c r="G75" t="s">
        <v>394</v>
      </c>
      <c r="H75" t="s">
        <v>357</v>
      </c>
      <c r="I75">
        <v>1</v>
      </c>
      <c r="J75" t="s">
        <v>145</v>
      </c>
      <c r="K75">
        <v>77</v>
      </c>
      <c r="L75">
        <v>13</v>
      </c>
      <c r="M75">
        <v>176</v>
      </c>
      <c r="N75" s="25">
        <v>4.5384599999999997</v>
      </c>
      <c r="O75" s="25">
        <v>2.4615399999999998</v>
      </c>
      <c r="P75" s="24">
        <v>5.2179999999999997E-2</v>
      </c>
      <c r="Q75" s="24">
        <v>0.17884</v>
      </c>
      <c r="R75" s="25">
        <v>0.53846000000000005</v>
      </c>
      <c r="S75" s="25">
        <v>0.4375</v>
      </c>
      <c r="T75" s="24">
        <v>8.0729999999999996E-2</v>
      </c>
      <c r="U75" s="25">
        <v>0.23077</v>
      </c>
      <c r="V75" s="25">
        <v>0.23077</v>
      </c>
      <c r="W75" s="24">
        <v>2.9010000000000001E-2</v>
      </c>
      <c r="X75" s="25">
        <v>1.2307699999999999</v>
      </c>
      <c r="Y75" s="25">
        <v>1.7692300000000001</v>
      </c>
      <c r="Z75" s="25">
        <v>3.9230800000000001</v>
      </c>
      <c r="AA75" s="28">
        <v>0.45097999999999999</v>
      </c>
      <c r="AB75" s="25">
        <v>1.0769200000000001</v>
      </c>
      <c r="AC75" s="24">
        <v>0.28571000000000002</v>
      </c>
      <c r="AD75" s="25">
        <v>1.38462</v>
      </c>
      <c r="AE75" s="24">
        <v>0.5</v>
      </c>
      <c r="AF75" s="24">
        <v>0.49020000000000002</v>
      </c>
      <c r="AG75" s="24">
        <v>0.50085000000000002</v>
      </c>
      <c r="AH75" s="25">
        <v>9.1000000000000004E-3</v>
      </c>
      <c r="AI75" s="25">
        <v>-0.1361</v>
      </c>
      <c r="AJ75" s="25">
        <v>0.1452</v>
      </c>
      <c r="AK75" s="25">
        <v>87.31</v>
      </c>
      <c r="AL75" s="25">
        <v>112.95</v>
      </c>
      <c r="AM75" s="25">
        <f>Table13[[#This Row],[OFF RTG]]-Table13[[#This Row],[DEF RTG]]</f>
        <v>-25.64</v>
      </c>
      <c r="AN75" s="24">
        <v>0.21543999999999999</v>
      </c>
      <c r="AO75">
        <v>-28</v>
      </c>
    </row>
    <row r="76" spans="1:41" x14ac:dyDescent="0.35">
      <c r="A76" t="s">
        <v>24</v>
      </c>
      <c r="B76" t="s">
        <v>236</v>
      </c>
      <c r="C76" t="s">
        <v>406</v>
      </c>
      <c r="D76" t="s">
        <v>594</v>
      </c>
      <c r="E76" t="s">
        <v>728</v>
      </c>
      <c r="F76">
        <v>3</v>
      </c>
      <c r="G76" t="s">
        <v>244</v>
      </c>
      <c r="H76" t="s">
        <v>215</v>
      </c>
      <c r="I76">
        <v>1</v>
      </c>
      <c r="J76" t="s">
        <v>145</v>
      </c>
      <c r="K76">
        <v>77</v>
      </c>
      <c r="L76">
        <v>12</v>
      </c>
      <c r="M76">
        <v>109</v>
      </c>
      <c r="N76" s="25">
        <v>1.25</v>
      </c>
      <c r="O76" s="25">
        <v>1.4166700000000001</v>
      </c>
      <c r="P76" s="24">
        <v>5.3449999999999998E-2</v>
      </c>
      <c r="Q76" s="24">
        <v>0.12767000000000001</v>
      </c>
      <c r="R76" s="25">
        <v>0.16667000000000001</v>
      </c>
      <c r="S76" s="25">
        <v>0.33333000000000002</v>
      </c>
      <c r="T76" s="24">
        <v>3.295E-2</v>
      </c>
      <c r="U76" s="25">
        <v>0.66666999999999998</v>
      </c>
      <c r="V76" s="25">
        <v>0.16667000000000001</v>
      </c>
      <c r="W76" s="24">
        <v>6.5559999999999993E-2</v>
      </c>
      <c r="X76" s="27">
        <v>0.5</v>
      </c>
      <c r="Y76" s="27">
        <v>0.66666999999999998</v>
      </c>
      <c r="Z76" s="25">
        <v>0.75</v>
      </c>
      <c r="AA76" s="24">
        <v>0.33333000000000002</v>
      </c>
      <c r="AB76" s="25">
        <v>0.16667000000000001</v>
      </c>
      <c r="AC76" s="24">
        <v>0</v>
      </c>
      <c r="AD76" s="25">
        <v>1</v>
      </c>
      <c r="AE76" s="24">
        <v>0.75</v>
      </c>
      <c r="AF76" s="24">
        <v>0.33333000000000002</v>
      </c>
      <c r="AG76" s="24">
        <v>0.52447999999999995</v>
      </c>
      <c r="AH76" s="25">
        <v>0.13039999999999999</v>
      </c>
      <c r="AI76" s="25">
        <v>-1.7999999999999999E-2</v>
      </c>
      <c r="AJ76" s="25">
        <v>0.1484</v>
      </c>
      <c r="AK76" s="25">
        <v>91.58</v>
      </c>
      <c r="AL76" s="25">
        <v>107.13</v>
      </c>
      <c r="AM76" s="25">
        <f>Table13[[#This Row],[OFF RTG]]-Table13[[#This Row],[DEF RTG]]</f>
        <v>-15.549999999999997</v>
      </c>
      <c r="AN76" s="24">
        <v>0.10047</v>
      </c>
      <c r="AO76">
        <v>-10</v>
      </c>
    </row>
    <row r="77" spans="1:41" x14ac:dyDescent="0.35">
      <c r="A77" t="s">
        <v>557</v>
      </c>
      <c r="B77" t="s">
        <v>558</v>
      </c>
      <c r="C77" t="s">
        <v>406</v>
      </c>
      <c r="D77" t="s">
        <v>423</v>
      </c>
      <c r="E77" t="s">
        <v>472</v>
      </c>
      <c r="F77">
        <v>1</v>
      </c>
      <c r="G77" t="s">
        <v>456</v>
      </c>
      <c r="H77" t="s">
        <v>196</v>
      </c>
      <c r="I77">
        <v>1</v>
      </c>
      <c r="J77" t="s">
        <v>145</v>
      </c>
      <c r="K77">
        <v>76</v>
      </c>
      <c r="L77">
        <v>12</v>
      </c>
      <c r="M77">
        <v>27</v>
      </c>
      <c r="N77" s="25"/>
      <c r="O77" s="25"/>
      <c r="P77" s="24"/>
      <c r="Q77" s="24"/>
      <c r="R77" s="25"/>
      <c r="S77" s="25"/>
      <c r="T77" s="24"/>
      <c r="U77" s="25"/>
      <c r="V77" s="25"/>
      <c r="W77" s="24"/>
      <c r="X77" s="25"/>
      <c r="Y77" s="25"/>
      <c r="Z77" s="25"/>
      <c r="AA77" s="24"/>
      <c r="AB77" s="25"/>
      <c r="AC77" s="24"/>
      <c r="AD77" s="25"/>
      <c r="AE77" s="24"/>
      <c r="AF77" s="24"/>
      <c r="AG77" s="24"/>
      <c r="AH77" s="25"/>
      <c r="AI77" s="25"/>
      <c r="AJ77" s="25"/>
      <c r="AK77" s="25"/>
      <c r="AL77" s="25"/>
      <c r="AM77" s="25">
        <f>Table13[[#This Row],[OFF RTG]]-Table13[[#This Row],[DEF RTG]]</f>
        <v>0</v>
      </c>
      <c r="AN77" s="24"/>
    </row>
    <row r="78" spans="1:41" x14ac:dyDescent="0.35">
      <c r="A78" t="s">
        <v>445</v>
      </c>
      <c r="B78" t="s">
        <v>686</v>
      </c>
      <c r="C78" t="s">
        <v>406</v>
      </c>
      <c r="D78" t="s">
        <v>704</v>
      </c>
      <c r="E78" t="s">
        <v>705</v>
      </c>
      <c r="F78">
        <v>3</v>
      </c>
      <c r="G78" t="s">
        <v>489</v>
      </c>
      <c r="H78" t="s">
        <v>357</v>
      </c>
      <c r="I78">
        <v>1</v>
      </c>
      <c r="J78" t="s">
        <v>145</v>
      </c>
      <c r="K78">
        <v>77</v>
      </c>
      <c r="L78">
        <v>6</v>
      </c>
      <c r="M78">
        <v>6</v>
      </c>
      <c r="N78" s="25"/>
      <c r="O78" s="25"/>
      <c r="P78" s="24"/>
      <c r="Q78" s="24"/>
      <c r="R78" s="25"/>
      <c r="S78" s="25"/>
      <c r="T78" s="24"/>
      <c r="U78" s="25"/>
      <c r="V78" s="25"/>
      <c r="W78" s="24"/>
      <c r="X78" s="25"/>
      <c r="Y78" s="25"/>
      <c r="Z78" s="25"/>
      <c r="AA78" s="24"/>
      <c r="AB78" s="25"/>
      <c r="AC78" s="24"/>
      <c r="AD78" s="25"/>
      <c r="AE78" s="24"/>
      <c r="AF78" s="24"/>
      <c r="AG78" s="24"/>
      <c r="AH78" s="25"/>
      <c r="AI78" s="25"/>
      <c r="AJ78" s="25"/>
      <c r="AK78" s="25"/>
      <c r="AL78" s="25"/>
      <c r="AM78" s="25">
        <f>Table13[[#This Row],[OFF RTG]]-Table13[[#This Row],[DEF RTG]]</f>
        <v>0</v>
      </c>
      <c r="AN78" s="24"/>
    </row>
    <row r="79" spans="1:41" x14ac:dyDescent="0.35">
      <c r="A79" t="s">
        <v>719</v>
      </c>
      <c r="B79" t="s">
        <v>720</v>
      </c>
      <c r="C79" t="s">
        <v>406</v>
      </c>
      <c r="D79" t="s">
        <v>695</v>
      </c>
      <c r="E79" t="s">
        <v>474</v>
      </c>
      <c r="F79">
        <v>1</v>
      </c>
      <c r="G79" t="s">
        <v>332</v>
      </c>
      <c r="H79" t="s">
        <v>305</v>
      </c>
      <c r="I79">
        <v>1</v>
      </c>
      <c r="J79" t="s">
        <v>145</v>
      </c>
      <c r="K79">
        <v>75</v>
      </c>
      <c r="L79">
        <v>4</v>
      </c>
      <c r="M79">
        <v>13</v>
      </c>
      <c r="N79" s="25"/>
      <c r="O79" s="25"/>
      <c r="P79" s="24"/>
      <c r="Q79" s="24"/>
      <c r="R79" s="25"/>
      <c r="S79" s="25"/>
      <c r="T79" s="24"/>
      <c r="U79" s="25"/>
      <c r="V79" s="25"/>
      <c r="W79" s="24"/>
      <c r="X79" s="25"/>
      <c r="Y79" s="25"/>
      <c r="Z79" s="25"/>
      <c r="AA79" s="24"/>
      <c r="AB79" s="25"/>
      <c r="AC79" s="24"/>
      <c r="AD79" s="25"/>
      <c r="AE79" s="24"/>
      <c r="AF79" s="24"/>
      <c r="AG79" s="24"/>
      <c r="AH79" s="25"/>
      <c r="AI79" s="25"/>
      <c r="AJ79" s="25"/>
      <c r="AK79" s="25"/>
      <c r="AL79" s="25"/>
      <c r="AM79" s="25">
        <f>Table13[[#This Row],[OFF RTG]]-Table13[[#This Row],[DEF RTG]]</f>
        <v>0</v>
      </c>
      <c r="AN79" s="24"/>
    </row>
    <row r="80" spans="1:4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39" x14ac:dyDescent="0.35">
      <c r="A81" t="s">
        <v>94</v>
      </c>
      <c r="B81" t="s">
        <v>95</v>
      </c>
      <c r="C81" t="s">
        <v>97</v>
      </c>
      <c r="D81" t="s">
        <v>417</v>
      </c>
      <c r="E81" t="s">
        <v>731</v>
      </c>
      <c r="F81" t="s">
        <v>418</v>
      </c>
      <c r="G81" t="s">
        <v>419</v>
      </c>
      <c r="H81" t="s">
        <v>732</v>
      </c>
      <c r="I81" t="s">
        <v>733</v>
      </c>
      <c r="J81" t="s">
        <v>144</v>
      </c>
      <c r="K81" t="s">
        <v>734</v>
      </c>
      <c r="L81" t="s">
        <v>105</v>
      </c>
      <c r="M81" t="s">
        <v>75</v>
      </c>
      <c r="N81" t="s">
        <v>152</v>
      </c>
      <c r="O81" t="s">
        <v>151</v>
      </c>
      <c r="P81" t="s">
        <v>399</v>
      </c>
      <c r="Q81" t="s">
        <v>400</v>
      </c>
      <c r="R81" t="s">
        <v>730</v>
      </c>
      <c r="S81" t="s">
        <v>149</v>
      </c>
      <c r="T81" t="s">
        <v>148</v>
      </c>
      <c r="U81" t="s">
        <v>739</v>
      </c>
      <c r="V81" t="s">
        <v>147</v>
      </c>
      <c r="W81" t="s">
        <v>401</v>
      </c>
      <c r="X81" t="s">
        <v>736</v>
      </c>
      <c r="Y81" t="s">
        <v>153</v>
      </c>
      <c r="Z81" t="s">
        <v>737</v>
      </c>
      <c r="AA81" t="s">
        <v>154</v>
      </c>
      <c r="AB81" t="s">
        <v>738</v>
      </c>
      <c r="AC81" t="s">
        <v>155</v>
      </c>
      <c r="AD81" t="s">
        <v>157</v>
      </c>
      <c r="AE81" t="s">
        <v>156</v>
      </c>
      <c r="AF81" t="s">
        <v>100</v>
      </c>
      <c r="AG81" t="s">
        <v>101</v>
      </c>
      <c r="AH81" t="s">
        <v>102</v>
      </c>
      <c r="AI81" t="s">
        <v>103</v>
      </c>
      <c r="AJ81" t="s">
        <v>104</v>
      </c>
      <c r="AK81" t="s">
        <v>158</v>
      </c>
      <c r="AL81" t="s">
        <v>398</v>
      </c>
      <c r="AM81" t="s">
        <v>740</v>
      </c>
    </row>
    <row r="82" spans="1:39" x14ac:dyDescent="0.35">
      <c r="A82" t="s">
        <v>556</v>
      </c>
      <c r="B82" t="s">
        <v>549</v>
      </c>
      <c r="C82" t="s">
        <v>405</v>
      </c>
      <c r="D82" t="s">
        <v>553</v>
      </c>
      <c r="E82" t="s">
        <v>475</v>
      </c>
      <c r="F82">
        <v>1</v>
      </c>
      <c r="G82" t="s">
        <v>213</v>
      </c>
      <c r="H82" t="s">
        <v>196</v>
      </c>
      <c r="I82">
        <v>1</v>
      </c>
      <c r="J82" t="s">
        <v>145</v>
      </c>
      <c r="K82">
        <v>80</v>
      </c>
      <c r="L82">
        <v>15</v>
      </c>
      <c r="M82">
        <v>78</v>
      </c>
      <c r="N82" s="25">
        <v>1.2</v>
      </c>
      <c r="O82" s="25">
        <v>0.66666999999999998</v>
      </c>
      <c r="P82" s="24">
        <v>2.7779999999999999E-2</v>
      </c>
      <c r="Q82" s="24">
        <v>0.12429999999999999</v>
      </c>
      <c r="R82" s="25">
        <v>1.1666700000000001</v>
      </c>
      <c r="S82" s="25">
        <v>0.26667000000000002</v>
      </c>
      <c r="T82" s="25">
        <v>0</v>
      </c>
      <c r="U82" s="24">
        <v>2.8930000000000001E-2</v>
      </c>
      <c r="V82" s="27">
        <v>0.4</v>
      </c>
      <c r="W82" s="27">
        <v>0.33333000000000002</v>
      </c>
      <c r="X82" s="25">
        <v>1.5333300000000001</v>
      </c>
      <c r="Y82" s="24">
        <v>0.34782999999999997</v>
      </c>
      <c r="Z82" s="25">
        <v>6.6669999999999993E-2</v>
      </c>
      <c r="AA82" s="24">
        <v>0</v>
      </c>
      <c r="AB82" s="25">
        <v>0.13333</v>
      </c>
      <c r="AC82" s="28">
        <v>1</v>
      </c>
      <c r="AD82" s="24">
        <v>0.34782999999999997</v>
      </c>
      <c r="AE82" s="24">
        <v>0.37657000000000002</v>
      </c>
      <c r="AF82" s="25">
        <v>-2.3099999999999999E-2</v>
      </c>
      <c r="AG82" s="25">
        <v>-0.104</v>
      </c>
      <c r="AH82" s="25">
        <v>8.0799999999999997E-2</v>
      </c>
      <c r="AI82" s="25">
        <v>79.099999999999994</v>
      </c>
      <c r="AJ82" s="25">
        <v>110.69</v>
      </c>
      <c r="AK82" s="25">
        <f>Table12[[#This Row],[OFF RTG]]-Table12[[#This Row],[DEF RTG]]</f>
        <v>-31.590000000000003</v>
      </c>
      <c r="AL82" s="24">
        <v>0.18511</v>
      </c>
      <c r="AM82">
        <v>-37</v>
      </c>
    </row>
    <row r="83" spans="1:39" x14ac:dyDescent="0.35">
      <c r="A83" t="s">
        <v>577</v>
      </c>
      <c r="B83" t="s">
        <v>578</v>
      </c>
      <c r="C83" t="s">
        <v>405</v>
      </c>
      <c r="D83" t="s">
        <v>593</v>
      </c>
      <c r="E83" t="s">
        <v>460</v>
      </c>
      <c r="F83">
        <v>1</v>
      </c>
      <c r="G83" t="s">
        <v>220</v>
      </c>
      <c r="H83" t="s">
        <v>215</v>
      </c>
      <c r="I83">
        <v>1</v>
      </c>
      <c r="J83" t="s">
        <v>146</v>
      </c>
      <c r="K83">
        <v>80</v>
      </c>
      <c r="L83">
        <v>8</v>
      </c>
      <c r="M83">
        <v>127</v>
      </c>
      <c r="N83" s="25">
        <v>6.125</v>
      </c>
      <c r="O83" s="25">
        <v>4.5</v>
      </c>
      <c r="P83" s="24">
        <v>8.7499999999999994E-2</v>
      </c>
      <c r="Q83" s="24">
        <v>0.21448</v>
      </c>
      <c r="R83" s="25">
        <v>0.85714000000000001</v>
      </c>
      <c r="S83" s="25">
        <v>0.375</v>
      </c>
      <c r="T83" s="25">
        <v>0.5</v>
      </c>
      <c r="U83" s="24">
        <v>5.407E-2</v>
      </c>
      <c r="V83" s="27">
        <v>0.875</v>
      </c>
      <c r="W83" s="25">
        <v>2.875</v>
      </c>
      <c r="X83" s="25">
        <v>4</v>
      </c>
      <c r="Y83" s="28">
        <v>0.53125</v>
      </c>
      <c r="Z83" s="25">
        <v>1</v>
      </c>
      <c r="AA83" s="24">
        <v>0.25</v>
      </c>
      <c r="AB83" s="25">
        <v>2.625</v>
      </c>
      <c r="AC83" s="24">
        <v>0.61904999999999999</v>
      </c>
      <c r="AD83" s="28">
        <v>0.5625</v>
      </c>
      <c r="AE83" s="28">
        <v>0.59465999999999997</v>
      </c>
      <c r="AF83" s="25">
        <v>0.51180000000000003</v>
      </c>
      <c r="AG83" s="25">
        <v>0.2427</v>
      </c>
      <c r="AH83" s="25">
        <v>0.26910000000000001</v>
      </c>
      <c r="AI83" s="27">
        <v>115.78</v>
      </c>
      <c r="AJ83" s="27">
        <v>98.81</v>
      </c>
      <c r="AK83" s="27">
        <f>Table12[[#This Row],[OFF RTG]]-Table12[[#This Row],[DEF RTG]]</f>
        <v>16.97</v>
      </c>
      <c r="AL83" s="24">
        <v>0.18301000000000001</v>
      </c>
      <c r="AM83">
        <v>-14</v>
      </c>
    </row>
    <row r="84" spans="1:39" x14ac:dyDescent="0.35">
      <c r="A84" t="s">
        <v>676</v>
      </c>
      <c r="B84" t="s">
        <v>677</v>
      </c>
      <c r="C84" t="s">
        <v>405</v>
      </c>
      <c r="D84" t="s">
        <v>699</v>
      </c>
      <c r="E84" t="s">
        <v>470</v>
      </c>
      <c r="F84">
        <v>1</v>
      </c>
      <c r="G84" t="s">
        <v>364</v>
      </c>
      <c r="H84" t="s">
        <v>357</v>
      </c>
      <c r="I84">
        <v>1</v>
      </c>
      <c r="J84" t="s">
        <v>145</v>
      </c>
      <c r="K84">
        <v>79</v>
      </c>
      <c r="L84" s="26">
        <v>25</v>
      </c>
      <c r="M84">
        <v>333</v>
      </c>
      <c r="N84" s="25">
        <v>4.6399999999999997</v>
      </c>
      <c r="O84" s="25">
        <v>1.76</v>
      </c>
      <c r="P84" s="24">
        <v>2.879E-2</v>
      </c>
      <c r="Q84" s="24">
        <v>0.13729</v>
      </c>
      <c r="R84" s="25">
        <v>0.3125</v>
      </c>
      <c r="S84" s="25">
        <v>0.48</v>
      </c>
      <c r="T84" s="25">
        <v>0.24</v>
      </c>
      <c r="U84" s="24">
        <v>4.1520000000000001E-2</v>
      </c>
      <c r="V84" s="27">
        <v>0.64</v>
      </c>
      <c r="W84" s="27">
        <v>1.36</v>
      </c>
      <c r="X84" s="25">
        <v>3.8</v>
      </c>
      <c r="Y84" s="24">
        <v>0.38946999999999998</v>
      </c>
      <c r="Z84" s="25">
        <v>2.68</v>
      </c>
      <c r="AA84" s="24">
        <v>0.32835999999999999</v>
      </c>
      <c r="AB84" s="25">
        <v>0.92</v>
      </c>
      <c r="AC84" s="28">
        <v>0.86956999999999995</v>
      </c>
      <c r="AD84" s="28">
        <v>0.50526000000000004</v>
      </c>
      <c r="AE84" s="28">
        <v>0.55186000000000002</v>
      </c>
      <c r="AF84" s="25">
        <v>0.69289999999999996</v>
      </c>
      <c r="AG84" s="25">
        <v>0.26090000000000002</v>
      </c>
      <c r="AH84" s="25">
        <v>0.432</v>
      </c>
      <c r="AI84" s="25">
        <v>104.58</v>
      </c>
      <c r="AJ84" s="25">
        <v>107.72</v>
      </c>
      <c r="AK84" s="25">
        <f>Table12[[#This Row],[OFF RTG]]-Table12[[#This Row],[DEF RTG]]</f>
        <v>-3.1400000000000006</v>
      </c>
      <c r="AL84" s="24">
        <v>0.18959999999999999</v>
      </c>
      <c r="AM84" s="26">
        <v>23</v>
      </c>
    </row>
    <row r="85" spans="1:39" x14ac:dyDescent="0.35">
      <c r="A85" t="s">
        <v>23</v>
      </c>
      <c r="B85" t="s">
        <v>584</v>
      </c>
      <c r="C85" t="s">
        <v>405</v>
      </c>
      <c r="D85" t="s">
        <v>493</v>
      </c>
      <c r="E85" t="s">
        <v>478</v>
      </c>
      <c r="F85">
        <v>1</v>
      </c>
      <c r="G85" t="s">
        <v>219</v>
      </c>
      <c r="H85" t="s">
        <v>215</v>
      </c>
      <c r="I85">
        <v>1</v>
      </c>
      <c r="J85" t="s">
        <v>146</v>
      </c>
      <c r="K85">
        <v>80</v>
      </c>
      <c r="L85">
        <v>4</v>
      </c>
      <c r="M85">
        <v>19</v>
      </c>
      <c r="N85" s="25"/>
      <c r="O85" s="25"/>
      <c r="P85" s="24"/>
      <c r="Q85" s="24"/>
      <c r="R85" s="25"/>
      <c r="S85" s="25"/>
      <c r="T85" s="25"/>
      <c r="U85" s="24"/>
      <c r="V85" s="25"/>
      <c r="W85" s="25"/>
      <c r="X85" s="25"/>
      <c r="Y85" s="24"/>
      <c r="Z85" s="25"/>
      <c r="AA85" s="24"/>
      <c r="AB85" s="25"/>
      <c r="AC85" s="24"/>
      <c r="AD85" s="24"/>
      <c r="AE85" s="24"/>
      <c r="AF85" s="25"/>
      <c r="AG85" s="25"/>
      <c r="AH85" s="25"/>
      <c r="AI85" s="25"/>
      <c r="AJ85" s="25"/>
      <c r="AK85" s="25">
        <f>Table12[[#This Row],[OFF RTG]]-Table12[[#This Row],[DEF RTG]]</f>
        <v>0</v>
      </c>
      <c r="AL85" s="24"/>
    </row>
    <row r="86" spans="1:39" x14ac:dyDescent="0.35">
      <c r="A86" t="s">
        <v>525</v>
      </c>
      <c r="B86" t="s">
        <v>526</v>
      </c>
      <c r="C86" t="s">
        <v>729</v>
      </c>
      <c r="D86" t="s">
        <v>539</v>
      </c>
      <c r="E86" t="s">
        <v>470</v>
      </c>
      <c r="F86">
        <v>1</v>
      </c>
      <c r="G86" t="s">
        <v>241</v>
      </c>
      <c r="H86" t="s">
        <v>215</v>
      </c>
      <c r="I86">
        <v>1</v>
      </c>
      <c r="J86" t="s">
        <v>145</v>
      </c>
      <c r="K86">
        <v>79</v>
      </c>
      <c r="L86" s="26">
        <v>31</v>
      </c>
      <c r="M86">
        <v>1153</v>
      </c>
      <c r="N86" s="27">
        <v>15.645160000000001</v>
      </c>
      <c r="O86" s="27">
        <v>5.1290300000000002</v>
      </c>
      <c r="P86" s="24">
        <v>3.6720000000000003E-2</v>
      </c>
      <c r="Q86" s="24">
        <v>0.11866</v>
      </c>
      <c r="R86" s="27">
        <v>1.74194</v>
      </c>
      <c r="S86" s="27">
        <v>1.8387100000000001</v>
      </c>
      <c r="T86" s="25">
        <v>0.74194000000000004</v>
      </c>
      <c r="U86" s="24">
        <v>5.5579999999999997E-2</v>
      </c>
      <c r="V86" s="25">
        <v>2</v>
      </c>
      <c r="W86" s="25">
        <v>1.64516</v>
      </c>
      <c r="X86" s="25">
        <v>11.838710000000001</v>
      </c>
      <c r="Y86" s="24">
        <v>0.43869000000000002</v>
      </c>
      <c r="Z86" s="25">
        <v>5.6451599999999997</v>
      </c>
      <c r="AA86" s="28">
        <v>0.42857000000000001</v>
      </c>
      <c r="AB86" s="25">
        <v>3.5806499999999999</v>
      </c>
      <c r="AC86" s="24">
        <v>0.79278999999999999</v>
      </c>
      <c r="AD86" s="28">
        <v>0.54086999999999996</v>
      </c>
      <c r="AE86" s="28">
        <v>0.58321000000000001</v>
      </c>
      <c r="AF86" s="25">
        <v>4.6641000000000004</v>
      </c>
      <c r="AG86" s="25">
        <v>2.4544000000000001</v>
      </c>
      <c r="AH86" s="25">
        <v>2.2097000000000002</v>
      </c>
      <c r="AI86" s="27">
        <v>116.94</v>
      </c>
      <c r="AJ86" s="27">
        <v>100.91</v>
      </c>
      <c r="AK86" s="27">
        <f>Table12[[#This Row],[OFF RTG]]-Table12[[#This Row],[DEF RTG]]</f>
        <v>16.03</v>
      </c>
      <c r="AL86" s="24">
        <v>0.21282000000000001</v>
      </c>
      <c r="AM86" s="26">
        <v>55</v>
      </c>
    </row>
    <row r="87" spans="1:39" x14ac:dyDescent="0.35">
      <c r="A87" t="s">
        <v>561</v>
      </c>
      <c r="B87" t="s">
        <v>562</v>
      </c>
      <c r="C87" t="s">
        <v>729</v>
      </c>
      <c r="D87" t="s">
        <v>487</v>
      </c>
      <c r="E87" t="s">
        <v>469</v>
      </c>
      <c r="F87">
        <v>1</v>
      </c>
      <c r="G87" t="s">
        <v>239</v>
      </c>
      <c r="H87" t="s">
        <v>215</v>
      </c>
      <c r="I87">
        <v>1</v>
      </c>
      <c r="J87" t="s">
        <v>146</v>
      </c>
      <c r="K87">
        <v>79</v>
      </c>
      <c r="L87" s="26">
        <v>30</v>
      </c>
      <c r="M87">
        <v>515</v>
      </c>
      <c r="N87" s="25">
        <v>4.4333299999999998</v>
      </c>
      <c r="O87" s="25">
        <v>3.3666700000000001</v>
      </c>
      <c r="P87" s="24">
        <v>9.178E-2</v>
      </c>
      <c r="Q87" s="24">
        <v>0.12288</v>
      </c>
      <c r="R87" s="25">
        <v>1.3333299999999999</v>
      </c>
      <c r="S87" s="25">
        <v>0.73333000000000004</v>
      </c>
      <c r="T87" s="25">
        <v>0.9</v>
      </c>
      <c r="U87" s="24">
        <v>7.5679999999999997E-2</v>
      </c>
      <c r="V87" s="27">
        <v>1</v>
      </c>
      <c r="W87" s="25">
        <v>2</v>
      </c>
      <c r="X87" s="25">
        <v>3.3333300000000001</v>
      </c>
      <c r="Y87" s="28">
        <v>0.54</v>
      </c>
      <c r="Z87" s="25">
        <v>3.3329999999999999E-2</v>
      </c>
      <c r="AA87" s="24">
        <v>0</v>
      </c>
      <c r="AB87" s="25">
        <v>1.7</v>
      </c>
      <c r="AC87" s="24">
        <v>0.49020000000000002</v>
      </c>
      <c r="AD87" s="28">
        <v>0.54</v>
      </c>
      <c r="AE87" s="28">
        <v>0.54330000000000001</v>
      </c>
      <c r="AF87" s="25">
        <v>1.2406999999999999</v>
      </c>
      <c r="AG87" s="25">
        <v>0.46800000000000003</v>
      </c>
      <c r="AH87" s="25">
        <v>0.77280000000000004</v>
      </c>
      <c r="AI87" s="25">
        <v>106.74</v>
      </c>
      <c r="AJ87" s="25">
        <v>105.56</v>
      </c>
      <c r="AK87" s="25">
        <f>Table12[[#This Row],[OFF RTG]]-Table12[[#This Row],[DEF RTG]]</f>
        <v>1.1799999999999926</v>
      </c>
      <c r="AL87" s="24">
        <v>0.15407999999999999</v>
      </c>
      <c r="AM87">
        <v>-53</v>
      </c>
    </row>
    <row r="88" spans="1:39" x14ac:dyDescent="0.35">
      <c r="A88" t="s">
        <v>516</v>
      </c>
      <c r="B88" t="s">
        <v>517</v>
      </c>
      <c r="C88" t="s">
        <v>729</v>
      </c>
      <c r="D88" t="s">
        <v>523</v>
      </c>
      <c r="E88" t="s">
        <v>474</v>
      </c>
      <c r="F88">
        <v>1</v>
      </c>
      <c r="G88" t="s">
        <v>171</v>
      </c>
      <c r="H88" t="s">
        <v>168</v>
      </c>
      <c r="I88">
        <v>1</v>
      </c>
      <c r="J88" t="s">
        <v>146</v>
      </c>
      <c r="K88">
        <v>80</v>
      </c>
      <c r="L88">
        <v>18</v>
      </c>
      <c r="M88">
        <v>636</v>
      </c>
      <c r="N88" s="27">
        <v>19.61111</v>
      </c>
      <c r="O88" s="27">
        <v>9.5</v>
      </c>
      <c r="P88" s="24">
        <v>5.9619999999999999E-2</v>
      </c>
      <c r="Q88" s="24">
        <v>0.24354000000000001</v>
      </c>
      <c r="R88" s="25">
        <v>1.3278700000000001</v>
      </c>
      <c r="S88" s="27">
        <v>2.8333300000000001</v>
      </c>
      <c r="T88" s="27">
        <v>1</v>
      </c>
      <c r="U88" s="24">
        <v>8.0079999999999998E-2</v>
      </c>
      <c r="V88" s="25">
        <v>3.38889</v>
      </c>
      <c r="W88" s="25">
        <v>2.7777799999999999</v>
      </c>
      <c r="X88" s="25">
        <v>12.77778</v>
      </c>
      <c r="Y88" s="28">
        <v>0.56086999999999998</v>
      </c>
      <c r="Z88" s="25">
        <v>0.72221999999999997</v>
      </c>
      <c r="AA88" s="28">
        <v>0.38462000000000002</v>
      </c>
      <c r="AB88" s="25">
        <v>10.72222</v>
      </c>
      <c r="AC88" s="24">
        <v>0.46632000000000001</v>
      </c>
      <c r="AD88" s="28">
        <v>0.57174000000000003</v>
      </c>
      <c r="AE88" s="28">
        <v>0.5605</v>
      </c>
      <c r="AF88" s="25">
        <v>1.6990000000000001</v>
      </c>
      <c r="AG88" s="25">
        <v>0.91269999999999996</v>
      </c>
      <c r="AH88" s="25">
        <v>0.78620000000000001</v>
      </c>
      <c r="AI88" s="25">
        <v>105.47</v>
      </c>
      <c r="AJ88" s="25">
        <v>108.47</v>
      </c>
      <c r="AK88" s="25">
        <f>Table12[[#This Row],[OFF RTG]]-Table12[[#This Row],[DEF RTG]]</f>
        <v>-3</v>
      </c>
      <c r="AL88" s="24">
        <v>0.28933999999999999</v>
      </c>
      <c r="AM88">
        <v>-111</v>
      </c>
    </row>
    <row r="89" spans="1:39" x14ac:dyDescent="0.35">
      <c r="A89" t="s">
        <v>706</v>
      </c>
      <c r="B89" t="s">
        <v>707</v>
      </c>
      <c r="C89" t="s">
        <v>729</v>
      </c>
      <c r="D89" t="s">
        <v>723</v>
      </c>
      <c r="E89" t="s">
        <v>478</v>
      </c>
      <c r="F89">
        <v>1</v>
      </c>
      <c r="G89" t="s">
        <v>498</v>
      </c>
      <c r="H89" t="s">
        <v>305</v>
      </c>
      <c r="I89">
        <v>1</v>
      </c>
      <c r="J89" t="s">
        <v>146</v>
      </c>
      <c r="K89">
        <v>80</v>
      </c>
      <c r="L89" s="26">
        <v>31</v>
      </c>
      <c r="M89">
        <v>1028</v>
      </c>
      <c r="N89" s="27">
        <v>13.161289999999999</v>
      </c>
      <c r="O89" s="27">
        <v>6.8064499999999999</v>
      </c>
      <c r="P89" s="24">
        <v>7.0989999999999998E-2</v>
      </c>
      <c r="Q89" s="24">
        <v>0.14182</v>
      </c>
      <c r="R89" s="25">
        <v>1.1940299999999999</v>
      </c>
      <c r="S89" s="27">
        <v>1.3225800000000001</v>
      </c>
      <c r="T89" s="25">
        <v>0.54839000000000004</v>
      </c>
      <c r="U89" s="24">
        <v>3.8330000000000003E-2</v>
      </c>
      <c r="V89" s="25">
        <v>2.1612900000000002</v>
      </c>
      <c r="W89" s="25">
        <v>1.6774199999999999</v>
      </c>
      <c r="X89" s="25">
        <v>10.838710000000001</v>
      </c>
      <c r="Y89" s="24">
        <v>0.47619</v>
      </c>
      <c r="Z89" s="25">
        <v>3.25806</v>
      </c>
      <c r="AA89" s="28">
        <v>0.38613999999999998</v>
      </c>
      <c r="AB89" s="25">
        <v>2.4516100000000001</v>
      </c>
      <c r="AC89" s="24">
        <v>0.64473999999999998</v>
      </c>
      <c r="AD89" s="28">
        <v>0.53422999999999998</v>
      </c>
      <c r="AE89" s="28">
        <v>0.55225000000000002</v>
      </c>
      <c r="AF89" s="25">
        <v>3.2155</v>
      </c>
      <c r="AG89" s="25">
        <v>1.4987999999999999</v>
      </c>
      <c r="AH89" s="25">
        <v>1.7166999999999999</v>
      </c>
      <c r="AI89" s="27">
        <v>110.72</v>
      </c>
      <c r="AJ89" s="27">
        <v>103.74</v>
      </c>
      <c r="AK89" s="27">
        <f>Table12[[#This Row],[OFF RTG]]-Table12[[#This Row],[DEF RTG]]</f>
        <v>6.980000000000004</v>
      </c>
      <c r="AL89" s="24">
        <v>0.19936000000000001</v>
      </c>
      <c r="AM89" s="26">
        <v>174</v>
      </c>
    </row>
    <row r="90" spans="1:39" x14ac:dyDescent="0.35">
      <c r="A90" t="s">
        <v>671</v>
      </c>
      <c r="B90" t="s">
        <v>672</v>
      </c>
      <c r="C90" t="s">
        <v>729</v>
      </c>
      <c r="D90" t="s">
        <v>520</v>
      </c>
      <c r="E90" t="s">
        <v>521</v>
      </c>
      <c r="F90">
        <v>1</v>
      </c>
      <c r="G90" t="s">
        <v>360</v>
      </c>
      <c r="H90" t="s">
        <v>357</v>
      </c>
      <c r="I90">
        <v>1</v>
      </c>
      <c r="J90" t="s">
        <v>146</v>
      </c>
      <c r="K90">
        <v>81</v>
      </c>
      <c r="L90" s="26">
        <v>31</v>
      </c>
      <c r="M90">
        <v>570</v>
      </c>
      <c r="N90" s="25">
        <v>5.5161300000000004</v>
      </c>
      <c r="O90" s="25">
        <v>1.3871</v>
      </c>
      <c r="P90" s="24">
        <v>7.7000000000000002E-3</v>
      </c>
      <c r="Q90" s="24">
        <v>8.2979999999999998E-2</v>
      </c>
      <c r="R90" s="25">
        <v>1</v>
      </c>
      <c r="S90" s="25">
        <v>0.67742000000000002</v>
      </c>
      <c r="T90" s="25">
        <v>0.41935</v>
      </c>
      <c r="U90" s="24">
        <v>5.2170000000000001E-2</v>
      </c>
      <c r="V90" s="27">
        <v>0.74194000000000004</v>
      </c>
      <c r="W90" s="25">
        <v>1.87097</v>
      </c>
      <c r="X90" s="25">
        <v>4.9354800000000001</v>
      </c>
      <c r="Y90" s="24">
        <v>0.37907999999999997</v>
      </c>
      <c r="Z90" s="25">
        <v>4.2580600000000004</v>
      </c>
      <c r="AA90" s="28">
        <v>0.35605999999999999</v>
      </c>
      <c r="AB90" s="25">
        <v>0.41935</v>
      </c>
      <c r="AC90" s="24">
        <v>0.61538000000000004</v>
      </c>
      <c r="AD90" s="28">
        <v>0.53268000000000004</v>
      </c>
      <c r="AE90" s="28">
        <v>0.53874999999999995</v>
      </c>
      <c r="AF90" s="25">
        <v>1.3102</v>
      </c>
      <c r="AG90" s="25">
        <v>0.50229999999999997</v>
      </c>
      <c r="AH90" s="25">
        <v>0.80789999999999995</v>
      </c>
      <c r="AI90" s="25">
        <v>108.74</v>
      </c>
      <c r="AJ90" s="25">
        <v>106.55</v>
      </c>
      <c r="AK90" s="25">
        <f>Table12[[#This Row],[OFF RTG]]-Table12[[#This Row],[DEF RTG]]</f>
        <v>2.1899999999999977</v>
      </c>
      <c r="AL90" s="24">
        <v>0.15534000000000001</v>
      </c>
      <c r="AM90">
        <v>-3</v>
      </c>
    </row>
    <row r="91" spans="1:39" x14ac:dyDescent="0.35">
      <c r="A91" t="s">
        <v>643</v>
      </c>
      <c r="B91" t="s">
        <v>644</v>
      </c>
      <c r="C91" t="s">
        <v>729</v>
      </c>
      <c r="D91" t="s">
        <v>509</v>
      </c>
      <c r="E91" t="s">
        <v>467</v>
      </c>
      <c r="F91">
        <v>1</v>
      </c>
      <c r="G91" t="s">
        <v>131</v>
      </c>
      <c r="H91" t="s">
        <v>112</v>
      </c>
      <c r="I91">
        <v>1</v>
      </c>
      <c r="J91" t="s">
        <v>146</v>
      </c>
      <c r="K91">
        <v>80</v>
      </c>
      <c r="L91">
        <v>9</v>
      </c>
      <c r="M91">
        <v>173</v>
      </c>
      <c r="N91" s="25">
        <v>6.11111</v>
      </c>
      <c r="O91" s="25">
        <v>1.88889</v>
      </c>
      <c r="P91" s="24">
        <v>6.8100000000000001E-3</v>
      </c>
      <c r="Q91" s="24">
        <v>0.10833</v>
      </c>
      <c r="R91" s="25">
        <v>1</v>
      </c>
      <c r="S91" s="25">
        <v>0.22222</v>
      </c>
      <c r="T91" s="25">
        <v>0</v>
      </c>
      <c r="U91" s="24">
        <v>6.7999999999999996E-3</v>
      </c>
      <c r="V91" s="27">
        <v>0.66666999999999998</v>
      </c>
      <c r="W91" s="27">
        <v>1.4444399999999999</v>
      </c>
      <c r="X91" s="25">
        <v>6</v>
      </c>
      <c r="Y91" s="24">
        <v>0.24074000000000001</v>
      </c>
      <c r="Z91" s="25">
        <v>5</v>
      </c>
      <c r="AA91" s="24">
        <v>0.22222</v>
      </c>
      <c r="AB91" s="25">
        <v>2.7777799999999999</v>
      </c>
      <c r="AC91" s="24">
        <v>0.76</v>
      </c>
      <c r="AD91" s="24">
        <v>0.33333000000000002</v>
      </c>
      <c r="AE91" s="24">
        <v>0.42308000000000001</v>
      </c>
      <c r="AF91" s="25">
        <v>-7.9500000000000001E-2</v>
      </c>
      <c r="AG91" s="25">
        <v>-8.2400000000000001E-2</v>
      </c>
      <c r="AH91" s="25">
        <v>2.8999999999999998E-3</v>
      </c>
      <c r="AI91" s="25">
        <v>89.65</v>
      </c>
      <c r="AJ91" s="25">
        <v>121.82</v>
      </c>
      <c r="AK91" s="25">
        <f>Table12[[#This Row],[OFF RTG]]-Table12[[#This Row],[DEF RTG]]</f>
        <v>-32.169999999999987</v>
      </c>
      <c r="AL91" s="24">
        <v>0.21134</v>
      </c>
      <c r="AM91">
        <v>-71</v>
      </c>
    </row>
    <row r="92" spans="1:39" x14ac:dyDescent="0.35">
      <c r="A92" t="s">
        <v>530</v>
      </c>
      <c r="B92" t="s">
        <v>531</v>
      </c>
      <c r="C92" t="s">
        <v>729</v>
      </c>
      <c r="D92" t="s">
        <v>542</v>
      </c>
      <c r="E92" t="s">
        <v>460</v>
      </c>
      <c r="F92">
        <v>1</v>
      </c>
      <c r="G92" t="s">
        <v>244</v>
      </c>
      <c r="H92" t="s">
        <v>215</v>
      </c>
      <c r="I92">
        <v>1</v>
      </c>
      <c r="J92" t="s">
        <v>145</v>
      </c>
      <c r="K92">
        <v>79</v>
      </c>
      <c r="L92" s="26">
        <v>28</v>
      </c>
      <c r="M92">
        <v>838</v>
      </c>
      <c r="N92" s="25">
        <v>8.8214299999999994</v>
      </c>
      <c r="O92" s="25">
        <v>4.0714300000000003</v>
      </c>
      <c r="P92" s="24">
        <v>3.5650000000000001E-2</v>
      </c>
      <c r="Q92" s="24">
        <v>0.12492</v>
      </c>
      <c r="R92" s="25">
        <v>0.85714000000000001</v>
      </c>
      <c r="S92" s="25">
        <v>0.60714000000000001</v>
      </c>
      <c r="T92" s="25">
        <v>0.57142999999999999</v>
      </c>
      <c r="U92" s="24">
        <v>3.2800000000000003E-2</v>
      </c>
      <c r="V92" s="25">
        <v>1.5</v>
      </c>
      <c r="W92" s="25">
        <v>1.60714</v>
      </c>
      <c r="X92" s="25">
        <v>7.6071400000000002</v>
      </c>
      <c r="Y92" s="24">
        <v>0.40376000000000001</v>
      </c>
      <c r="Z92" s="25">
        <v>3.3928600000000002</v>
      </c>
      <c r="AA92" s="24">
        <v>0.28421000000000002</v>
      </c>
      <c r="AB92" s="25">
        <v>2.6785700000000001</v>
      </c>
      <c r="AC92" s="24">
        <v>0.64</v>
      </c>
      <c r="AD92" s="24">
        <v>0.46714</v>
      </c>
      <c r="AE92" s="24">
        <v>0.50202999999999998</v>
      </c>
      <c r="AF92" s="25">
        <v>0.88439999999999996</v>
      </c>
      <c r="AG92" s="25">
        <v>0.32629999999999998</v>
      </c>
      <c r="AH92" s="25">
        <v>0.55810000000000004</v>
      </c>
      <c r="AI92" s="25">
        <v>99.54</v>
      </c>
      <c r="AJ92" s="25">
        <v>114.72</v>
      </c>
      <c r="AK92" s="25">
        <f>Table12[[#This Row],[OFF RTG]]-Table12[[#This Row],[DEF RTG]]</f>
        <v>-15.179999999999993</v>
      </c>
      <c r="AL92" s="24">
        <v>0.18609999999999999</v>
      </c>
      <c r="AM92">
        <v>-188</v>
      </c>
    </row>
    <row r="93" spans="1:39" x14ac:dyDescent="0.35">
      <c r="A93" t="s">
        <v>710</v>
      </c>
      <c r="B93" t="s">
        <v>711</v>
      </c>
      <c r="C93" t="s">
        <v>729</v>
      </c>
      <c r="D93" t="s">
        <v>364</v>
      </c>
      <c r="E93" t="s">
        <v>357</v>
      </c>
      <c r="F93">
        <v>1</v>
      </c>
      <c r="G93" t="s">
        <v>331</v>
      </c>
      <c r="H93" t="s">
        <v>305</v>
      </c>
      <c r="I93">
        <v>1</v>
      </c>
      <c r="J93" t="s">
        <v>146</v>
      </c>
      <c r="K93">
        <v>82</v>
      </c>
      <c r="L93" s="26">
        <v>30</v>
      </c>
      <c r="M93">
        <v>549</v>
      </c>
      <c r="N93" s="25">
        <v>5.1666699999999999</v>
      </c>
      <c r="O93" s="25">
        <v>3.1</v>
      </c>
      <c r="P93" s="24">
        <v>8.4199999999999997E-2</v>
      </c>
      <c r="Q93" s="24">
        <v>0.12612999999999999</v>
      </c>
      <c r="R93" s="25">
        <v>0.82352999999999998</v>
      </c>
      <c r="S93" s="25">
        <v>0.4</v>
      </c>
      <c r="T93" s="27">
        <v>1.1000000000000001</v>
      </c>
      <c r="U93" s="24">
        <v>8.2269999999999996E-2</v>
      </c>
      <c r="V93" s="27">
        <v>0.56667000000000001</v>
      </c>
      <c r="W93" s="25">
        <v>2.1</v>
      </c>
      <c r="X93" s="25">
        <v>3.4</v>
      </c>
      <c r="Y93" s="28">
        <v>0.67647000000000002</v>
      </c>
      <c r="Z93" s="25">
        <v>0.13333</v>
      </c>
      <c r="AA93" s="24">
        <v>0</v>
      </c>
      <c r="AB93" s="25">
        <v>1.2</v>
      </c>
      <c r="AC93" s="24">
        <v>0.47221999999999997</v>
      </c>
      <c r="AD93" s="28">
        <v>0.67647000000000002</v>
      </c>
      <c r="AE93" s="28">
        <v>0.65788999999999997</v>
      </c>
      <c r="AF93" s="25">
        <v>1.9380999999999999</v>
      </c>
      <c r="AG93" s="25">
        <v>0.97760000000000002</v>
      </c>
      <c r="AH93" s="25">
        <v>0.96050000000000002</v>
      </c>
      <c r="AI93" s="27">
        <v>123.59</v>
      </c>
      <c r="AJ93" s="27">
        <v>102.92</v>
      </c>
      <c r="AK93" s="27">
        <f>Table12[[#This Row],[OFF RTG]]-Table12[[#This Row],[DEF RTG]]</f>
        <v>20.67</v>
      </c>
      <c r="AL93" s="24">
        <v>0.13549</v>
      </c>
      <c r="AM93" s="26">
        <v>38</v>
      </c>
    </row>
    <row r="94" spans="1:39" x14ac:dyDescent="0.35">
      <c r="A94" t="s">
        <v>500</v>
      </c>
      <c r="B94" t="s">
        <v>637</v>
      </c>
      <c r="C94" t="s">
        <v>729</v>
      </c>
      <c r="D94" t="s">
        <v>509</v>
      </c>
      <c r="E94" t="s">
        <v>467</v>
      </c>
      <c r="F94">
        <v>1</v>
      </c>
      <c r="G94" t="s">
        <v>131</v>
      </c>
      <c r="H94" t="s">
        <v>112</v>
      </c>
      <c r="I94">
        <v>1</v>
      </c>
      <c r="J94" t="s">
        <v>146</v>
      </c>
      <c r="K94">
        <v>80</v>
      </c>
      <c r="L94" s="26">
        <v>29</v>
      </c>
      <c r="M94">
        <v>841</v>
      </c>
      <c r="N94" s="27">
        <v>11.44828</v>
      </c>
      <c r="O94" s="27">
        <v>7.34483</v>
      </c>
      <c r="P94" s="24">
        <v>9.9449999999999997E-2</v>
      </c>
      <c r="Q94" s="24">
        <v>0.20488999999999999</v>
      </c>
      <c r="R94" s="25">
        <v>0.72726999999999997</v>
      </c>
      <c r="S94" s="27">
        <v>1.37931</v>
      </c>
      <c r="T94" s="25">
        <v>0.24138000000000001</v>
      </c>
      <c r="U94" s="33">
        <v>3.8239999999999899E-2</v>
      </c>
      <c r="V94" s="25">
        <v>2.65517</v>
      </c>
      <c r="W94" s="25">
        <v>3.1379299999999999</v>
      </c>
      <c r="X94" s="25">
        <v>6.8965500000000004</v>
      </c>
      <c r="Y94" s="28">
        <v>0.70499999999999996</v>
      </c>
      <c r="Z94" s="25">
        <v>0.48276000000000002</v>
      </c>
      <c r="AA94" s="28">
        <v>0.35714000000000001</v>
      </c>
      <c r="AB94" s="25">
        <v>3.3103400000000001</v>
      </c>
      <c r="AC94" s="24">
        <v>0.46875</v>
      </c>
      <c r="AD94" s="28">
        <v>0.71750000000000003</v>
      </c>
      <c r="AE94" s="28">
        <v>0.68537999999999999</v>
      </c>
      <c r="AF94" s="25">
        <v>2.0661999999999998</v>
      </c>
      <c r="AG94" s="25">
        <v>1.3420000000000001</v>
      </c>
      <c r="AH94" s="25">
        <v>0.72419999999999995</v>
      </c>
      <c r="AI94" s="27">
        <v>111.72</v>
      </c>
      <c r="AJ94" s="25">
        <v>112.57</v>
      </c>
      <c r="AK94" s="25">
        <f>Table12[[#This Row],[OFF RTG]]-Table12[[#This Row],[DEF RTG]]</f>
        <v>-0.84999999999999432</v>
      </c>
      <c r="AL94" s="24">
        <v>0.19897999999999999</v>
      </c>
      <c r="AM94">
        <v>-89</v>
      </c>
    </row>
    <row r="95" spans="1:39" x14ac:dyDescent="0.35">
      <c r="A95" t="s">
        <v>709</v>
      </c>
      <c r="B95" t="s">
        <v>175</v>
      </c>
      <c r="C95" t="s">
        <v>729</v>
      </c>
      <c r="D95" t="s">
        <v>724</v>
      </c>
      <c r="E95" t="s">
        <v>471</v>
      </c>
      <c r="F95">
        <v>1</v>
      </c>
      <c r="G95" t="s">
        <v>333</v>
      </c>
      <c r="H95" t="s">
        <v>305</v>
      </c>
      <c r="I95">
        <v>1</v>
      </c>
      <c r="J95" t="s">
        <v>146</v>
      </c>
      <c r="K95">
        <v>81</v>
      </c>
      <c r="L95" s="26">
        <v>28</v>
      </c>
      <c r="M95">
        <v>640</v>
      </c>
      <c r="N95" s="25">
        <v>7</v>
      </c>
      <c r="O95" s="25">
        <v>4.0357099999999999</v>
      </c>
      <c r="P95" s="24">
        <v>1.7250000000000001E-2</v>
      </c>
      <c r="Q95" s="24">
        <v>0.18411</v>
      </c>
      <c r="R95" s="25">
        <v>0.71052999999999999</v>
      </c>
      <c r="S95" s="25">
        <v>0.42857000000000001</v>
      </c>
      <c r="T95" s="25">
        <v>0.28571000000000002</v>
      </c>
      <c r="U95" s="33">
        <v>2.3029999999999998E-2</v>
      </c>
      <c r="V95" s="25">
        <v>1.35714</v>
      </c>
      <c r="W95" s="25">
        <v>2.3214299999999999</v>
      </c>
      <c r="X95" s="25">
        <v>4.8928599999999998</v>
      </c>
      <c r="Y95" s="24">
        <v>0.46715000000000001</v>
      </c>
      <c r="Z95" s="25">
        <v>3.75</v>
      </c>
      <c r="AA95" s="28">
        <v>0.46666999999999997</v>
      </c>
      <c r="AB95" s="25">
        <v>0.85714000000000001</v>
      </c>
      <c r="AC95" s="24">
        <v>0.79166999999999998</v>
      </c>
      <c r="AD95" s="28">
        <v>0.64598999999999995</v>
      </c>
      <c r="AE95" s="28">
        <v>0.66395999999999999</v>
      </c>
      <c r="AF95" s="25">
        <v>1.0989</v>
      </c>
      <c r="AG95" s="25">
        <v>0.56679999999999997</v>
      </c>
      <c r="AH95" s="25">
        <v>0.53210000000000002</v>
      </c>
      <c r="AI95" s="25">
        <v>108.02</v>
      </c>
      <c r="AJ95" s="25">
        <v>112.92</v>
      </c>
      <c r="AK95" s="25">
        <f>Table12[[#This Row],[OFF RTG]]-Table12[[#This Row],[DEF RTG]]</f>
        <v>-4.9000000000000057</v>
      </c>
      <c r="AL95" s="24">
        <v>0.15114</v>
      </c>
      <c r="AM95">
        <v>-16</v>
      </c>
    </row>
    <row r="96" spans="1:39" x14ac:dyDescent="0.35">
      <c r="A96" t="s">
        <v>603</v>
      </c>
      <c r="B96" t="s">
        <v>604</v>
      </c>
      <c r="C96" t="s">
        <v>729</v>
      </c>
      <c r="D96" t="s">
        <v>436</v>
      </c>
      <c r="E96" t="s">
        <v>168</v>
      </c>
      <c r="F96">
        <v>1</v>
      </c>
      <c r="G96" t="s">
        <v>437</v>
      </c>
      <c r="H96" t="s">
        <v>168</v>
      </c>
      <c r="I96">
        <v>1</v>
      </c>
      <c r="J96" t="s">
        <v>146</v>
      </c>
      <c r="K96">
        <v>80</v>
      </c>
      <c r="L96" s="26">
        <v>27</v>
      </c>
      <c r="M96">
        <v>481</v>
      </c>
      <c r="N96" s="25">
        <v>5.5185199999999996</v>
      </c>
      <c r="O96" s="25">
        <v>3.0740699999999999</v>
      </c>
      <c r="P96" s="24">
        <v>4.2950000000000002E-2</v>
      </c>
      <c r="Q96" s="24">
        <v>0.15409999999999999</v>
      </c>
      <c r="R96" s="25">
        <v>0.67647000000000002</v>
      </c>
      <c r="S96" s="25">
        <v>0.48148000000000002</v>
      </c>
      <c r="T96" s="25">
        <v>0.40740999999999999</v>
      </c>
      <c r="U96" s="24">
        <v>4.0629999999999999E-2</v>
      </c>
      <c r="V96" s="25">
        <v>1.25926</v>
      </c>
      <c r="W96" s="25">
        <v>2.3703699999999999</v>
      </c>
      <c r="X96" s="25">
        <v>4.2222200000000001</v>
      </c>
      <c r="Y96" s="24">
        <v>0.48246</v>
      </c>
      <c r="Z96" s="25">
        <v>1.40741</v>
      </c>
      <c r="AA96" s="24">
        <v>0.34211000000000003</v>
      </c>
      <c r="AB96" s="25">
        <v>1.4814799999999999</v>
      </c>
      <c r="AC96" s="24">
        <v>0.65</v>
      </c>
      <c r="AD96" s="28">
        <v>0.53947000000000001</v>
      </c>
      <c r="AE96" s="28">
        <v>0.56611</v>
      </c>
      <c r="AF96" s="25">
        <v>0.67910000000000004</v>
      </c>
      <c r="AG96" s="25">
        <v>0.1948</v>
      </c>
      <c r="AH96" s="25">
        <v>0.48430000000000001</v>
      </c>
      <c r="AI96" s="25">
        <v>99.87</v>
      </c>
      <c r="AJ96" s="25">
        <v>111.01</v>
      </c>
      <c r="AK96" s="25">
        <f>Table12[[#This Row],[OFF RTG]]-Table12[[#This Row],[DEF RTG]]</f>
        <v>-11.14</v>
      </c>
      <c r="AL96" s="24">
        <v>0.18043000000000001</v>
      </c>
      <c r="AM96">
        <v>-140</v>
      </c>
    </row>
    <row r="97" spans="1:39" x14ac:dyDescent="0.35">
      <c r="A97" t="s">
        <v>183</v>
      </c>
      <c r="B97" t="s">
        <v>420</v>
      </c>
      <c r="C97" t="s">
        <v>729</v>
      </c>
      <c r="D97" t="s">
        <v>425</v>
      </c>
      <c r="E97" t="s">
        <v>472</v>
      </c>
      <c r="F97">
        <v>1</v>
      </c>
      <c r="G97" t="s">
        <v>127</v>
      </c>
      <c r="H97" t="s">
        <v>112</v>
      </c>
      <c r="I97">
        <v>1</v>
      </c>
      <c r="J97" t="s">
        <v>146</v>
      </c>
      <c r="K97">
        <v>80</v>
      </c>
      <c r="L97">
        <v>20</v>
      </c>
      <c r="M97">
        <v>472</v>
      </c>
      <c r="N97" s="25">
        <v>8.9</v>
      </c>
      <c r="O97" s="27">
        <v>5.2</v>
      </c>
      <c r="P97" s="24">
        <v>6.1550000000000001E-2</v>
      </c>
      <c r="Q97" s="24">
        <v>0.19905999999999999</v>
      </c>
      <c r="R97" s="25">
        <v>0.65217000000000003</v>
      </c>
      <c r="S97" s="25">
        <v>0.7</v>
      </c>
      <c r="T97" s="27">
        <v>1</v>
      </c>
      <c r="U97" s="24">
        <v>6.6000000000000003E-2</v>
      </c>
      <c r="V97" s="25">
        <v>1.1499999999999999</v>
      </c>
      <c r="W97" s="27">
        <v>1.1499999999999999</v>
      </c>
      <c r="X97" s="25">
        <v>9.5</v>
      </c>
      <c r="Y97" s="24">
        <v>0.37368000000000001</v>
      </c>
      <c r="Z97" s="25">
        <v>4.25</v>
      </c>
      <c r="AA97" s="24">
        <v>0.23529</v>
      </c>
      <c r="AB97" s="25">
        <v>1.05</v>
      </c>
      <c r="AC97" s="24">
        <v>0.76190000000000002</v>
      </c>
      <c r="AD97" s="24">
        <v>0.42631999999999998</v>
      </c>
      <c r="AE97" s="24">
        <v>0.44679000000000002</v>
      </c>
      <c r="AF97" s="25">
        <v>0.14940000000000001</v>
      </c>
      <c r="AG97" s="25">
        <v>-0.27810000000000001</v>
      </c>
      <c r="AH97" s="25">
        <v>0.42749999999999999</v>
      </c>
      <c r="AI97" s="25">
        <v>89.43</v>
      </c>
      <c r="AJ97" s="25">
        <v>112.06</v>
      </c>
      <c r="AK97" s="25">
        <f>Table12[[#This Row],[OFF RTG]]-Table12[[#This Row],[DEF RTG]]</f>
        <v>-22.629999999999995</v>
      </c>
      <c r="AL97" s="24">
        <v>0.24604000000000001</v>
      </c>
      <c r="AM97">
        <v>-170</v>
      </c>
    </row>
    <row r="98" spans="1:39" x14ac:dyDescent="0.35">
      <c r="A98" t="s">
        <v>441</v>
      </c>
      <c r="B98" t="s">
        <v>618</v>
      </c>
      <c r="C98" t="s">
        <v>729</v>
      </c>
      <c r="D98" t="s">
        <v>632</v>
      </c>
      <c r="E98" t="s">
        <v>554</v>
      </c>
      <c r="F98">
        <v>2</v>
      </c>
      <c r="G98" t="s">
        <v>187</v>
      </c>
      <c r="H98" t="s">
        <v>168</v>
      </c>
      <c r="I98">
        <v>1</v>
      </c>
      <c r="J98" t="s">
        <v>146</v>
      </c>
      <c r="K98">
        <v>80</v>
      </c>
      <c r="L98">
        <v>23</v>
      </c>
      <c r="M98">
        <v>237</v>
      </c>
      <c r="N98" s="25">
        <v>3</v>
      </c>
      <c r="O98" s="25">
        <v>1.78261</v>
      </c>
      <c r="P98" s="24">
        <v>2.8129999999999999E-2</v>
      </c>
      <c r="Q98" s="24">
        <v>0.1837</v>
      </c>
      <c r="R98" s="25">
        <v>0.63158000000000003</v>
      </c>
      <c r="S98" s="25">
        <v>0.26086999999999999</v>
      </c>
      <c r="T98" s="25">
        <v>0.17391000000000001</v>
      </c>
      <c r="U98" s="24">
        <v>3.8260000000000002E-2</v>
      </c>
      <c r="V98" s="27">
        <v>0.82608999999999999</v>
      </c>
      <c r="W98" s="27">
        <v>1.13043</v>
      </c>
      <c r="X98" s="25">
        <v>2.9565199999999998</v>
      </c>
      <c r="Y98" s="24">
        <v>0.41176000000000001</v>
      </c>
      <c r="Z98" s="25">
        <v>0.78261000000000003</v>
      </c>
      <c r="AA98" s="24">
        <v>0.22222</v>
      </c>
      <c r="AB98" s="25">
        <v>0.65217000000000003</v>
      </c>
      <c r="AC98" s="24">
        <v>0.6</v>
      </c>
      <c r="AD98" s="24">
        <v>0.44118000000000002</v>
      </c>
      <c r="AE98" s="24">
        <v>0.46246999999999999</v>
      </c>
      <c r="AF98" s="25">
        <v>6.7699999999999996E-2</v>
      </c>
      <c r="AG98" s="25">
        <v>-0.19670000000000001</v>
      </c>
      <c r="AH98" s="25">
        <v>0.26440000000000002</v>
      </c>
      <c r="AI98" s="25">
        <v>85.86</v>
      </c>
      <c r="AJ98" s="25">
        <v>109.75</v>
      </c>
      <c r="AK98" s="25">
        <f>Table12[[#This Row],[OFF RTG]]-Table12[[#This Row],[DEF RTG]]</f>
        <v>-23.89</v>
      </c>
      <c r="AL98" s="24">
        <v>0.20233000000000001</v>
      </c>
      <c r="AM98">
        <v>-58</v>
      </c>
    </row>
    <row r="99" spans="1:39" x14ac:dyDescent="0.35">
      <c r="A99" t="s">
        <v>600</v>
      </c>
      <c r="B99" t="s">
        <v>667</v>
      </c>
      <c r="C99" t="s">
        <v>729</v>
      </c>
      <c r="D99" t="s">
        <v>454</v>
      </c>
      <c r="E99" t="s">
        <v>460</v>
      </c>
      <c r="F99">
        <v>1</v>
      </c>
      <c r="G99" t="s">
        <v>362</v>
      </c>
      <c r="H99" t="s">
        <v>357</v>
      </c>
      <c r="I99">
        <v>1</v>
      </c>
      <c r="J99" t="s">
        <v>146</v>
      </c>
      <c r="K99">
        <v>79</v>
      </c>
      <c r="L99">
        <v>24</v>
      </c>
      <c r="M99">
        <v>357</v>
      </c>
      <c r="N99" s="25">
        <v>4.9166699999999999</v>
      </c>
      <c r="O99" s="25">
        <v>3.25</v>
      </c>
      <c r="P99" s="24">
        <v>0.11683</v>
      </c>
      <c r="Q99" s="24">
        <v>0.13544</v>
      </c>
      <c r="R99" s="25">
        <v>0.57142999999999999</v>
      </c>
      <c r="S99" s="25">
        <v>0.20832999999999999</v>
      </c>
      <c r="T99" s="25">
        <v>0.66666999999999998</v>
      </c>
      <c r="U99" s="24">
        <v>6.3439999999999996E-2</v>
      </c>
      <c r="V99" s="27">
        <v>0.58333000000000002</v>
      </c>
      <c r="W99" s="25">
        <v>1.875</v>
      </c>
      <c r="X99" s="25">
        <v>4.1666699999999999</v>
      </c>
      <c r="Y99" s="24">
        <v>0.4</v>
      </c>
      <c r="Z99" s="25">
        <v>0.41666999999999998</v>
      </c>
      <c r="AA99" s="24">
        <v>0.2</v>
      </c>
      <c r="AB99" s="25">
        <v>2.125</v>
      </c>
      <c r="AC99" s="24">
        <v>0.70587999999999995</v>
      </c>
      <c r="AD99" s="24">
        <v>0.41</v>
      </c>
      <c r="AE99" s="24">
        <v>0.48203000000000001</v>
      </c>
      <c r="AF99" s="25">
        <v>0.9859</v>
      </c>
      <c r="AG99" s="25">
        <v>0.42359999999999998</v>
      </c>
      <c r="AH99" s="25">
        <v>0.56230000000000002</v>
      </c>
      <c r="AI99" s="25">
        <v>108.09</v>
      </c>
      <c r="AJ99" s="27">
        <v>104.78</v>
      </c>
      <c r="AK99" s="25">
        <f>Table12[[#This Row],[OFF RTG]]-Table12[[#This Row],[DEF RTG]]</f>
        <v>3.3100000000000023</v>
      </c>
      <c r="AL99" s="24">
        <v>0.19844999999999999</v>
      </c>
      <c r="AM99" s="26">
        <v>34</v>
      </c>
    </row>
    <row r="100" spans="1:39" x14ac:dyDescent="0.35">
      <c r="A100" t="s">
        <v>606</v>
      </c>
      <c r="B100" t="s">
        <v>607</v>
      </c>
      <c r="C100" t="s">
        <v>729</v>
      </c>
      <c r="D100" t="s">
        <v>592</v>
      </c>
      <c r="E100" t="s">
        <v>467</v>
      </c>
      <c r="F100">
        <v>1</v>
      </c>
      <c r="G100" t="s">
        <v>172</v>
      </c>
      <c r="H100" t="s">
        <v>168</v>
      </c>
      <c r="I100">
        <v>1</v>
      </c>
      <c r="J100" t="s">
        <v>146</v>
      </c>
      <c r="K100">
        <v>84</v>
      </c>
      <c r="L100" s="26">
        <v>25</v>
      </c>
      <c r="M100">
        <v>453</v>
      </c>
      <c r="N100" s="25">
        <v>4.72</v>
      </c>
      <c r="O100" s="25">
        <v>4.04</v>
      </c>
      <c r="P100" s="24">
        <v>9.987E-2</v>
      </c>
      <c r="Q100" s="24">
        <v>0.15787000000000001</v>
      </c>
      <c r="R100" s="25">
        <v>0.54286000000000001</v>
      </c>
      <c r="S100" s="25">
        <v>0.64</v>
      </c>
      <c r="T100" s="25">
        <v>0.92</v>
      </c>
      <c r="U100" s="24">
        <v>7.8880000000000006E-2</v>
      </c>
      <c r="V100" s="25">
        <v>1.4</v>
      </c>
      <c r="W100" s="25">
        <v>2.8</v>
      </c>
      <c r="X100" s="25">
        <v>3.76</v>
      </c>
      <c r="Y100" s="24">
        <v>0.44680999999999998</v>
      </c>
      <c r="Z100" s="25">
        <v>1.28</v>
      </c>
      <c r="AA100" s="24">
        <v>0.28125</v>
      </c>
      <c r="AB100" s="25">
        <v>1.84</v>
      </c>
      <c r="AC100" s="24">
        <v>0.54347999999999996</v>
      </c>
      <c r="AD100" s="24">
        <v>0.49468000000000001</v>
      </c>
      <c r="AE100" s="24">
        <v>0.51663999999999999</v>
      </c>
      <c r="AF100" s="25">
        <v>0.54590000000000005</v>
      </c>
      <c r="AG100" s="25">
        <v>4.7999999999999996E-3</v>
      </c>
      <c r="AH100" s="25">
        <v>0.54110000000000003</v>
      </c>
      <c r="AI100" s="25">
        <v>95.03</v>
      </c>
      <c r="AJ100" s="25">
        <v>108.9</v>
      </c>
      <c r="AK100" s="25">
        <f>Table12[[#This Row],[OFF RTG]]-Table12[[#This Row],[DEF RTG]]</f>
        <v>-13.870000000000005</v>
      </c>
      <c r="AL100" s="24">
        <v>0.15606999999999999</v>
      </c>
      <c r="AM100">
        <v>-70</v>
      </c>
    </row>
    <row r="101" spans="1:39" x14ac:dyDescent="0.35">
      <c r="A101" t="s">
        <v>574</v>
      </c>
      <c r="B101" t="s">
        <v>575</v>
      </c>
      <c r="C101" t="s">
        <v>729</v>
      </c>
      <c r="D101" t="s">
        <v>591</v>
      </c>
      <c r="E101" t="s">
        <v>464</v>
      </c>
      <c r="F101">
        <v>1</v>
      </c>
      <c r="G101" t="s">
        <v>244</v>
      </c>
      <c r="H101" t="s">
        <v>215</v>
      </c>
      <c r="I101">
        <v>1</v>
      </c>
      <c r="J101" t="s">
        <v>146</v>
      </c>
      <c r="K101">
        <v>81</v>
      </c>
      <c r="L101">
        <v>19</v>
      </c>
      <c r="M101">
        <v>240</v>
      </c>
      <c r="N101" s="25">
        <v>3.2631600000000001</v>
      </c>
      <c r="O101" s="25">
        <v>2.7368399999999999</v>
      </c>
      <c r="P101" s="24">
        <v>0.10442</v>
      </c>
      <c r="Q101" s="24">
        <v>0.15248</v>
      </c>
      <c r="R101" s="25">
        <v>0.5</v>
      </c>
      <c r="S101" s="25">
        <v>0.26316000000000001</v>
      </c>
      <c r="T101" s="25">
        <v>0.42104999999999998</v>
      </c>
      <c r="U101" s="24">
        <v>4.684E-2</v>
      </c>
      <c r="V101" s="27">
        <v>0.73684000000000005</v>
      </c>
      <c r="W101" s="25">
        <v>2.1578900000000001</v>
      </c>
      <c r="X101" s="25">
        <v>2.7368399999999999</v>
      </c>
      <c r="Y101" s="28">
        <v>0.51922999999999997</v>
      </c>
      <c r="Z101" s="25">
        <v>0</v>
      </c>
      <c r="AA101" s="24">
        <v>0</v>
      </c>
      <c r="AB101" s="25">
        <v>1.2631600000000001</v>
      </c>
      <c r="AC101" s="24">
        <v>0.33333000000000002</v>
      </c>
      <c r="AD101" s="28">
        <v>0.51922999999999997</v>
      </c>
      <c r="AE101" s="24">
        <v>0.49520999999999998</v>
      </c>
      <c r="AF101" s="25">
        <v>0.24859999999999999</v>
      </c>
      <c r="AG101" s="25">
        <v>3.15E-2</v>
      </c>
      <c r="AH101" s="25">
        <v>0.21709999999999999</v>
      </c>
      <c r="AI101" s="25">
        <v>96.47</v>
      </c>
      <c r="AJ101" s="25">
        <v>112.12</v>
      </c>
      <c r="AK101" s="25">
        <f>Table12[[#This Row],[OFF RTG]]-Table12[[#This Row],[DEF RTG]]</f>
        <v>-15.650000000000006</v>
      </c>
      <c r="AL101" s="24">
        <v>0.17272999999999999</v>
      </c>
      <c r="AM101">
        <v>-35</v>
      </c>
    </row>
    <row r="102" spans="1:39" x14ac:dyDescent="0.35">
      <c r="A102" t="s">
        <v>622</v>
      </c>
      <c r="B102" t="s">
        <v>623</v>
      </c>
      <c r="C102" t="s">
        <v>729</v>
      </c>
      <c r="D102" t="s">
        <v>239</v>
      </c>
      <c r="E102" t="s">
        <v>215</v>
      </c>
      <c r="F102">
        <v>1</v>
      </c>
      <c r="G102" t="s">
        <v>432</v>
      </c>
      <c r="H102" t="s">
        <v>168</v>
      </c>
      <c r="I102">
        <v>1</v>
      </c>
      <c r="J102" t="s">
        <v>146</v>
      </c>
      <c r="K102">
        <v>81</v>
      </c>
      <c r="L102">
        <v>10</v>
      </c>
      <c r="M102">
        <v>61</v>
      </c>
      <c r="N102" s="25">
        <v>0.4</v>
      </c>
      <c r="O102" s="25">
        <v>0.3</v>
      </c>
      <c r="P102" s="24">
        <v>3.603E-2</v>
      </c>
      <c r="Q102" s="24">
        <v>1.8579999999999999E-2</v>
      </c>
      <c r="R102" s="25">
        <v>0.5</v>
      </c>
      <c r="S102" s="25">
        <v>0.1</v>
      </c>
      <c r="T102" s="25">
        <v>0.3</v>
      </c>
      <c r="U102" s="24">
        <v>6.7309999999999995E-2</v>
      </c>
      <c r="V102" s="27">
        <v>0.2</v>
      </c>
      <c r="W102" s="27">
        <v>0.9</v>
      </c>
      <c r="X102" s="25">
        <v>0.4</v>
      </c>
      <c r="Y102" s="24">
        <v>0.25</v>
      </c>
      <c r="Z102" s="25">
        <v>0</v>
      </c>
      <c r="AA102" s="24">
        <v>0</v>
      </c>
      <c r="AB102" s="25">
        <v>0.4</v>
      </c>
      <c r="AC102" s="24">
        <v>0.5</v>
      </c>
      <c r="AD102" s="24">
        <v>0.25</v>
      </c>
      <c r="AE102" s="24">
        <v>0.34483000000000003</v>
      </c>
      <c r="AF102" s="25">
        <v>1.9300000000000001E-2</v>
      </c>
      <c r="AG102" s="25">
        <v>-4.41E-2</v>
      </c>
      <c r="AH102" s="25">
        <v>6.3399999999999998E-2</v>
      </c>
      <c r="AI102" s="25">
        <v>71.930000000000007</v>
      </c>
      <c r="AJ102" s="25">
        <v>110.7</v>
      </c>
      <c r="AK102" s="25">
        <f>Table12[[#This Row],[OFF RTG]]-Table12[[#This Row],[DEF RTG]]</f>
        <v>-38.769999999999996</v>
      </c>
      <c r="AL102" s="24">
        <v>6.5229999999999996E-2</v>
      </c>
      <c r="AM102">
        <v>-30</v>
      </c>
    </row>
    <row r="103" spans="1:39" x14ac:dyDescent="0.35">
      <c r="A103" t="s">
        <v>638</v>
      </c>
      <c r="B103" t="s">
        <v>639</v>
      </c>
      <c r="C103" t="s">
        <v>729</v>
      </c>
      <c r="D103" t="s">
        <v>143</v>
      </c>
      <c r="E103" t="s">
        <v>112</v>
      </c>
      <c r="F103">
        <v>1</v>
      </c>
      <c r="G103" t="s">
        <v>127</v>
      </c>
      <c r="H103" t="s">
        <v>112</v>
      </c>
      <c r="I103">
        <v>1</v>
      </c>
      <c r="J103" t="s">
        <v>146</v>
      </c>
      <c r="K103">
        <v>81</v>
      </c>
      <c r="L103" s="26">
        <v>31</v>
      </c>
      <c r="M103">
        <v>347</v>
      </c>
      <c r="N103" s="25">
        <v>2.2903199999999999</v>
      </c>
      <c r="O103" s="25">
        <v>2.2258100000000001</v>
      </c>
      <c r="P103" s="24">
        <v>3.9640000000000002E-2</v>
      </c>
      <c r="Q103" s="24">
        <v>0.19528000000000001</v>
      </c>
      <c r="R103" s="25">
        <v>0.4</v>
      </c>
      <c r="S103" s="25">
        <v>0.29032000000000002</v>
      </c>
      <c r="T103" s="25">
        <v>0.48387000000000002</v>
      </c>
      <c r="U103" s="24">
        <v>6.5339999999999995E-2</v>
      </c>
      <c r="V103" s="27">
        <v>0.64515999999999996</v>
      </c>
      <c r="W103" s="25">
        <v>2.25806</v>
      </c>
      <c r="X103" s="25">
        <v>2.6128999999999998</v>
      </c>
      <c r="Y103" s="24">
        <v>0.37036999999999998</v>
      </c>
      <c r="Z103" s="25">
        <v>6.4519999999999994E-2</v>
      </c>
      <c r="AA103" s="28">
        <v>0.5</v>
      </c>
      <c r="AB103" s="25">
        <v>0.41935</v>
      </c>
      <c r="AC103" s="24">
        <v>0.76922999999999997</v>
      </c>
      <c r="AD103" s="24">
        <v>0.37653999999999999</v>
      </c>
      <c r="AE103" s="24">
        <v>0.40945999999999999</v>
      </c>
      <c r="AF103" s="25">
        <v>-0.1535</v>
      </c>
      <c r="AG103" s="25">
        <v>-0.47349999999999998</v>
      </c>
      <c r="AH103" s="25">
        <v>0.31990000000000002</v>
      </c>
      <c r="AI103" s="25">
        <v>76.099999999999994</v>
      </c>
      <c r="AJ103" s="25">
        <v>111.87</v>
      </c>
      <c r="AK103" s="25">
        <f>Table12[[#This Row],[OFF RTG]]-Table12[[#This Row],[DEF RTG]]</f>
        <v>-35.77000000000001</v>
      </c>
      <c r="AL103" s="24">
        <v>0.15897</v>
      </c>
      <c r="AM103">
        <v>-182</v>
      </c>
    </row>
    <row r="104" spans="1:39" x14ac:dyDescent="0.35">
      <c r="A104" t="s">
        <v>441</v>
      </c>
      <c r="B104" t="s">
        <v>483</v>
      </c>
      <c r="C104" t="s">
        <v>729</v>
      </c>
      <c r="D104" t="s">
        <v>489</v>
      </c>
      <c r="E104" t="s">
        <v>357</v>
      </c>
      <c r="F104">
        <v>1</v>
      </c>
      <c r="G104" t="s">
        <v>432</v>
      </c>
      <c r="H104" t="s">
        <v>168</v>
      </c>
      <c r="I104">
        <v>1</v>
      </c>
      <c r="J104" t="s">
        <v>146</v>
      </c>
      <c r="K104">
        <v>80</v>
      </c>
      <c r="L104" s="26">
        <v>33</v>
      </c>
      <c r="M104">
        <v>893</v>
      </c>
      <c r="N104" s="27">
        <v>11.757580000000001</v>
      </c>
      <c r="O104" s="27">
        <v>5.4848499999999998</v>
      </c>
      <c r="P104" s="24">
        <v>6.386E-2</v>
      </c>
      <c r="Q104" s="24">
        <v>0.16119</v>
      </c>
      <c r="R104" s="25">
        <v>0.34483000000000003</v>
      </c>
      <c r="S104" s="25">
        <v>0.15151999999999999</v>
      </c>
      <c r="T104" s="25">
        <v>0.78788000000000002</v>
      </c>
      <c r="U104" s="24">
        <v>3.4250000000000003E-2</v>
      </c>
      <c r="V104" s="25">
        <v>1.7575799999999999</v>
      </c>
      <c r="W104" s="25">
        <v>2.3030300000000001</v>
      </c>
      <c r="X104" s="25">
        <v>8.7272700000000007</v>
      </c>
      <c r="Y104" s="28">
        <v>0.55556000000000005</v>
      </c>
      <c r="Z104" s="25">
        <v>0.51515</v>
      </c>
      <c r="AA104" s="28">
        <v>0.47059000000000001</v>
      </c>
      <c r="AB104" s="25">
        <v>2.7878799999999999</v>
      </c>
      <c r="AC104" s="24">
        <v>0.65217000000000003</v>
      </c>
      <c r="AD104" s="28">
        <v>0.56943999999999995</v>
      </c>
      <c r="AE104" s="28">
        <v>0.59055999999999997</v>
      </c>
      <c r="AF104" s="25">
        <v>2.2263000000000002</v>
      </c>
      <c r="AG104" s="25">
        <v>1.0327999999999999</v>
      </c>
      <c r="AH104" s="25">
        <v>1.1935</v>
      </c>
      <c r="AI104" s="25">
        <v>106.97</v>
      </c>
      <c r="AJ104" s="25">
        <v>107.35</v>
      </c>
      <c r="AK104" s="25">
        <f>Table12[[#This Row],[OFF RTG]]-Table12[[#This Row],[DEF RTG]]</f>
        <v>-0.37999999999999545</v>
      </c>
      <c r="AL104" s="24">
        <v>0.21873000000000001</v>
      </c>
      <c r="AM104">
        <v>-39</v>
      </c>
    </row>
    <row r="105" spans="1:39" x14ac:dyDescent="0.35">
      <c r="A105" t="s">
        <v>121</v>
      </c>
      <c r="B105" t="s">
        <v>675</v>
      </c>
      <c r="C105" t="s">
        <v>729</v>
      </c>
      <c r="D105" t="s">
        <v>424</v>
      </c>
      <c r="E105" t="s">
        <v>481</v>
      </c>
      <c r="F105">
        <v>2</v>
      </c>
      <c r="G105" t="s">
        <v>360</v>
      </c>
      <c r="H105" t="s">
        <v>357</v>
      </c>
      <c r="I105">
        <v>1</v>
      </c>
      <c r="J105" t="s">
        <v>145</v>
      </c>
      <c r="K105">
        <v>79</v>
      </c>
      <c r="L105">
        <v>15</v>
      </c>
      <c r="M105">
        <v>346</v>
      </c>
      <c r="N105" s="25">
        <v>9.4666700000000006</v>
      </c>
      <c r="O105" s="27">
        <v>5.9333299999999998</v>
      </c>
      <c r="P105" s="24">
        <v>0.1172</v>
      </c>
      <c r="Q105" s="24">
        <v>0.17949999999999999</v>
      </c>
      <c r="R105" s="25">
        <v>0.34211000000000003</v>
      </c>
      <c r="S105" s="27">
        <v>1.8666700000000001</v>
      </c>
      <c r="T105" s="25">
        <v>0.33333000000000002</v>
      </c>
      <c r="U105" s="24">
        <v>6.6669999999999993E-2</v>
      </c>
      <c r="V105" s="25">
        <v>2.5333299999999999</v>
      </c>
      <c r="W105" s="25">
        <v>2.3333300000000001</v>
      </c>
      <c r="X105" s="25">
        <v>9.3333300000000001</v>
      </c>
      <c r="Y105" s="24">
        <v>0.35</v>
      </c>
      <c r="Z105" s="25">
        <v>3.26667</v>
      </c>
      <c r="AA105" s="24">
        <v>0.22449</v>
      </c>
      <c r="AB105" s="25">
        <v>2.8666700000000001</v>
      </c>
      <c r="AC105" s="24">
        <v>0.76744000000000001</v>
      </c>
      <c r="AD105" s="24">
        <v>0.38929000000000002</v>
      </c>
      <c r="AE105" s="24">
        <v>0.44681999999999999</v>
      </c>
      <c r="AF105" s="25">
        <v>0.55889999999999995</v>
      </c>
      <c r="AG105" s="25">
        <v>-0.21049999999999999</v>
      </c>
      <c r="AH105" s="25">
        <v>0.76939999999999997</v>
      </c>
      <c r="AI105" s="25">
        <v>89.95</v>
      </c>
      <c r="AJ105" s="27">
        <v>97.73</v>
      </c>
      <c r="AK105" s="25">
        <f>Table12[[#This Row],[OFF RTG]]-Table12[[#This Row],[DEF RTG]]</f>
        <v>-7.7800000000000011</v>
      </c>
      <c r="AL105" s="24">
        <v>0.26135000000000003</v>
      </c>
      <c r="AM105">
        <v>-77</v>
      </c>
    </row>
    <row r="106" spans="1:39" x14ac:dyDescent="0.35">
      <c r="A106" t="s">
        <v>580</v>
      </c>
      <c r="B106" t="s">
        <v>581</v>
      </c>
      <c r="C106" t="s">
        <v>729</v>
      </c>
      <c r="D106" t="s">
        <v>450</v>
      </c>
      <c r="E106" t="s">
        <v>215</v>
      </c>
      <c r="F106">
        <v>1</v>
      </c>
      <c r="G106" t="s">
        <v>244</v>
      </c>
      <c r="H106" t="s">
        <v>215</v>
      </c>
      <c r="I106">
        <v>1</v>
      </c>
      <c r="J106" t="s">
        <v>146</v>
      </c>
      <c r="K106">
        <v>82</v>
      </c>
      <c r="L106">
        <v>16</v>
      </c>
      <c r="M106">
        <v>62</v>
      </c>
      <c r="N106" s="25">
        <v>0.4375</v>
      </c>
      <c r="O106" s="25">
        <v>0.4375</v>
      </c>
      <c r="P106" s="24">
        <v>3.9510000000000003E-2</v>
      </c>
      <c r="Q106" s="24">
        <v>9.5000000000000001E-2</v>
      </c>
      <c r="R106" s="25">
        <v>0.33333000000000002</v>
      </c>
      <c r="S106" s="25">
        <v>0.125</v>
      </c>
      <c r="T106" s="25">
        <v>0.4375</v>
      </c>
      <c r="U106" s="24">
        <v>0.14341999999999999</v>
      </c>
      <c r="V106" s="27">
        <v>0.1875</v>
      </c>
      <c r="W106" s="27">
        <v>1.125</v>
      </c>
      <c r="X106" s="25">
        <v>0.375</v>
      </c>
      <c r="Y106" s="28">
        <v>0.5</v>
      </c>
      <c r="Z106" s="25">
        <v>0</v>
      </c>
      <c r="AA106" s="24">
        <v>0</v>
      </c>
      <c r="AB106" s="25">
        <v>0.375</v>
      </c>
      <c r="AC106" s="24">
        <v>0.16667000000000001</v>
      </c>
      <c r="AD106" s="28">
        <v>0.5</v>
      </c>
      <c r="AE106" s="24">
        <v>0.40698000000000001</v>
      </c>
      <c r="AF106" s="25">
        <v>7.4000000000000003E-3</v>
      </c>
      <c r="AG106" s="25">
        <v>-7.3300000000000004E-2</v>
      </c>
      <c r="AH106" s="25">
        <v>8.0699999999999994E-2</v>
      </c>
      <c r="AI106" s="25">
        <v>70.88</v>
      </c>
      <c r="AJ106" s="25">
        <v>107.7</v>
      </c>
      <c r="AK106" s="25">
        <f>Table12[[#This Row],[OFF RTG]]-Table12[[#This Row],[DEF RTG]]</f>
        <v>-36.820000000000007</v>
      </c>
      <c r="AL106" s="24">
        <v>0.10102</v>
      </c>
      <c r="AM106" s="26">
        <v>6</v>
      </c>
    </row>
    <row r="107" spans="1:39" x14ac:dyDescent="0.35">
      <c r="A107" t="s">
        <v>713</v>
      </c>
      <c r="B107" t="s">
        <v>714</v>
      </c>
      <c r="C107" t="s">
        <v>729</v>
      </c>
      <c r="D107" t="s">
        <v>315</v>
      </c>
      <c r="E107" t="s">
        <v>305</v>
      </c>
      <c r="F107">
        <v>1</v>
      </c>
      <c r="G107" t="s">
        <v>331</v>
      </c>
      <c r="H107" t="s">
        <v>305</v>
      </c>
      <c r="I107">
        <v>1</v>
      </c>
      <c r="J107" t="s">
        <v>146</v>
      </c>
      <c r="K107">
        <v>82</v>
      </c>
      <c r="L107">
        <v>23</v>
      </c>
      <c r="M107">
        <v>210</v>
      </c>
      <c r="N107" s="25">
        <v>2.3913000000000002</v>
      </c>
      <c r="O107" s="25">
        <v>1.78261</v>
      </c>
      <c r="P107" s="24">
        <v>9.6970000000000001E-2</v>
      </c>
      <c r="Q107" s="24">
        <v>0.14707000000000001</v>
      </c>
      <c r="R107" s="25">
        <v>0.33333000000000002</v>
      </c>
      <c r="S107" s="25">
        <v>4.3479999999999998E-2</v>
      </c>
      <c r="T107" s="25">
        <v>0.26086999999999999</v>
      </c>
      <c r="U107" s="24">
        <v>3.6330000000000001E-2</v>
      </c>
      <c r="V107" s="27">
        <v>0.39129999999999998</v>
      </c>
      <c r="W107" s="27">
        <v>0.91303999999999996</v>
      </c>
      <c r="X107" s="25">
        <v>1.21739</v>
      </c>
      <c r="Y107" s="28">
        <v>0.53571000000000002</v>
      </c>
      <c r="Z107" s="25">
        <v>0</v>
      </c>
      <c r="AA107" s="24">
        <v>0</v>
      </c>
      <c r="AB107" s="25">
        <v>1.5652200000000001</v>
      </c>
      <c r="AC107" s="24">
        <v>0.69443999999999995</v>
      </c>
      <c r="AD107" s="28">
        <v>0.53571000000000002</v>
      </c>
      <c r="AE107" s="28">
        <v>0.62785000000000002</v>
      </c>
      <c r="AF107" s="25">
        <v>0.64170000000000005</v>
      </c>
      <c r="AG107" s="25">
        <v>0.3372</v>
      </c>
      <c r="AH107" s="25">
        <v>0.3044</v>
      </c>
      <c r="AI107" s="27">
        <v>118.99</v>
      </c>
      <c r="AJ107" s="25">
        <v>106.17</v>
      </c>
      <c r="AK107" s="27">
        <f>Table12[[#This Row],[OFF RTG]]-Table12[[#This Row],[DEF RTG]]</f>
        <v>12.819999999999993</v>
      </c>
      <c r="AL107" s="24">
        <v>0.13789999999999999</v>
      </c>
      <c r="AM107">
        <v>-44</v>
      </c>
    </row>
    <row r="108" spans="1:39" x14ac:dyDescent="0.35">
      <c r="A108" t="s">
        <v>679</v>
      </c>
      <c r="B108" t="s">
        <v>680</v>
      </c>
      <c r="C108" t="s">
        <v>729</v>
      </c>
      <c r="D108" t="s">
        <v>698</v>
      </c>
      <c r="E108" t="s">
        <v>460</v>
      </c>
      <c r="F108">
        <v>1</v>
      </c>
      <c r="G108" t="s">
        <v>362</v>
      </c>
      <c r="H108" t="s">
        <v>357</v>
      </c>
      <c r="I108">
        <v>1</v>
      </c>
      <c r="J108" t="s">
        <v>146</v>
      </c>
      <c r="K108">
        <v>80</v>
      </c>
      <c r="L108">
        <v>17</v>
      </c>
      <c r="M108">
        <v>231</v>
      </c>
      <c r="N108" s="25">
        <v>2.8823500000000002</v>
      </c>
      <c r="O108" s="25">
        <v>4.23529</v>
      </c>
      <c r="P108" s="24">
        <v>0.15204000000000001</v>
      </c>
      <c r="Q108" s="24">
        <v>0.21279000000000001</v>
      </c>
      <c r="R108" s="25">
        <v>0.21052999999999999</v>
      </c>
      <c r="S108" s="25">
        <v>0.52941000000000005</v>
      </c>
      <c r="T108" s="27">
        <v>1.0588200000000001</v>
      </c>
      <c r="U108" s="33">
        <v>0.12064999999999999</v>
      </c>
      <c r="V108" s="25">
        <v>1.11765</v>
      </c>
      <c r="W108" s="25">
        <v>1.7058800000000001</v>
      </c>
      <c r="X108" s="25">
        <v>1.9411799999999999</v>
      </c>
      <c r="Y108" s="28">
        <v>0.57576000000000005</v>
      </c>
      <c r="Z108" s="25">
        <v>0</v>
      </c>
      <c r="AA108" s="24">
        <v>0</v>
      </c>
      <c r="AB108" s="25">
        <v>0.88234999999999997</v>
      </c>
      <c r="AC108" s="24">
        <v>0.73333000000000004</v>
      </c>
      <c r="AD108" s="28">
        <v>0.57576000000000005</v>
      </c>
      <c r="AE108" s="28">
        <v>0.61868999999999996</v>
      </c>
      <c r="AF108" s="25">
        <v>0.63700000000000001</v>
      </c>
      <c r="AG108" s="25">
        <v>8.6199999999999999E-2</v>
      </c>
      <c r="AH108" s="25">
        <v>0.55089999999999995</v>
      </c>
      <c r="AI108" s="25">
        <v>100.33</v>
      </c>
      <c r="AJ108" s="27">
        <v>95.92</v>
      </c>
      <c r="AK108" s="27">
        <f>Table12[[#This Row],[OFF RTG]]-Table12[[#This Row],[DEF RTG]]</f>
        <v>4.4099999999999966</v>
      </c>
      <c r="AL108" s="24">
        <v>0.13281999999999999</v>
      </c>
      <c r="AM108">
        <v>-12</v>
      </c>
    </row>
    <row r="109" spans="1:39" x14ac:dyDescent="0.35">
      <c r="A109" t="s">
        <v>23</v>
      </c>
      <c r="B109" t="s">
        <v>576</v>
      </c>
      <c r="C109" t="s">
        <v>729</v>
      </c>
      <c r="D109" t="s">
        <v>592</v>
      </c>
      <c r="E109" t="s">
        <v>467</v>
      </c>
      <c r="F109">
        <v>1</v>
      </c>
      <c r="G109" t="s">
        <v>450</v>
      </c>
      <c r="H109" t="s">
        <v>215</v>
      </c>
      <c r="I109">
        <v>1</v>
      </c>
      <c r="J109" t="s">
        <v>146</v>
      </c>
      <c r="K109">
        <v>84</v>
      </c>
      <c r="L109" s="26">
        <v>25</v>
      </c>
      <c r="M109">
        <v>147</v>
      </c>
      <c r="N109" s="25">
        <v>1.76</v>
      </c>
      <c r="O109" s="25">
        <v>1.44</v>
      </c>
      <c r="P109" s="24">
        <v>0.11735</v>
      </c>
      <c r="Q109" s="24">
        <v>0.16172</v>
      </c>
      <c r="R109" s="25">
        <v>8.3330000000000001E-2</v>
      </c>
      <c r="S109" s="25">
        <v>0.04</v>
      </c>
      <c r="T109" s="25">
        <v>0.04</v>
      </c>
      <c r="U109" s="24">
        <v>1.133E-2</v>
      </c>
      <c r="V109" s="27">
        <v>0.48</v>
      </c>
      <c r="W109" s="27">
        <v>1.2</v>
      </c>
      <c r="X109" s="25">
        <v>1.4</v>
      </c>
      <c r="Y109" s="24">
        <v>0.48570999999999998</v>
      </c>
      <c r="Z109" s="25">
        <v>0</v>
      </c>
      <c r="AA109" s="24">
        <v>0</v>
      </c>
      <c r="AB109" s="25">
        <v>0.52</v>
      </c>
      <c r="AC109" s="24">
        <v>0.76922999999999997</v>
      </c>
      <c r="AD109" s="24">
        <v>0.48570999999999998</v>
      </c>
      <c r="AE109" s="28">
        <v>0.54054000000000002</v>
      </c>
      <c r="AF109" s="25">
        <v>0.1547</v>
      </c>
      <c r="AG109" s="25">
        <v>2.06E-2</v>
      </c>
      <c r="AH109" s="25">
        <v>0.1341</v>
      </c>
      <c r="AI109" s="25">
        <v>96.49</v>
      </c>
      <c r="AJ109" s="25">
        <v>112.06</v>
      </c>
      <c r="AK109" s="25">
        <f>Table12[[#This Row],[OFF RTG]]-Table12[[#This Row],[DEF RTG]]</f>
        <v>-15.570000000000007</v>
      </c>
      <c r="AL109" s="24">
        <v>0.18634999999999999</v>
      </c>
      <c r="AM109">
        <v>-31</v>
      </c>
    </row>
    <row r="110" spans="1:39" x14ac:dyDescent="0.35">
      <c r="A110" t="s">
        <v>121</v>
      </c>
      <c r="B110" t="s">
        <v>685</v>
      </c>
      <c r="C110" t="s">
        <v>729</v>
      </c>
      <c r="D110" t="s">
        <v>432</v>
      </c>
      <c r="E110" t="s">
        <v>168</v>
      </c>
      <c r="F110">
        <v>1</v>
      </c>
      <c r="G110" t="s">
        <v>395</v>
      </c>
      <c r="H110" t="s">
        <v>357</v>
      </c>
      <c r="I110">
        <v>1</v>
      </c>
      <c r="J110" t="s">
        <v>735</v>
      </c>
      <c r="K110">
        <v>81</v>
      </c>
      <c r="L110">
        <v>6</v>
      </c>
      <c r="M110">
        <v>22</v>
      </c>
      <c r="N110" s="25"/>
      <c r="O110" s="25"/>
      <c r="P110" s="24"/>
      <c r="Q110" s="24"/>
      <c r="R110" s="25"/>
      <c r="S110" s="25"/>
      <c r="T110" s="25"/>
      <c r="U110" s="24"/>
      <c r="V110" s="25"/>
      <c r="W110" s="25"/>
      <c r="X110" s="25"/>
      <c r="Y110" s="24"/>
      <c r="Z110" s="25"/>
      <c r="AA110" s="24"/>
      <c r="AB110" s="25"/>
      <c r="AC110" s="24"/>
      <c r="AD110" s="24"/>
      <c r="AE110" s="24"/>
      <c r="AF110" s="25"/>
      <c r="AG110" s="25"/>
      <c r="AH110" s="25"/>
      <c r="AI110" s="25"/>
      <c r="AJ110" s="25"/>
      <c r="AK110" s="25">
        <f>Table12[[#This Row],[OFF RTG]]-Table12[[#This Row],[DEF RTG]]</f>
        <v>0</v>
      </c>
      <c r="AL110" s="24"/>
    </row>
    <row r="111" spans="1:39" x14ac:dyDescent="0.35">
      <c r="A111" t="s">
        <v>106</v>
      </c>
      <c r="B111" t="s">
        <v>624</v>
      </c>
      <c r="C111" t="s">
        <v>729</v>
      </c>
      <c r="D111" t="s">
        <v>635</v>
      </c>
      <c r="E111" t="s">
        <v>477</v>
      </c>
      <c r="F111">
        <v>2</v>
      </c>
      <c r="G111" t="s">
        <v>171</v>
      </c>
      <c r="H111" t="s">
        <v>168</v>
      </c>
      <c r="I111">
        <v>1</v>
      </c>
      <c r="J111" t="s">
        <v>145</v>
      </c>
      <c r="K111">
        <v>80</v>
      </c>
      <c r="L111">
        <v>2</v>
      </c>
      <c r="M111">
        <v>5</v>
      </c>
      <c r="N111" s="25"/>
      <c r="O111" s="25"/>
      <c r="P111" s="24"/>
      <c r="Q111" s="24"/>
      <c r="R111" s="25"/>
      <c r="S111" s="25"/>
      <c r="T111" s="25"/>
      <c r="U111" s="24"/>
      <c r="V111" s="25"/>
      <c r="W111" s="25"/>
      <c r="X111" s="25"/>
      <c r="Y111" s="24"/>
      <c r="Z111" s="25"/>
      <c r="AA111" s="24"/>
      <c r="AB111" s="25"/>
      <c r="AC111" s="24"/>
      <c r="AD111" s="24"/>
      <c r="AE111" s="24"/>
      <c r="AF111" s="25"/>
      <c r="AG111" s="25"/>
      <c r="AH111" s="25"/>
      <c r="AI111" s="25"/>
      <c r="AJ111" s="25"/>
      <c r="AK111" s="25">
        <f>Table12[[#This Row],[OFF RTG]]-Table12[[#This Row],[DEF RTG]]</f>
        <v>0</v>
      </c>
      <c r="AL111" s="24"/>
    </row>
    <row r="112" spans="1:39" x14ac:dyDescent="0.35">
      <c r="A112" t="s">
        <v>687</v>
      </c>
      <c r="B112" t="s">
        <v>688</v>
      </c>
      <c r="C112" t="s">
        <v>729</v>
      </c>
      <c r="D112" t="s">
        <v>422</v>
      </c>
      <c r="E112" t="s">
        <v>458</v>
      </c>
      <c r="F112">
        <v>1</v>
      </c>
      <c r="G112" t="s">
        <v>489</v>
      </c>
      <c r="H112" t="s">
        <v>357</v>
      </c>
      <c r="I112">
        <v>1</v>
      </c>
      <c r="J112" t="s">
        <v>735</v>
      </c>
      <c r="K112">
        <v>85</v>
      </c>
      <c r="L112">
        <v>1</v>
      </c>
      <c r="M112">
        <v>3</v>
      </c>
      <c r="N112" s="25"/>
      <c r="O112" s="25"/>
      <c r="P112" s="24"/>
      <c r="Q112" s="24"/>
      <c r="R112" s="25"/>
      <c r="S112" s="25"/>
      <c r="T112" s="25"/>
      <c r="U112" s="24"/>
      <c r="V112" s="25"/>
      <c r="W112" s="25"/>
      <c r="X112" s="25"/>
      <c r="Y112" s="24"/>
      <c r="Z112" s="25"/>
      <c r="AA112" s="24"/>
      <c r="AB112" s="25"/>
      <c r="AC112" s="24"/>
      <c r="AD112" s="24"/>
      <c r="AE112" s="24"/>
      <c r="AF112" s="25"/>
      <c r="AG112" s="25"/>
      <c r="AH112" s="25"/>
      <c r="AI112" s="25"/>
      <c r="AJ112" s="25"/>
      <c r="AK112" s="25">
        <f>Table12[[#This Row],[OFF RTG]]-Table12[[#This Row],[DEF RTG]]</f>
        <v>0</v>
      </c>
      <c r="AL112" s="24"/>
    </row>
    <row r="113" spans="1:39" x14ac:dyDescent="0.35">
      <c r="A113" t="s">
        <v>674</v>
      </c>
      <c r="B113" t="s">
        <v>317</v>
      </c>
      <c r="C113" t="s">
        <v>406</v>
      </c>
      <c r="D113" t="s">
        <v>494</v>
      </c>
      <c r="E113" t="s">
        <v>462</v>
      </c>
      <c r="F113">
        <v>1</v>
      </c>
      <c r="G113" t="s">
        <v>364</v>
      </c>
      <c r="H113" t="s">
        <v>357</v>
      </c>
      <c r="I113">
        <v>1</v>
      </c>
      <c r="J113" t="s">
        <v>146</v>
      </c>
      <c r="K113">
        <v>83</v>
      </c>
      <c r="L113">
        <v>23</v>
      </c>
      <c r="M113">
        <v>374</v>
      </c>
      <c r="N113" s="25">
        <v>5.6086999999999998</v>
      </c>
      <c r="O113" s="25">
        <v>3</v>
      </c>
      <c r="P113" s="24">
        <v>0.1106</v>
      </c>
      <c r="Q113" s="24">
        <v>0.12182999999999999</v>
      </c>
      <c r="R113" s="25">
        <v>1</v>
      </c>
      <c r="S113" s="25">
        <v>0.52173999999999998</v>
      </c>
      <c r="T113" s="27">
        <v>1.5652200000000001</v>
      </c>
      <c r="U113" s="24">
        <v>0.12528</v>
      </c>
      <c r="V113" s="27">
        <v>0.95652000000000004</v>
      </c>
      <c r="W113" s="25">
        <v>2.6086999999999998</v>
      </c>
      <c r="X113" s="25">
        <v>3.6521699999999999</v>
      </c>
      <c r="Y113" s="28">
        <v>0.61904999999999999</v>
      </c>
      <c r="Z113" s="25">
        <v>0</v>
      </c>
      <c r="AA113" s="24">
        <v>0</v>
      </c>
      <c r="AB113" s="25">
        <v>1.3478300000000001</v>
      </c>
      <c r="AC113" s="28">
        <v>0.80645</v>
      </c>
      <c r="AD113" s="28">
        <v>0.61904999999999999</v>
      </c>
      <c r="AE113" s="28">
        <v>0.66086</v>
      </c>
      <c r="AF113" s="25">
        <v>1.4786999999999999</v>
      </c>
      <c r="AG113" s="25">
        <v>0.87009999999999998</v>
      </c>
      <c r="AH113" s="25">
        <v>0.60850000000000004</v>
      </c>
      <c r="AI113" s="27">
        <v>123.37</v>
      </c>
      <c r="AJ113" s="27">
        <v>104.08</v>
      </c>
      <c r="AK113" s="27">
        <f>Table12[[#This Row],[OFF RTG]]-Table12[[#This Row],[DEF RTG]]</f>
        <v>19.290000000000006</v>
      </c>
      <c r="AL113" s="24">
        <v>0.16469</v>
      </c>
      <c r="AM113">
        <v>-19</v>
      </c>
    </row>
    <row r="114" spans="1:39" x14ac:dyDescent="0.35">
      <c r="A114" t="s">
        <v>548</v>
      </c>
      <c r="B114" t="s">
        <v>549</v>
      </c>
      <c r="C114" t="s">
        <v>406</v>
      </c>
      <c r="D114" t="s">
        <v>553</v>
      </c>
      <c r="E114" t="s">
        <v>475</v>
      </c>
      <c r="F114">
        <v>1</v>
      </c>
      <c r="G114" t="s">
        <v>213</v>
      </c>
      <c r="H114" t="s">
        <v>196</v>
      </c>
      <c r="I114">
        <v>1</v>
      </c>
      <c r="J114" t="s">
        <v>145</v>
      </c>
      <c r="K114">
        <v>80</v>
      </c>
      <c r="L114" s="26">
        <v>26</v>
      </c>
      <c r="M114">
        <v>887</v>
      </c>
      <c r="N114" s="27">
        <v>15.65385</v>
      </c>
      <c r="O114" s="27">
        <v>5.7307699999999997</v>
      </c>
      <c r="P114" s="24">
        <v>4.7509999999999997E-2</v>
      </c>
      <c r="Q114" s="24">
        <v>0.15246000000000001</v>
      </c>
      <c r="R114" s="25">
        <v>0.93023</v>
      </c>
      <c r="S114" s="27">
        <v>1.0769200000000001</v>
      </c>
      <c r="T114" s="25">
        <v>7.6920000000000002E-2</v>
      </c>
      <c r="U114" s="33">
        <v>2.0799999999999999E-2</v>
      </c>
      <c r="V114" s="25">
        <v>1.65385</v>
      </c>
      <c r="W114" s="27">
        <v>1.34615</v>
      </c>
      <c r="X114" s="25">
        <v>12.88462</v>
      </c>
      <c r="Y114" s="28">
        <v>0.51044999999999996</v>
      </c>
      <c r="Z114" s="25">
        <v>1.0384599999999999</v>
      </c>
      <c r="AA114" s="24">
        <v>0.33333000000000002</v>
      </c>
      <c r="AB114" s="25">
        <v>2.80769</v>
      </c>
      <c r="AC114" s="24">
        <v>0.76712000000000002</v>
      </c>
      <c r="AD114" s="28">
        <v>0.52388000000000001</v>
      </c>
      <c r="AE114" s="28">
        <v>0.55434000000000005</v>
      </c>
      <c r="AF114" s="25">
        <v>2.3502000000000001</v>
      </c>
      <c r="AG114" s="25">
        <v>1.5515000000000001</v>
      </c>
      <c r="AH114" s="25">
        <v>0.79869999999999997</v>
      </c>
      <c r="AI114" s="27">
        <v>112.88</v>
      </c>
      <c r="AJ114" s="25">
        <v>112.14</v>
      </c>
      <c r="AK114" s="25">
        <f>Table12[[#This Row],[OFF RTG]]-Table12[[#This Row],[DEF RTG]]</f>
        <v>0.73999999999999488</v>
      </c>
      <c r="AL114" s="24">
        <v>0.22334999999999999</v>
      </c>
      <c r="AM114">
        <v>-48</v>
      </c>
    </row>
    <row r="115" spans="1:39" x14ac:dyDescent="0.35">
      <c r="A115" t="s">
        <v>641</v>
      </c>
      <c r="B115" t="s">
        <v>642</v>
      </c>
      <c r="C115" t="s">
        <v>406</v>
      </c>
      <c r="D115" t="s">
        <v>489</v>
      </c>
      <c r="E115" t="s">
        <v>357</v>
      </c>
      <c r="F115">
        <v>1</v>
      </c>
      <c r="G115" t="s">
        <v>143</v>
      </c>
      <c r="H115" t="s">
        <v>112</v>
      </c>
      <c r="I115">
        <v>1</v>
      </c>
      <c r="J115" t="s">
        <v>146</v>
      </c>
      <c r="K115">
        <v>81</v>
      </c>
      <c r="L115">
        <v>24</v>
      </c>
      <c r="M115">
        <v>178</v>
      </c>
      <c r="N115" s="25">
        <v>2.25</v>
      </c>
      <c r="O115" s="25">
        <v>0.91666999999999998</v>
      </c>
      <c r="P115" s="24">
        <v>5.2900000000000003E-2</v>
      </c>
      <c r="Q115" s="24">
        <v>9.8799999999999999E-2</v>
      </c>
      <c r="R115" s="25">
        <v>0.88888999999999996</v>
      </c>
      <c r="S115" s="25">
        <v>8.3330000000000001E-2</v>
      </c>
      <c r="T115" s="25">
        <v>0.20832999999999999</v>
      </c>
      <c r="U115" s="33">
        <v>4.4839999999999998E-2</v>
      </c>
      <c r="V115" s="27">
        <v>0.375</v>
      </c>
      <c r="W115" s="27">
        <v>0.875</v>
      </c>
      <c r="X115" s="25">
        <v>1.8333299999999999</v>
      </c>
      <c r="Y115" s="28">
        <v>0.54544999999999999</v>
      </c>
      <c r="Z115" s="25">
        <v>0.5</v>
      </c>
      <c r="AA115" s="28">
        <v>0.41666999999999998</v>
      </c>
      <c r="AB115" s="25">
        <v>8.3330000000000001E-2</v>
      </c>
      <c r="AC115" s="24">
        <v>0.5</v>
      </c>
      <c r="AD115" s="28">
        <v>0.60226999999999997</v>
      </c>
      <c r="AE115" s="28">
        <v>0.60133999999999999</v>
      </c>
      <c r="AF115" s="25">
        <v>0.46279999999999999</v>
      </c>
      <c r="AG115" s="25">
        <v>0.21410000000000001</v>
      </c>
      <c r="AH115" s="25">
        <v>0.24859999999999999</v>
      </c>
      <c r="AI115" s="27">
        <v>111.36</v>
      </c>
      <c r="AJ115" s="25">
        <v>106.67</v>
      </c>
      <c r="AK115" s="27">
        <f>Table12[[#This Row],[OFF RTG]]-Table12[[#This Row],[DEF RTG]]</f>
        <v>4.6899999999999977</v>
      </c>
      <c r="AL115" s="24">
        <v>0.16114999999999999</v>
      </c>
      <c r="AM115">
        <v>-85</v>
      </c>
    </row>
    <row r="116" spans="1:39" x14ac:dyDescent="0.35">
      <c r="A116" t="s">
        <v>502</v>
      </c>
      <c r="B116" t="s">
        <v>503</v>
      </c>
      <c r="C116" t="s">
        <v>406</v>
      </c>
      <c r="D116" t="s">
        <v>455</v>
      </c>
      <c r="E116" t="s">
        <v>464</v>
      </c>
      <c r="F116">
        <v>1</v>
      </c>
      <c r="G116" t="s">
        <v>125</v>
      </c>
      <c r="H116" t="s">
        <v>112</v>
      </c>
      <c r="I116">
        <v>1</v>
      </c>
      <c r="J116" t="s">
        <v>146</v>
      </c>
      <c r="K116">
        <v>80</v>
      </c>
      <c r="L116" s="26">
        <v>28</v>
      </c>
      <c r="M116">
        <v>800</v>
      </c>
      <c r="N116" s="27">
        <v>10.142860000000001</v>
      </c>
      <c r="O116" s="27">
        <v>6.4285699999999997</v>
      </c>
      <c r="P116" s="24">
        <v>0.10233</v>
      </c>
      <c r="Q116" s="24">
        <v>0.16578999999999999</v>
      </c>
      <c r="R116" s="25">
        <v>0.82608999999999999</v>
      </c>
      <c r="S116" s="25">
        <v>0.82142999999999999</v>
      </c>
      <c r="T116" s="25">
        <v>0.64285999999999999</v>
      </c>
      <c r="U116" s="24">
        <v>4.4179999999999997E-2</v>
      </c>
      <c r="V116" s="25">
        <v>1.64286</v>
      </c>
      <c r="W116" s="25">
        <v>3.0714299999999999</v>
      </c>
      <c r="X116" s="25">
        <v>7.1785699999999997</v>
      </c>
      <c r="Y116" s="28">
        <v>0.56218999999999997</v>
      </c>
      <c r="Z116" s="25">
        <v>0.10714</v>
      </c>
      <c r="AA116" s="24">
        <v>0</v>
      </c>
      <c r="AB116" s="25">
        <v>3.2857099999999999</v>
      </c>
      <c r="AC116" s="24">
        <v>0.63043000000000005</v>
      </c>
      <c r="AD116" s="28">
        <v>0.56218999999999997</v>
      </c>
      <c r="AE116" s="28">
        <v>0.58799000000000001</v>
      </c>
      <c r="AF116" s="25">
        <v>2.3069999999999999</v>
      </c>
      <c r="AG116" s="25">
        <v>1.2798</v>
      </c>
      <c r="AH116" s="25">
        <v>1.0271999999999999</v>
      </c>
      <c r="AI116" s="27">
        <v>112.43</v>
      </c>
      <c r="AJ116" s="25">
        <v>107.96</v>
      </c>
      <c r="AK116" s="27">
        <f>Table12[[#This Row],[OFF RTG]]-Table12[[#This Row],[DEF RTG]]</f>
        <v>4.4700000000000131</v>
      </c>
      <c r="AL116" s="24">
        <v>0.19411999999999999</v>
      </c>
      <c r="AM116">
        <v>-34</v>
      </c>
    </row>
    <row r="117" spans="1:39" x14ac:dyDescent="0.35">
      <c r="A117" t="s">
        <v>258</v>
      </c>
      <c r="B117" t="s">
        <v>640</v>
      </c>
      <c r="C117" t="s">
        <v>406</v>
      </c>
      <c r="D117" t="s">
        <v>364</v>
      </c>
      <c r="E117" t="s">
        <v>357</v>
      </c>
      <c r="F117">
        <v>1</v>
      </c>
      <c r="G117" t="s">
        <v>130</v>
      </c>
      <c r="H117" t="s">
        <v>112</v>
      </c>
      <c r="I117">
        <v>1</v>
      </c>
      <c r="J117" t="s">
        <v>146</v>
      </c>
      <c r="K117">
        <v>81</v>
      </c>
      <c r="L117" s="26">
        <v>26</v>
      </c>
      <c r="M117">
        <v>251</v>
      </c>
      <c r="N117" s="25">
        <v>2.88462</v>
      </c>
      <c r="O117" s="25">
        <v>2.5384600000000002</v>
      </c>
      <c r="P117" s="24">
        <v>0.11033</v>
      </c>
      <c r="Q117" s="24">
        <v>0.19585</v>
      </c>
      <c r="R117" s="25">
        <v>0.8</v>
      </c>
      <c r="S117" s="25">
        <v>0.23077</v>
      </c>
      <c r="T117" s="25">
        <v>0.73077000000000003</v>
      </c>
      <c r="U117" s="24">
        <v>0.10152</v>
      </c>
      <c r="V117" s="27">
        <v>0.57691999999999999</v>
      </c>
      <c r="W117" s="27">
        <v>0.84614999999999996</v>
      </c>
      <c r="X117" s="25">
        <v>2.1538499999999998</v>
      </c>
      <c r="Y117" s="28">
        <v>0.60714000000000001</v>
      </c>
      <c r="Z117" s="25">
        <v>0</v>
      </c>
      <c r="AA117" s="24">
        <v>0</v>
      </c>
      <c r="AB117" s="25">
        <v>0.69230999999999998</v>
      </c>
      <c r="AC117" s="24">
        <v>0.38889000000000001</v>
      </c>
      <c r="AD117" s="28">
        <v>0.60714000000000001</v>
      </c>
      <c r="AE117" s="28">
        <v>0.58684999999999998</v>
      </c>
      <c r="AF117" s="25">
        <v>0.96989999999999998</v>
      </c>
      <c r="AG117" s="25">
        <v>0.2823</v>
      </c>
      <c r="AH117" s="25">
        <v>0.68759999999999999</v>
      </c>
      <c r="AI117" s="25">
        <v>108.64</v>
      </c>
      <c r="AJ117" s="27">
        <v>92.14</v>
      </c>
      <c r="AK117" s="27">
        <f>Table12[[#This Row],[OFF RTG]]-Table12[[#This Row],[DEF RTG]]</f>
        <v>16.5</v>
      </c>
      <c r="AL117" s="24">
        <v>0.16991000000000001</v>
      </c>
      <c r="AM117">
        <v>-31</v>
      </c>
    </row>
    <row r="118" spans="1:39" x14ac:dyDescent="0.35">
      <c r="A118" t="s">
        <v>221</v>
      </c>
      <c r="B118" t="s">
        <v>142</v>
      </c>
      <c r="C118" t="s">
        <v>406</v>
      </c>
      <c r="D118" t="s">
        <v>517</v>
      </c>
      <c r="E118" t="s">
        <v>469</v>
      </c>
      <c r="F118">
        <v>1</v>
      </c>
      <c r="G118" t="s">
        <v>220</v>
      </c>
      <c r="H118" t="s">
        <v>215</v>
      </c>
      <c r="I118">
        <v>1</v>
      </c>
      <c r="J118" t="s">
        <v>146</v>
      </c>
      <c r="K118">
        <v>82</v>
      </c>
      <c r="L118">
        <v>23</v>
      </c>
      <c r="M118">
        <v>340</v>
      </c>
      <c r="N118" s="25">
        <v>5.9130399999999996</v>
      </c>
      <c r="O118" s="25">
        <v>3.3478300000000001</v>
      </c>
      <c r="P118" s="24">
        <v>9.6350000000000005E-2</v>
      </c>
      <c r="Q118" s="24">
        <v>0.15643000000000001</v>
      </c>
      <c r="R118" s="25">
        <v>0.73912999999999995</v>
      </c>
      <c r="S118" s="25">
        <v>0.17391000000000001</v>
      </c>
      <c r="T118" s="27">
        <v>1</v>
      </c>
      <c r="U118" s="24">
        <v>8.1759999999999999E-2</v>
      </c>
      <c r="V118" s="27">
        <v>1</v>
      </c>
      <c r="W118" s="25">
        <v>2.5217399999999999</v>
      </c>
      <c r="X118" s="25">
        <v>4.5217400000000003</v>
      </c>
      <c r="Y118" s="28">
        <v>0.54808000000000001</v>
      </c>
      <c r="Z118" s="25">
        <v>0.30435000000000001</v>
      </c>
      <c r="AA118" s="24">
        <v>0.14285999999999999</v>
      </c>
      <c r="AB118" s="25">
        <v>1.4782599999999999</v>
      </c>
      <c r="AC118" s="24">
        <v>0.61765000000000003</v>
      </c>
      <c r="AD118" s="28">
        <v>0.55288000000000004</v>
      </c>
      <c r="AE118" s="28">
        <v>0.57142999999999999</v>
      </c>
      <c r="AF118" s="25">
        <v>1.0915999999999999</v>
      </c>
      <c r="AG118" s="25">
        <v>0.44690000000000002</v>
      </c>
      <c r="AH118" s="25">
        <v>0.64470000000000005</v>
      </c>
      <c r="AI118" s="25">
        <v>108.17</v>
      </c>
      <c r="AJ118" s="27">
        <v>101.19</v>
      </c>
      <c r="AK118" s="27">
        <f>Table12[[#This Row],[OFF RTG]]-Table12[[#This Row],[DEF RTG]]</f>
        <v>6.980000000000004</v>
      </c>
      <c r="AL118" s="24">
        <v>0.21944</v>
      </c>
      <c r="AM118" s="26">
        <v>37</v>
      </c>
    </row>
    <row r="119" spans="1:39" x14ac:dyDescent="0.35">
      <c r="A119" t="s">
        <v>614</v>
      </c>
      <c r="B119" t="s">
        <v>712</v>
      </c>
      <c r="C119" t="s">
        <v>406</v>
      </c>
      <c r="D119" t="s">
        <v>360</v>
      </c>
      <c r="E119" t="s">
        <v>357</v>
      </c>
      <c r="F119">
        <v>1</v>
      </c>
      <c r="G119" t="s">
        <v>315</v>
      </c>
      <c r="H119" t="s">
        <v>305</v>
      </c>
      <c r="I119">
        <v>1</v>
      </c>
      <c r="J119" t="s">
        <v>146</v>
      </c>
      <c r="K119">
        <v>80</v>
      </c>
      <c r="L119" s="26">
        <v>29</v>
      </c>
      <c r="M119">
        <v>338</v>
      </c>
      <c r="N119" s="25">
        <v>2.1379299999999999</v>
      </c>
      <c r="O119" s="25">
        <v>1</v>
      </c>
      <c r="P119" s="24">
        <v>6.3800000000000003E-3</v>
      </c>
      <c r="Q119" s="24">
        <v>9.4640000000000002E-2</v>
      </c>
      <c r="R119" s="25">
        <v>0.72726999999999997</v>
      </c>
      <c r="S119" s="25">
        <v>0.27585999999999999</v>
      </c>
      <c r="T119" s="25">
        <v>0.10345</v>
      </c>
      <c r="U119" s="24">
        <v>2.4230000000000002E-2</v>
      </c>
      <c r="V119" s="27">
        <v>0.37930999999999998</v>
      </c>
      <c r="W119" s="27">
        <v>0.96552000000000004</v>
      </c>
      <c r="X119" s="25">
        <v>1.93103</v>
      </c>
      <c r="Y119" s="24">
        <v>0.35714000000000001</v>
      </c>
      <c r="Z119" s="25">
        <v>1.65517</v>
      </c>
      <c r="AA119" s="24">
        <v>0.33333000000000002</v>
      </c>
      <c r="AB119" s="25">
        <v>0.31034</v>
      </c>
      <c r="AC119" s="24">
        <v>0.66666999999999998</v>
      </c>
      <c r="AD119" s="28">
        <v>0.5</v>
      </c>
      <c r="AE119" s="24">
        <v>0.51666999999999996</v>
      </c>
      <c r="AF119" s="25">
        <v>0.1875</v>
      </c>
      <c r="AG119" s="25">
        <v>1.6299999999999999E-2</v>
      </c>
      <c r="AH119" s="25">
        <v>0.17119999999999999</v>
      </c>
      <c r="AI119" s="25">
        <v>95.92</v>
      </c>
      <c r="AJ119" s="25">
        <v>116.47</v>
      </c>
      <c r="AK119" s="25">
        <f>Table12[[#This Row],[OFF RTG]]-Table12[[#This Row],[DEF RTG]]</f>
        <v>-20.549999999999997</v>
      </c>
      <c r="AL119" s="24">
        <v>0.10785</v>
      </c>
      <c r="AM119">
        <v>-142</v>
      </c>
    </row>
    <row r="120" spans="1:39" x14ac:dyDescent="0.35">
      <c r="A120" t="s">
        <v>514</v>
      </c>
      <c r="B120" t="s">
        <v>498</v>
      </c>
      <c r="C120" t="s">
        <v>406</v>
      </c>
      <c r="D120" t="s">
        <v>520</v>
      </c>
      <c r="E120" t="s">
        <v>521</v>
      </c>
      <c r="F120">
        <v>1</v>
      </c>
      <c r="G120" t="s">
        <v>188</v>
      </c>
      <c r="H120" t="s">
        <v>168</v>
      </c>
      <c r="I120">
        <v>1</v>
      </c>
      <c r="J120" t="s">
        <v>146</v>
      </c>
      <c r="K120">
        <v>79</v>
      </c>
      <c r="L120" s="26">
        <v>30</v>
      </c>
      <c r="M120">
        <v>796</v>
      </c>
      <c r="N120" s="25">
        <v>9.7666699999999995</v>
      </c>
      <c r="O120" s="27">
        <v>5</v>
      </c>
      <c r="P120" s="24">
        <v>7.5800000000000006E-2</v>
      </c>
      <c r="Q120" s="24">
        <v>0.15579000000000001</v>
      </c>
      <c r="R120" s="25">
        <v>0.61194000000000004</v>
      </c>
      <c r="S120" s="27">
        <v>1.1333299999999999</v>
      </c>
      <c r="T120" s="27">
        <v>1.1666700000000001</v>
      </c>
      <c r="U120" s="24">
        <v>6.923E-2</v>
      </c>
      <c r="V120" s="25">
        <v>2.23333</v>
      </c>
      <c r="W120" s="25">
        <v>3.3333300000000001</v>
      </c>
      <c r="X120" s="25">
        <v>8.9</v>
      </c>
      <c r="Y120" s="24">
        <v>0.40823999999999999</v>
      </c>
      <c r="Z120" s="25">
        <v>2.0333299999999999</v>
      </c>
      <c r="AA120" s="24">
        <v>0.27868999999999999</v>
      </c>
      <c r="AB120" s="25">
        <v>3.1666699999999999</v>
      </c>
      <c r="AC120" s="24">
        <v>0.61053000000000002</v>
      </c>
      <c r="AD120" s="24">
        <v>0.44007000000000002</v>
      </c>
      <c r="AE120" s="24">
        <v>0.47442000000000001</v>
      </c>
      <c r="AF120" s="25">
        <v>0.17799999999999999</v>
      </c>
      <c r="AG120" s="25">
        <v>-0.3977</v>
      </c>
      <c r="AH120" s="25">
        <v>0.57569999999999999</v>
      </c>
      <c r="AI120" s="25">
        <v>90.34</v>
      </c>
      <c r="AJ120" s="25">
        <v>114.11</v>
      </c>
      <c r="AK120" s="25">
        <f>Table12[[#This Row],[OFF RTG]]-Table12[[#This Row],[DEF RTG]]</f>
        <v>-23.769999999999996</v>
      </c>
      <c r="AL120" s="24">
        <v>0.23746</v>
      </c>
      <c r="AM120">
        <v>-281</v>
      </c>
    </row>
    <row r="121" spans="1:39" x14ac:dyDescent="0.35">
      <c r="A121" t="s">
        <v>484</v>
      </c>
      <c r="B121" t="s">
        <v>611</v>
      </c>
      <c r="C121" t="s">
        <v>406</v>
      </c>
      <c r="D121" t="s">
        <v>626</v>
      </c>
      <c r="E121" t="s">
        <v>459</v>
      </c>
      <c r="F121">
        <v>1</v>
      </c>
      <c r="G121" t="s">
        <v>186</v>
      </c>
      <c r="H121" t="s">
        <v>168</v>
      </c>
      <c r="I121">
        <v>1</v>
      </c>
      <c r="J121" t="s">
        <v>145</v>
      </c>
      <c r="K121">
        <v>79</v>
      </c>
      <c r="L121" s="26">
        <v>28</v>
      </c>
      <c r="M121">
        <v>379</v>
      </c>
      <c r="N121" s="25">
        <v>3.8214299999999999</v>
      </c>
      <c r="O121" s="25">
        <v>1.7142900000000001</v>
      </c>
      <c r="P121" s="24">
        <v>3.8550000000000001E-2</v>
      </c>
      <c r="Q121" s="24">
        <v>0.11204</v>
      </c>
      <c r="R121" s="25">
        <v>0.54544999999999999</v>
      </c>
      <c r="S121" s="25">
        <v>0.21429000000000001</v>
      </c>
      <c r="T121" s="25">
        <v>0.10714</v>
      </c>
      <c r="U121" s="24">
        <v>1.8610000000000002E-2</v>
      </c>
      <c r="V121" s="27">
        <v>0.39285999999999999</v>
      </c>
      <c r="W121" s="25">
        <v>1.60714</v>
      </c>
      <c r="X121" s="25">
        <v>4.0357099999999999</v>
      </c>
      <c r="Y121" s="24">
        <v>0.34512999999999999</v>
      </c>
      <c r="Z121" s="25">
        <v>2.7142900000000001</v>
      </c>
      <c r="AA121" s="24">
        <v>0.23683999999999999</v>
      </c>
      <c r="AB121" s="25">
        <v>0.5</v>
      </c>
      <c r="AC121" s="24">
        <v>0.78571000000000002</v>
      </c>
      <c r="AD121" s="24">
        <v>0.42477999999999999</v>
      </c>
      <c r="AE121" s="24">
        <v>0.44883000000000001</v>
      </c>
      <c r="AF121" s="25">
        <v>0.36980000000000002</v>
      </c>
      <c r="AG121" s="25">
        <v>-5.8099999999999999E-2</v>
      </c>
      <c r="AH121" s="25">
        <v>0.42780000000000001</v>
      </c>
      <c r="AI121" s="25">
        <v>92.95</v>
      </c>
      <c r="AJ121" s="25">
        <v>109.66</v>
      </c>
      <c r="AK121" s="25">
        <f>Table12[[#This Row],[OFF RTG]]-Table12[[#This Row],[DEF RTG]]</f>
        <v>-16.709999999999994</v>
      </c>
      <c r="AL121" s="24">
        <v>0.18564</v>
      </c>
      <c r="AM121">
        <v>-66</v>
      </c>
    </row>
    <row r="122" spans="1:39" x14ac:dyDescent="0.35">
      <c r="A122" t="s">
        <v>428</v>
      </c>
      <c r="B122" t="s">
        <v>550</v>
      </c>
      <c r="C122" t="s">
        <v>406</v>
      </c>
      <c r="D122" t="s">
        <v>457</v>
      </c>
      <c r="E122" t="s">
        <v>461</v>
      </c>
      <c r="F122">
        <v>1</v>
      </c>
      <c r="G122" t="s">
        <v>214</v>
      </c>
      <c r="H122" t="s">
        <v>196</v>
      </c>
      <c r="I122">
        <v>1</v>
      </c>
      <c r="J122" t="s">
        <v>146</v>
      </c>
      <c r="K122">
        <v>79</v>
      </c>
      <c r="L122" s="26">
        <v>25</v>
      </c>
      <c r="M122">
        <v>599</v>
      </c>
      <c r="N122" s="25">
        <v>9.56</v>
      </c>
      <c r="O122" s="25">
        <v>4.12</v>
      </c>
      <c r="P122" s="24">
        <v>7.2700000000000001E-2</v>
      </c>
      <c r="Q122" s="24">
        <v>0.13514999999999999</v>
      </c>
      <c r="R122" s="25">
        <v>0.45</v>
      </c>
      <c r="S122" s="25">
        <v>0.64</v>
      </c>
      <c r="T122" s="25">
        <v>0.24</v>
      </c>
      <c r="U122" s="24">
        <v>2.794E-2</v>
      </c>
      <c r="V122" s="25">
        <v>1.6</v>
      </c>
      <c r="W122" s="25">
        <v>2.92</v>
      </c>
      <c r="X122" s="25">
        <v>7.44</v>
      </c>
      <c r="Y122" s="24">
        <v>0.47849000000000003</v>
      </c>
      <c r="Z122" s="25">
        <v>0.48</v>
      </c>
      <c r="AA122" s="24">
        <v>0.25</v>
      </c>
      <c r="AB122" s="25">
        <v>3.72</v>
      </c>
      <c r="AC122" s="24">
        <v>0.62365999999999999</v>
      </c>
      <c r="AD122" s="24">
        <v>0.48655999999999999</v>
      </c>
      <c r="AE122" s="24">
        <v>0.52666000000000002</v>
      </c>
      <c r="AF122" s="25">
        <v>0.67969999999999997</v>
      </c>
      <c r="AG122" s="25">
        <v>0.24110000000000001</v>
      </c>
      <c r="AH122" s="25">
        <v>0.43859999999999999</v>
      </c>
      <c r="AI122" s="25">
        <v>98.81</v>
      </c>
      <c r="AJ122" s="25">
        <v>113.99</v>
      </c>
      <c r="AK122" s="25">
        <f>Table12[[#This Row],[OFF RTG]]-Table12[[#This Row],[DEF RTG]]</f>
        <v>-15.179999999999993</v>
      </c>
      <c r="AL122" s="24">
        <v>0.22847000000000001</v>
      </c>
      <c r="AM122">
        <v>-330</v>
      </c>
    </row>
    <row r="123" spans="1:39" x14ac:dyDescent="0.35">
      <c r="A123" t="s">
        <v>715</v>
      </c>
      <c r="B123" t="s">
        <v>716</v>
      </c>
      <c r="C123" t="s">
        <v>406</v>
      </c>
      <c r="D123" t="s">
        <v>360</v>
      </c>
      <c r="E123" t="s">
        <v>357</v>
      </c>
      <c r="F123">
        <v>1</v>
      </c>
      <c r="G123" t="s">
        <v>497</v>
      </c>
      <c r="H123" t="s">
        <v>305</v>
      </c>
      <c r="I123">
        <v>1</v>
      </c>
      <c r="J123" t="s">
        <v>146</v>
      </c>
      <c r="K123">
        <v>80</v>
      </c>
      <c r="L123">
        <v>12</v>
      </c>
      <c r="M123">
        <v>135</v>
      </c>
      <c r="N123" s="25">
        <v>3.6666699999999999</v>
      </c>
      <c r="O123" s="25">
        <v>2.5</v>
      </c>
      <c r="P123" s="24">
        <v>0.15304999999999999</v>
      </c>
      <c r="Q123" s="24">
        <v>0.12664</v>
      </c>
      <c r="R123" s="25">
        <v>0.42857000000000001</v>
      </c>
      <c r="S123" s="25">
        <v>0.16667000000000001</v>
      </c>
      <c r="T123" s="25">
        <v>0.16667000000000001</v>
      </c>
      <c r="U123" s="24">
        <v>2.6110000000000001E-2</v>
      </c>
      <c r="V123" s="27">
        <v>0.58333000000000002</v>
      </c>
      <c r="W123" s="25">
        <v>1.6666700000000001</v>
      </c>
      <c r="X123" s="25">
        <v>2.9166699999999999</v>
      </c>
      <c r="Y123" s="28">
        <v>0.54286000000000001</v>
      </c>
      <c r="Z123" s="25">
        <v>8.3330000000000001E-2</v>
      </c>
      <c r="AA123" s="24">
        <v>0</v>
      </c>
      <c r="AB123" s="25">
        <v>0.83333000000000002</v>
      </c>
      <c r="AC123" s="24">
        <v>0.6</v>
      </c>
      <c r="AD123" s="28">
        <v>0.54286000000000001</v>
      </c>
      <c r="AE123" s="28">
        <v>0.55837999999999999</v>
      </c>
      <c r="AF123" s="25">
        <v>0.31059999999999999</v>
      </c>
      <c r="AG123" s="25">
        <v>0.20569999999999999</v>
      </c>
      <c r="AH123" s="25">
        <v>0.10489999999999999</v>
      </c>
      <c r="AI123" s="27">
        <v>113.15</v>
      </c>
      <c r="AJ123" s="25">
        <v>113.54</v>
      </c>
      <c r="AK123" s="25">
        <f>Table12[[#This Row],[OFF RTG]]-Table12[[#This Row],[DEF RTG]]</f>
        <v>-0.39000000000000057</v>
      </c>
      <c r="AL123" s="24">
        <v>0.17452999999999999</v>
      </c>
      <c r="AM123">
        <v>-44</v>
      </c>
    </row>
    <row r="124" spans="1:39" x14ac:dyDescent="0.35">
      <c r="A124" t="s">
        <v>563</v>
      </c>
      <c r="B124" t="s">
        <v>564</v>
      </c>
      <c r="C124" t="s">
        <v>406</v>
      </c>
      <c r="D124" t="s">
        <v>361</v>
      </c>
      <c r="E124" t="s">
        <v>357</v>
      </c>
      <c r="F124">
        <v>1</v>
      </c>
      <c r="G124" t="s">
        <v>243</v>
      </c>
      <c r="H124" t="s">
        <v>215</v>
      </c>
      <c r="I124">
        <v>1</v>
      </c>
      <c r="J124" t="s">
        <v>146</v>
      </c>
      <c r="K124">
        <v>80</v>
      </c>
      <c r="L124" s="26">
        <v>25</v>
      </c>
      <c r="M124">
        <v>457</v>
      </c>
      <c r="N124" s="25">
        <v>8.36</v>
      </c>
      <c r="O124" s="27">
        <v>5.44</v>
      </c>
      <c r="P124" s="24">
        <v>0.11439000000000001</v>
      </c>
      <c r="Q124" s="24">
        <v>0.21759999999999999</v>
      </c>
      <c r="R124" s="25">
        <v>0.28888999999999998</v>
      </c>
      <c r="S124" s="25">
        <v>0.36</v>
      </c>
      <c r="T124" s="27">
        <v>1.32</v>
      </c>
      <c r="U124" s="24">
        <v>8.8650000000000007E-2</v>
      </c>
      <c r="V124" s="25">
        <v>1.8</v>
      </c>
      <c r="W124" s="25">
        <v>2.4</v>
      </c>
      <c r="X124" s="25">
        <v>5.24</v>
      </c>
      <c r="Y124" s="28">
        <v>0.58015000000000005</v>
      </c>
      <c r="Z124" s="25">
        <v>0.04</v>
      </c>
      <c r="AA124" s="24">
        <v>0</v>
      </c>
      <c r="AB124" s="25">
        <v>3.64</v>
      </c>
      <c r="AC124" s="24">
        <v>0.62636999999999998</v>
      </c>
      <c r="AD124" s="28">
        <v>0.58015000000000005</v>
      </c>
      <c r="AE124" s="28">
        <v>0.61111000000000004</v>
      </c>
      <c r="AF124" s="25">
        <v>1.5125999999999999</v>
      </c>
      <c r="AG124" s="25">
        <v>0.5958</v>
      </c>
      <c r="AH124" s="25">
        <v>0.91669999999999996</v>
      </c>
      <c r="AI124" s="25">
        <v>107.11</v>
      </c>
      <c r="AJ124" s="27">
        <v>100.02</v>
      </c>
      <c r="AK124" s="27">
        <f>Table12[[#This Row],[OFF RTG]]-Table12[[#This Row],[DEF RTG]]</f>
        <v>7.0900000000000034</v>
      </c>
      <c r="AL124" s="24">
        <v>0.23233999999999999</v>
      </c>
      <c r="AM124" s="26">
        <v>63</v>
      </c>
    </row>
    <row r="125" spans="1:39" x14ac:dyDescent="0.35">
      <c r="A125" t="s">
        <v>620</v>
      </c>
      <c r="B125" t="s">
        <v>621</v>
      </c>
      <c r="C125" t="s">
        <v>406</v>
      </c>
      <c r="D125" t="s">
        <v>496</v>
      </c>
      <c r="E125" t="s">
        <v>460</v>
      </c>
      <c r="F125">
        <v>1</v>
      </c>
      <c r="G125" t="s">
        <v>172</v>
      </c>
      <c r="H125" t="s">
        <v>168</v>
      </c>
      <c r="I125">
        <v>1</v>
      </c>
      <c r="J125" t="s">
        <v>145</v>
      </c>
      <c r="K125">
        <v>80</v>
      </c>
      <c r="L125">
        <v>6</v>
      </c>
      <c r="M125">
        <v>62</v>
      </c>
      <c r="N125" s="25">
        <v>4</v>
      </c>
      <c r="O125" s="25">
        <v>2</v>
      </c>
      <c r="P125" s="24">
        <v>5.9810000000000002E-2</v>
      </c>
      <c r="Q125" s="24">
        <v>0.15054999999999999</v>
      </c>
      <c r="R125" s="25">
        <v>0.28571000000000002</v>
      </c>
      <c r="S125" s="25">
        <v>0.16667000000000001</v>
      </c>
      <c r="T125" s="25">
        <v>0</v>
      </c>
      <c r="U125" s="24">
        <v>9.0299999999999998E-3</v>
      </c>
      <c r="V125" s="25">
        <v>1.1666700000000001</v>
      </c>
      <c r="W125" s="27">
        <v>1</v>
      </c>
      <c r="X125" s="25">
        <v>3.8333300000000001</v>
      </c>
      <c r="Y125" s="24">
        <v>0.39129999999999998</v>
      </c>
      <c r="Z125" s="25">
        <v>1.3333299999999999</v>
      </c>
      <c r="AA125" s="24">
        <v>0.25</v>
      </c>
      <c r="AB125" s="25">
        <v>0.66666999999999998</v>
      </c>
      <c r="AC125" s="28">
        <v>1</v>
      </c>
      <c r="AD125" s="24">
        <v>0.43478</v>
      </c>
      <c r="AE125" s="24">
        <v>0.48387000000000002</v>
      </c>
      <c r="AF125" s="25">
        <v>-1.29E-2</v>
      </c>
      <c r="AG125" s="25">
        <v>-5.8099999999999999E-2</v>
      </c>
      <c r="AH125" s="25">
        <v>4.53E-2</v>
      </c>
      <c r="AI125" s="25">
        <v>86.19</v>
      </c>
      <c r="AJ125" s="25">
        <v>114.02</v>
      </c>
      <c r="AK125" s="25">
        <f>Table12[[#This Row],[OFF RTG]]-Table12[[#This Row],[DEF RTG]]</f>
        <v>-27.83</v>
      </c>
      <c r="AL125" s="24">
        <v>0.23918</v>
      </c>
      <c r="AM125">
        <v>-43</v>
      </c>
    </row>
    <row r="126" spans="1:39" x14ac:dyDescent="0.35">
      <c r="A126" t="s">
        <v>249</v>
      </c>
      <c r="B126" t="s">
        <v>612</v>
      </c>
      <c r="C126" t="s">
        <v>406</v>
      </c>
      <c r="D126" t="s">
        <v>628</v>
      </c>
      <c r="E126" t="s">
        <v>461</v>
      </c>
      <c r="F126">
        <v>1</v>
      </c>
      <c r="G126" t="s">
        <v>432</v>
      </c>
      <c r="H126" t="s">
        <v>168</v>
      </c>
      <c r="I126">
        <v>1</v>
      </c>
      <c r="J126" t="s">
        <v>146</v>
      </c>
      <c r="K126">
        <v>80</v>
      </c>
      <c r="L126" s="26">
        <v>31</v>
      </c>
      <c r="M126">
        <v>377</v>
      </c>
      <c r="N126" s="25">
        <v>4.4838699999999996</v>
      </c>
      <c r="O126" s="25">
        <v>2.51613</v>
      </c>
      <c r="P126" s="24">
        <v>9.1499999999999998E-2</v>
      </c>
      <c r="Q126" s="24">
        <v>0.14102999999999999</v>
      </c>
      <c r="R126" s="25">
        <v>0.27272999999999997</v>
      </c>
      <c r="S126" s="25">
        <v>9.6769999999999995E-2</v>
      </c>
      <c r="T126" s="25">
        <v>0.45161000000000001</v>
      </c>
      <c r="U126" s="24">
        <v>4.4170000000000001E-2</v>
      </c>
      <c r="V126" s="27">
        <v>0.70967999999999998</v>
      </c>
      <c r="W126" s="25">
        <v>1.6129</v>
      </c>
      <c r="X126" s="25">
        <v>3.4516100000000001</v>
      </c>
      <c r="Y126" s="28">
        <v>0.5514</v>
      </c>
      <c r="Z126" s="25">
        <v>0</v>
      </c>
      <c r="AA126" s="24">
        <v>0</v>
      </c>
      <c r="AB126" s="25">
        <v>1.3225800000000001</v>
      </c>
      <c r="AC126" s="24">
        <v>0.51219999999999999</v>
      </c>
      <c r="AD126" s="28">
        <v>0.5514</v>
      </c>
      <c r="AE126" s="28">
        <v>0.55600000000000005</v>
      </c>
      <c r="AF126" s="25">
        <v>0.77590000000000003</v>
      </c>
      <c r="AG126" s="25">
        <v>0.26960000000000001</v>
      </c>
      <c r="AH126" s="25">
        <v>0.50629999999999997</v>
      </c>
      <c r="AI126" s="25">
        <v>103.01</v>
      </c>
      <c r="AJ126" s="25">
        <v>107.29</v>
      </c>
      <c r="AK126" s="25">
        <f>Table12[[#This Row],[OFF RTG]]-Table12[[#This Row],[DEF RTG]]</f>
        <v>-4.2800000000000011</v>
      </c>
      <c r="AL126" s="24">
        <v>0.19753000000000001</v>
      </c>
      <c r="AM126">
        <v>-61</v>
      </c>
    </row>
    <row r="127" spans="1:39" x14ac:dyDescent="0.35">
      <c r="A127" t="s">
        <v>532</v>
      </c>
      <c r="B127" t="s">
        <v>533</v>
      </c>
      <c r="C127" t="s">
        <v>406</v>
      </c>
      <c r="D127" t="s">
        <v>421</v>
      </c>
      <c r="E127" t="s">
        <v>476</v>
      </c>
      <c r="F127">
        <v>1</v>
      </c>
      <c r="G127" t="s">
        <v>450</v>
      </c>
      <c r="H127" t="s">
        <v>215</v>
      </c>
      <c r="I127">
        <v>1</v>
      </c>
      <c r="J127" t="s">
        <v>146</v>
      </c>
      <c r="K127">
        <v>80</v>
      </c>
      <c r="L127" s="26">
        <v>28</v>
      </c>
      <c r="M127">
        <v>771</v>
      </c>
      <c r="N127" s="27">
        <v>13.607139999999999</v>
      </c>
      <c r="O127" s="27">
        <v>6.9642900000000001</v>
      </c>
      <c r="P127" s="24">
        <v>7.1370000000000003E-2</v>
      </c>
      <c r="Q127" s="24">
        <v>0.21414</v>
      </c>
      <c r="R127" s="25">
        <v>0.26923000000000002</v>
      </c>
      <c r="S127" s="25">
        <v>0.89285999999999999</v>
      </c>
      <c r="T127" s="27">
        <v>1.10714</v>
      </c>
      <c r="U127" s="24">
        <v>6.3129999999999895E-2</v>
      </c>
      <c r="V127" s="25">
        <v>1.85714</v>
      </c>
      <c r="W127" s="25">
        <v>2.4642900000000001</v>
      </c>
      <c r="X127" s="25">
        <v>9.6071399999999993</v>
      </c>
      <c r="Y127" s="28">
        <v>0.57992999999999995</v>
      </c>
      <c r="Z127" s="25">
        <v>0</v>
      </c>
      <c r="AA127" s="24">
        <v>0</v>
      </c>
      <c r="AB127" s="25">
        <v>3.7142900000000001</v>
      </c>
      <c r="AC127" s="24">
        <v>0.66346000000000005</v>
      </c>
      <c r="AD127" s="28">
        <v>0.57992999999999995</v>
      </c>
      <c r="AE127" s="28">
        <v>0.60514999999999997</v>
      </c>
      <c r="AF127" s="25">
        <v>2.5512999999999999</v>
      </c>
      <c r="AG127" s="25">
        <v>1.3729</v>
      </c>
      <c r="AH127" s="25">
        <v>1.1783999999999999</v>
      </c>
      <c r="AI127" s="27">
        <v>111.24</v>
      </c>
      <c r="AJ127" s="25">
        <v>105.29</v>
      </c>
      <c r="AK127" s="27">
        <f>Table12[[#This Row],[OFF RTG]]-Table12[[#This Row],[DEF RTG]]</f>
        <v>5.9499999999999886</v>
      </c>
      <c r="AL127" s="24">
        <v>0.24535999999999999</v>
      </c>
      <c r="AM127">
        <v>-75</v>
      </c>
    </row>
    <row r="128" spans="1:39" x14ac:dyDescent="0.35">
      <c r="A128" t="s">
        <v>572</v>
      </c>
      <c r="B128" t="s">
        <v>573</v>
      </c>
      <c r="C128" t="s">
        <v>406</v>
      </c>
      <c r="D128" t="s">
        <v>590</v>
      </c>
      <c r="E128" t="s">
        <v>475</v>
      </c>
      <c r="F128">
        <v>1</v>
      </c>
      <c r="G128" t="s">
        <v>449</v>
      </c>
      <c r="H128" t="s">
        <v>215</v>
      </c>
      <c r="I128">
        <v>1</v>
      </c>
      <c r="J128" t="s">
        <v>146</v>
      </c>
      <c r="K128">
        <v>81</v>
      </c>
      <c r="L128" s="26">
        <v>28</v>
      </c>
      <c r="M128">
        <v>296</v>
      </c>
      <c r="N128" s="25">
        <v>3.0357099999999999</v>
      </c>
      <c r="O128" s="25">
        <v>3.1428600000000002</v>
      </c>
      <c r="P128" s="24">
        <v>0.15043999999999999</v>
      </c>
      <c r="Q128" s="24">
        <v>0.17915</v>
      </c>
      <c r="R128" s="25">
        <v>0.26667000000000002</v>
      </c>
      <c r="S128" s="25">
        <v>0.14285999999999999</v>
      </c>
      <c r="T128" s="25">
        <v>0.75</v>
      </c>
      <c r="U128" s="33">
        <v>0.10625</v>
      </c>
      <c r="V128" s="27">
        <v>0.53571000000000002</v>
      </c>
      <c r="W128" s="27">
        <v>1.39286</v>
      </c>
      <c r="X128" s="25">
        <v>2</v>
      </c>
      <c r="Y128" s="28">
        <v>0.58928999999999998</v>
      </c>
      <c r="Z128" s="25">
        <v>0.14285999999999999</v>
      </c>
      <c r="AA128" s="24">
        <v>0.25</v>
      </c>
      <c r="AB128" s="25">
        <v>1.1785699999999999</v>
      </c>
      <c r="AC128" s="24">
        <v>0.54544999999999999</v>
      </c>
      <c r="AD128" s="28">
        <v>0.59821000000000002</v>
      </c>
      <c r="AE128" s="28">
        <v>0.60284000000000004</v>
      </c>
      <c r="AF128" s="25">
        <v>0.88419999999999999</v>
      </c>
      <c r="AG128" s="25">
        <v>0.45279999999999998</v>
      </c>
      <c r="AH128" s="25">
        <v>0.43149999999999999</v>
      </c>
      <c r="AI128" s="27">
        <v>116.25</v>
      </c>
      <c r="AJ128" s="25">
        <v>106.05</v>
      </c>
      <c r="AK128" s="27">
        <f>Table12[[#This Row],[OFF RTG]]-Table12[[#This Row],[DEF RTG]]</f>
        <v>10.200000000000003</v>
      </c>
      <c r="AL128" s="24">
        <v>0.14541000000000001</v>
      </c>
      <c r="AM128">
        <v>-75</v>
      </c>
    </row>
    <row r="129" spans="1:39" x14ac:dyDescent="0.35">
      <c r="A129" t="s">
        <v>605</v>
      </c>
      <c r="B129" t="s">
        <v>142</v>
      </c>
      <c r="C129" t="s">
        <v>406</v>
      </c>
      <c r="D129" t="s">
        <v>627</v>
      </c>
      <c r="E129" t="s">
        <v>474</v>
      </c>
      <c r="F129">
        <v>1</v>
      </c>
      <c r="G129" t="s">
        <v>170</v>
      </c>
      <c r="H129" t="s">
        <v>168</v>
      </c>
      <c r="I129">
        <v>1</v>
      </c>
      <c r="J129" t="s">
        <v>146</v>
      </c>
      <c r="K129">
        <v>80</v>
      </c>
      <c r="L129" s="26">
        <v>29</v>
      </c>
      <c r="M129">
        <v>456</v>
      </c>
      <c r="N129" s="25">
        <v>6</v>
      </c>
      <c r="O129" s="25">
        <v>4.6896599999999999</v>
      </c>
      <c r="P129" s="24">
        <v>0.12447999999999999</v>
      </c>
      <c r="Q129" s="24">
        <v>0.22502</v>
      </c>
      <c r="R129" s="25">
        <v>0.23529</v>
      </c>
      <c r="S129" s="25">
        <v>0.31034</v>
      </c>
      <c r="T129" s="25">
        <v>0.41378999999999999</v>
      </c>
      <c r="U129" s="24">
        <v>4.3830000000000001E-2</v>
      </c>
      <c r="V129" s="25">
        <v>1.17241</v>
      </c>
      <c r="W129" s="25">
        <v>2.55172</v>
      </c>
      <c r="X129" s="25">
        <v>3.7586200000000001</v>
      </c>
      <c r="Y129" s="28">
        <v>0.55962999999999996</v>
      </c>
      <c r="Z129" s="25">
        <v>0.10345</v>
      </c>
      <c r="AA129" s="24">
        <v>0</v>
      </c>
      <c r="AB129" s="25">
        <v>2.55172</v>
      </c>
      <c r="AC129" s="24">
        <v>0.70269999999999999</v>
      </c>
      <c r="AD129" s="28">
        <v>0.55962999999999996</v>
      </c>
      <c r="AE129" s="28">
        <v>0.61441000000000001</v>
      </c>
      <c r="AF129" s="25">
        <v>1.6171</v>
      </c>
      <c r="AG129" s="25">
        <v>0.69769999999999999</v>
      </c>
      <c r="AH129" s="25">
        <v>0.9194</v>
      </c>
      <c r="AI129" s="27">
        <v>112.02</v>
      </c>
      <c r="AJ129" s="27">
        <v>100.03</v>
      </c>
      <c r="AK129" s="27">
        <f>Table12[[#This Row],[OFF RTG]]-Table12[[#This Row],[DEF RTG]]</f>
        <v>11.989999999999995</v>
      </c>
      <c r="AL129" s="24">
        <v>0.18934999999999999</v>
      </c>
      <c r="AM129" s="26">
        <v>33</v>
      </c>
    </row>
    <row r="130" spans="1:39" x14ac:dyDescent="0.35">
      <c r="A130" t="s">
        <v>10</v>
      </c>
      <c r="B130" t="s">
        <v>598</v>
      </c>
      <c r="C130" t="s">
        <v>406</v>
      </c>
      <c r="D130" t="s">
        <v>633</v>
      </c>
      <c r="E130" t="s">
        <v>472</v>
      </c>
      <c r="F130">
        <v>1</v>
      </c>
      <c r="G130" t="s">
        <v>188</v>
      </c>
      <c r="H130" t="s">
        <v>168</v>
      </c>
      <c r="I130">
        <v>1</v>
      </c>
      <c r="J130" t="s">
        <v>146</v>
      </c>
      <c r="K130">
        <v>83</v>
      </c>
      <c r="L130">
        <v>23</v>
      </c>
      <c r="M130">
        <v>196</v>
      </c>
      <c r="N130" s="25">
        <v>1.4347799999999999</v>
      </c>
      <c r="O130" s="25">
        <v>1.86957</v>
      </c>
      <c r="P130" s="24">
        <v>9.3829999999999997E-2</v>
      </c>
      <c r="Q130" s="24">
        <v>0.16073999999999999</v>
      </c>
      <c r="R130" s="25">
        <v>0.16667000000000001</v>
      </c>
      <c r="S130" s="25">
        <v>8.6959999999999996E-2</v>
      </c>
      <c r="T130" s="25">
        <v>0.73912999999999995</v>
      </c>
      <c r="U130" s="24">
        <v>9.1219999999999996E-2</v>
      </c>
      <c r="V130" s="27">
        <v>0.26086999999999999</v>
      </c>
      <c r="W130" s="25">
        <v>2.1739099999999998</v>
      </c>
      <c r="X130" s="25">
        <v>0.86956999999999995</v>
      </c>
      <c r="Y130" s="28">
        <v>0.55000000000000004</v>
      </c>
      <c r="Z130" s="25">
        <v>0</v>
      </c>
      <c r="AA130" s="24">
        <v>0</v>
      </c>
      <c r="AB130" s="25">
        <v>0.65217000000000003</v>
      </c>
      <c r="AC130" s="24">
        <v>0.73333000000000004</v>
      </c>
      <c r="AD130" s="28">
        <v>0.55000000000000004</v>
      </c>
      <c r="AE130" s="28">
        <v>0.62029999999999996</v>
      </c>
      <c r="AF130" s="25">
        <v>0.3407</v>
      </c>
      <c r="AG130" s="25">
        <v>0.21390000000000001</v>
      </c>
      <c r="AH130" s="25">
        <v>0.1268</v>
      </c>
      <c r="AI130" s="27">
        <v>120.48</v>
      </c>
      <c r="AJ130" s="25">
        <v>114.96</v>
      </c>
      <c r="AK130" s="27">
        <f>Table12[[#This Row],[OFF RTG]]-Table12[[#This Row],[DEF RTG]]</f>
        <v>5.5200000000000102</v>
      </c>
      <c r="AL130" s="24">
        <v>8.3199999999999996E-2</v>
      </c>
      <c r="AM130">
        <v>-51</v>
      </c>
    </row>
    <row r="131" spans="1:39" x14ac:dyDescent="0.35">
      <c r="A131" t="s">
        <v>484</v>
      </c>
      <c r="B131" t="s">
        <v>579</v>
      </c>
      <c r="C131" t="s">
        <v>406</v>
      </c>
      <c r="D131" t="s">
        <v>426</v>
      </c>
      <c r="E131" t="s">
        <v>482</v>
      </c>
      <c r="F131">
        <v>2</v>
      </c>
      <c r="G131" t="s">
        <v>243</v>
      </c>
      <c r="H131" t="s">
        <v>215</v>
      </c>
      <c r="I131">
        <v>1</v>
      </c>
      <c r="J131" t="s">
        <v>145</v>
      </c>
      <c r="K131">
        <v>79</v>
      </c>
      <c r="L131">
        <v>12</v>
      </c>
      <c r="M131">
        <v>74</v>
      </c>
      <c r="N131" s="25">
        <v>0.66666999999999998</v>
      </c>
      <c r="O131" s="25">
        <v>1.0833299999999999</v>
      </c>
      <c r="P131" s="24">
        <v>6.1469999999999997E-2</v>
      </c>
      <c r="Q131" s="24">
        <v>0.12589</v>
      </c>
      <c r="R131" s="25">
        <v>0</v>
      </c>
      <c r="S131" s="25">
        <v>0.16667000000000001</v>
      </c>
      <c r="T131" s="25">
        <v>0</v>
      </c>
      <c r="U131" s="24">
        <v>1.549E-2</v>
      </c>
      <c r="V131" s="27">
        <v>0</v>
      </c>
      <c r="W131" s="27">
        <v>0.75</v>
      </c>
      <c r="X131" s="25">
        <v>0.66666999999999998</v>
      </c>
      <c r="Y131" s="24">
        <v>0.25</v>
      </c>
      <c r="Z131" s="25">
        <v>0.58333000000000002</v>
      </c>
      <c r="AA131" s="24">
        <v>0.14285999999999999</v>
      </c>
      <c r="AB131" s="25">
        <v>0.25</v>
      </c>
      <c r="AC131" s="28">
        <v>1</v>
      </c>
      <c r="AD131" s="24">
        <v>0.3125</v>
      </c>
      <c r="AE131" s="24">
        <v>0.43010999999999999</v>
      </c>
      <c r="AF131" s="25">
        <v>0.16139999999999999</v>
      </c>
      <c r="AG131" s="25">
        <v>5.79E-2</v>
      </c>
      <c r="AH131" s="25">
        <v>0.10349999999999999</v>
      </c>
      <c r="AI131" s="27">
        <v>123.03</v>
      </c>
      <c r="AJ131" s="25">
        <v>106.71</v>
      </c>
      <c r="AK131" s="27">
        <f>Table12[[#This Row],[OFF RTG]]-Table12[[#This Row],[DEF RTG]]</f>
        <v>16.320000000000007</v>
      </c>
      <c r="AL131" s="24">
        <v>6.1609999999999998E-2</v>
      </c>
      <c r="AM131">
        <v>-34</v>
      </c>
    </row>
    <row r="132" spans="1:39" x14ac:dyDescent="0.35">
      <c r="A132" t="s">
        <v>648</v>
      </c>
      <c r="B132" t="s">
        <v>649</v>
      </c>
      <c r="C132" t="s">
        <v>406</v>
      </c>
      <c r="D132" t="s">
        <v>654</v>
      </c>
      <c r="E132" t="s">
        <v>476</v>
      </c>
      <c r="F132">
        <v>1</v>
      </c>
      <c r="G132" t="s">
        <v>268</v>
      </c>
      <c r="H132" t="s">
        <v>267</v>
      </c>
      <c r="I132">
        <v>1</v>
      </c>
      <c r="J132" t="s">
        <v>146</v>
      </c>
      <c r="K132">
        <v>83</v>
      </c>
      <c r="L132">
        <v>8</v>
      </c>
      <c r="M132">
        <v>18</v>
      </c>
      <c r="N132" s="25"/>
      <c r="O132" s="25"/>
      <c r="P132" s="24"/>
      <c r="Q132" s="24"/>
      <c r="R132" s="25"/>
      <c r="S132" s="25"/>
      <c r="T132" s="25"/>
      <c r="U132" s="24"/>
      <c r="V132" s="25"/>
      <c r="W132" s="25"/>
      <c r="X132" s="25"/>
      <c r="Y132" s="24"/>
      <c r="Z132" s="25"/>
      <c r="AA132" s="24"/>
      <c r="AB132" s="25"/>
      <c r="AC132" s="24"/>
      <c r="AD132" s="24"/>
      <c r="AE132" s="24"/>
      <c r="AF132" s="25"/>
      <c r="AG132" s="25"/>
      <c r="AH132" s="25"/>
      <c r="AI132" s="25"/>
      <c r="AJ132" s="25"/>
      <c r="AK132" s="25">
        <f>Table12[[#This Row],[OFF RTG]]-Table12[[#This Row],[DEF RTG]]</f>
        <v>0</v>
      </c>
      <c r="AL132" s="24"/>
    </row>
  </sheetData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Offensive Rebounds</vt:lpstr>
      <vt:lpstr>Rebound Chart</vt:lpstr>
      <vt:lpstr>Player Efficiency Rating</vt:lpstr>
      <vt:lpstr>Transfers</vt:lpstr>
      <vt:lpstr>Transfers pt.2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SEANER</dc:creator>
  <cp:keywords/>
  <dc:description/>
  <cp:lastModifiedBy>NOAH SEANER</cp:lastModifiedBy>
  <cp:revision/>
  <dcterms:created xsi:type="dcterms:W3CDTF">2024-09-23T14:17:24Z</dcterms:created>
  <dcterms:modified xsi:type="dcterms:W3CDTF">2025-06-11T15:57:33Z</dcterms:modified>
  <cp:category/>
  <cp:contentStatus/>
</cp:coreProperties>
</file>