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niteconstruction.sharepoint.com/teams/66301BU/Shared Documents/General/Continuous Improvement/Metrics/_Power BI Files/ideas/"/>
    </mc:Choice>
  </mc:AlternateContent>
  <xr:revisionPtr revIDLastSave="107" documentId="13_ncr:1_{310828E3-B09E-4763-99E0-30A75403526E}" xr6:coauthVersionLast="47" xr6:coauthVersionMax="47" xr10:uidLastSave="{BCE13FDE-EC3B-4D36-9CE8-265FCA6B027C}"/>
  <bookViews>
    <workbookView xWindow="-28920" yWindow="-4770" windowWidth="29040" windowHeight="15840" activeTab="3" xr2:uid="{00000000-000D-0000-FFFF-FFFF00000000}"/>
  </bookViews>
  <sheets>
    <sheet name="lin" sheetId="2" r:id="rId1"/>
    <sheet name="lin (test)" sheetId="5" r:id="rId2"/>
    <sheet name="poly" sheetId="3" r:id="rId3"/>
    <sheet name="poly (test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4" l="1"/>
  <c r="E2" i="4"/>
  <c r="I2" i="4" s="1"/>
  <c r="A12" i="4"/>
  <c r="I20" i="4" s="1"/>
  <c r="B12" i="4"/>
  <c r="V19" i="4" s="1"/>
  <c r="F2" i="5"/>
  <c r="G2" i="5"/>
  <c r="F3" i="5"/>
  <c r="G3" i="5"/>
  <c r="F4" i="5"/>
  <c r="G4" i="5"/>
  <c r="F5" i="5"/>
  <c r="G5" i="5"/>
  <c r="F6" i="5"/>
  <c r="G6" i="5"/>
  <c r="E2" i="5"/>
  <c r="K4" i="5" s="1"/>
  <c r="L8" i="5" s="1"/>
  <c r="B13" i="5"/>
  <c r="O13" i="5" s="1"/>
  <c r="A13" i="5"/>
  <c r="K5" i="5" s="1"/>
  <c r="K8" i="5" s="1"/>
  <c r="G11" i="5"/>
  <c r="F11" i="5"/>
  <c r="G10" i="5"/>
  <c r="F10" i="5"/>
  <c r="G9" i="5"/>
  <c r="F9" i="5"/>
  <c r="G8" i="5"/>
  <c r="F8" i="5"/>
  <c r="G7" i="5"/>
  <c r="F7" i="5"/>
  <c r="F2" i="4"/>
  <c r="G2" i="4"/>
  <c r="H2" i="4"/>
  <c r="E3" i="4"/>
  <c r="I3" i="4" s="1"/>
  <c r="F3" i="4"/>
  <c r="G3" i="4"/>
  <c r="H3" i="4"/>
  <c r="E4" i="4"/>
  <c r="I4" i="4" s="1"/>
  <c r="F4" i="4"/>
  <c r="G4" i="4"/>
  <c r="H4" i="4"/>
  <c r="E5" i="4"/>
  <c r="I5" i="4" s="1"/>
  <c r="F5" i="4"/>
  <c r="G5" i="4"/>
  <c r="H5" i="4"/>
  <c r="E6" i="4"/>
  <c r="F6" i="4"/>
  <c r="G6" i="4"/>
  <c r="H6" i="4"/>
  <c r="I6" i="4"/>
  <c r="H11" i="4"/>
  <c r="G11" i="4"/>
  <c r="F11" i="4"/>
  <c r="E11" i="4"/>
  <c r="I11" i="4" s="1"/>
  <c r="H10" i="4"/>
  <c r="G10" i="4"/>
  <c r="F10" i="4"/>
  <c r="E10" i="4"/>
  <c r="I10" i="4" s="1"/>
  <c r="H9" i="4"/>
  <c r="G9" i="4"/>
  <c r="F9" i="4"/>
  <c r="E9" i="4"/>
  <c r="I9" i="4" s="1"/>
  <c r="H8" i="4"/>
  <c r="G8" i="4"/>
  <c r="F8" i="4"/>
  <c r="E8" i="4"/>
  <c r="I8" i="4" s="1"/>
  <c r="H7" i="4"/>
  <c r="G7" i="4"/>
  <c r="F7" i="4"/>
  <c r="E7" i="4"/>
  <c r="I7" i="4" s="1"/>
  <c r="D2" i="4"/>
  <c r="I19" i="4" s="1"/>
  <c r="E2" i="3"/>
  <c r="F13" i="5" l="1"/>
  <c r="J19" i="4"/>
  <c r="G13" i="5"/>
  <c r="H12" i="4"/>
  <c r="V20" i="4" s="1"/>
  <c r="G12" i="4"/>
  <c r="K21" i="4" s="1"/>
  <c r="F12" i="4"/>
  <c r="I12" i="4"/>
  <c r="V21" i="4" s="1"/>
  <c r="E12" i="4"/>
  <c r="J21" i="4"/>
  <c r="L5" i="5"/>
  <c r="K7" i="5" s="1"/>
  <c r="O14" i="5"/>
  <c r="L4" i="5"/>
  <c r="L7" i="5" s="1"/>
  <c r="K11" i="5" s="1"/>
  <c r="L14" i="5" s="1"/>
  <c r="F3" i="3"/>
  <c r="F4" i="3"/>
  <c r="F5" i="3"/>
  <c r="F6" i="3"/>
  <c r="F2" i="3"/>
  <c r="G3" i="3"/>
  <c r="G4" i="3"/>
  <c r="G5" i="3"/>
  <c r="G6" i="3"/>
  <c r="G2" i="3"/>
  <c r="D2" i="3"/>
  <c r="I14" i="3" s="1"/>
  <c r="B8" i="3"/>
  <c r="V14" i="3" s="1"/>
  <c r="A8" i="3"/>
  <c r="H6" i="3"/>
  <c r="E6" i="3"/>
  <c r="I6" i="3" s="1"/>
  <c r="H5" i="3"/>
  <c r="E5" i="3"/>
  <c r="I5" i="3" s="1"/>
  <c r="H4" i="3"/>
  <c r="E4" i="3"/>
  <c r="I4" i="3" s="1"/>
  <c r="H3" i="3"/>
  <c r="E3" i="3"/>
  <c r="I3" i="3" s="1"/>
  <c r="H2" i="3"/>
  <c r="I2" i="3"/>
  <c r="I8" i="3" s="1"/>
  <c r="V16" i="3" s="1"/>
  <c r="B8" i="2"/>
  <c r="L15" i="2" s="1"/>
  <c r="A8" i="2"/>
  <c r="I4" i="2" s="1"/>
  <c r="I9" i="2" s="1"/>
  <c r="G2" i="2"/>
  <c r="H4" i="2" s="1"/>
  <c r="I10" i="2" s="1"/>
  <c r="E3" i="2"/>
  <c r="E4" i="2"/>
  <c r="E5" i="2"/>
  <c r="E6" i="2"/>
  <c r="E2" i="2"/>
  <c r="D3" i="2"/>
  <c r="D4" i="2"/>
  <c r="D5" i="2"/>
  <c r="D6" i="2"/>
  <c r="D2" i="2"/>
  <c r="H5" i="2" l="1"/>
  <c r="H10" i="2" s="1"/>
  <c r="D8" i="2"/>
  <c r="I5" i="2" s="1"/>
  <c r="H9" i="2" s="1"/>
  <c r="E8" i="2"/>
  <c r="L16" i="2" s="1"/>
  <c r="F8" i="3"/>
  <c r="K15" i="3" s="1"/>
  <c r="K13" i="5"/>
  <c r="K14" i="5"/>
  <c r="K19" i="5" s="1"/>
  <c r="L13" i="5"/>
  <c r="K20" i="4"/>
  <c r="J20" i="4"/>
  <c r="I21" i="4"/>
  <c r="K19" i="4"/>
  <c r="G8" i="3"/>
  <c r="K16" i="3" s="1"/>
  <c r="I15" i="3"/>
  <c r="J14" i="3"/>
  <c r="J16" i="3"/>
  <c r="H8" i="3"/>
  <c r="V15" i="3" s="1"/>
  <c r="E8" i="3"/>
  <c r="H13" i="2"/>
  <c r="I16" i="2" s="1"/>
  <c r="K18" i="5" l="1"/>
  <c r="C9" i="5" s="1"/>
  <c r="J25" i="4"/>
  <c r="J29" i="4" s="1"/>
  <c r="K32" i="4" s="1"/>
  <c r="I25" i="4"/>
  <c r="I29" i="4" s="1"/>
  <c r="K31" i="4" s="1"/>
  <c r="I24" i="4"/>
  <c r="I28" i="4" s="1"/>
  <c r="J31" i="4" s="1"/>
  <c r="I23" i="4"/>
  <c r="I27" i="4" s="1"/>
  <c r="I31" i="4" s="1"/>
  <c r="H36" i="4"/>
  <c r="K25" i="4"/>
  <c r="K29" i="4" s="1"/>
  <c r="K33" i="4" s="1"/>
  <c r="J23" i="4"/>
  <c r="J27" i="4" s="1"/>
  <c r="I32" i="4" s="1"/>
  <c r="K23" i="4"/>
  <c r="K27" i="4" s="1"/>
  <c r="I33" i="4" s="1"/>
  <c r="J28" i="4"/>
  <c r="J32" i="4" s="1"/>
  <c r="K24" i="4"/>
  <c r="K28" i="4" s="1"/>
  <c r="J33" i="4" s="1"/>
  <c r="I16" i="3"/>
  <c r="J18" i="3" s="1"/>
  <c r="J22" i="3" s="1"/>
  <c r="I27" i="3" s="1"/>
  <c r="J15" i="3"/>
  <c r="K14" i="3"/>
  <c r="J20" i="3" s="1"/>
  <c r="J24" i="3" s="1"/>
  <c r="K27" i="3" s="1"/>
  <c r="I19" i="3"/>
  <c r="I23" i="3" s="1"/>
  <c r="J26" i="3" s="1"/>
  <c r="K19" i="3"/>
  <c r="K23" i="3" s="1"/>
  <c r="J28" i="3" s="1"/>
  <c r="H16" i="2"/>
  <c r="H21" i="2" s="1"/>
  <c r="I15" i="2"/>
  <c r="H15" i="2"/>
  <c r="H20" i="2" s="1"/>
  <c r="C10" i="5" l="1"/>
  <c r="C5" i="5"/>
  <c r="C11" i="5"/>
  <c r="C6" i="5"/>
  <c r="C8" i="5"/>
  <c r="C7" i="5"/>
  <c r="C2" i="5"/>
  <c r="C4" i="5"/>
  <c r="C3" i="5"/>
  <c r="J38" i="4"/>
  <c r="R19" i="4" s="1"/>
  <c r="I40" i="4"/>
  <c r="Q21" i="4" s="1"/>
  <c r="I39" i="4"/>
  <c r="Q20" i="4" s="1"/>
  <c r="J40" i="4"/>
  <c r="R21" i="4" s="1"/>
  <c r="K39" i="4"/>
  <c r="S20" i="4" s="1"/>
  <c r="K38" i="4"/>
  <c r="S19" i="4" s="1"/>
  <c r="I38" i="4"/>
  <c r="Q19" i="4" s="1"/>
  <c r="J39" i="4"/>
  <c r="R20" i="4" s="1"/>
  <c r="K40" i="4"/>
  <c r="S21" i="4" s="1"/>
  <c r="I20" i="3"/>
  <c r="I24" i="3" s="1"/>
  <c r="K26" i="3" s="1"/>
  <c r="I18" i="3"/>
  <c r="I22" i="3" s="1"/>
  <c r="I26" i="3" s="1"/>
  <c r="H31" i="3"/>
  <c r="K34" i="3" s="1"/>
  <c r="S15" i="3" s="1"/>
  <c r="K20" i="3"/>
  <c r="K24" i="3" s="1"/>
  <c r="K28" i="3" s="1"/>
  <c r="K18" i="3"/>
  <c r="K22" i="3" s="1"/>
  <c r="I28" i="3" s="1"/>
  <c r="J19" i="3"/>
  <c r="J23" i="3" s="1"/>
  <c r="J27" i="3" s="1"/>
  <c r="R29" i="4" l="1"/>
  <c r="R30" i="4"/>
  <c r="R31" i="4"/>
  <c r="C2" i="4" s="1"/>
  <c r="J34" i="3"/>
  <c r="R15" i="3" s="1"/>
  <c r="K35" i="3"/>
  <c r="S16" i="3" s="1"/>
  <c r="J35" i="3"/>
  <c r="R16" i="3" s="1"/>
  <c r="J33" i="3"/>
  <c r="R14" i="3" s="1"/>
  <c r="I33" i="3"/>
  <c r="Q14" i="3" s="1"/>
  <c r="I34" i="3"/>
  <c r="Q15" i="3" s="1"/>
  <c r="I35" i="3"/>
  <c r="Q16" i="3" s="1"/>
  <c r="K33" i="3"/>
  <c r="S14" i="3" s="1"/>
  <c r="C6" i="4" l="1"/>
  <c r="C10" i="4"/>
  <c r="C7" i="4"/>
  <c r="C11" i="4"/>
  <c r="C8" i="4"/>
  <c r="C9" i="4"/>
  <c r="C3" i="4"/>
  <c r="C4" i="4"/>
  <c r="C5" i="4"/>
  <c r="R26" i="3"/>
  <c r="R25" i="3"/>
  <c r="R24" i="3"/>
  <c r="C12" i="4" l="1"/>
</calcChain>
</file>

<file path=xl/sharedStrings.xml><?xml version="1.0" encoding="utf-8"?>
<sst xmlns="http://schemas.openxmlformats.org/spreadsheetml/2006/main" count="191" uniqueCount="69">
  <si>
    <t>x</t>
  </si>
  <si>
    <t>y</t>
  </si>
  <si>
    <t>x^2</t>
  </si>
  <si>
    <t>xy</t>
  </si>
  <si>
    <t>i</t>
  </si>
  <si>
    <t>6.3 - The Inverse of a Square Matrix (richland.edu)</t>
  </si>
  <si>
    <t>M'M</t>
  </si>
  <si>
    <t>determinant(M'M)</t>
  </si>
  <si>
    <t>(M'M)^-1</t>
  </si>
  <si>
    <t>M'y</t>
  </si>
  <si>
    <t>a=(M'M)^-1 * (M'y)</t>
  </si>
  <si>
    <t>act</t>
  </si>
  <si>
    <t>lin fit</t>
  </si>
  <si>
    <t>Polynomial Regressions. Theory, Mathematics and how to Calculate Them. – JTA (thedatascientists.com)</t>
  </si>
  <si>
    <t>n</t>
  </si>
  <si>
    <t>x^3</t>
  </si>
  <si>
    <t>x^4</t>
  </si>
  <si>
    <t>x^2*y</t>
  </si>
  <si>
    <t>sums:</t>
  </si>
  <si>
    <t>Inverse of a 3 by 3 matrix (ic.ac.uk)</t>
  </si>
  <si>
    <t>original</t>
  </si>
  <si>
    <t>x2</t>
  </si>
  <si>
    <t>x3</t>
  </si>
  <si>
    <t>x4</t>
  </si>
  <si>
    <t>minor</t>
  </si>
  <si>
    <t>(x2*x4)-(x3*x3)</t>
  </si>
  <si>
    <t>(x*x4)-(x2*x3)</t>
  </si>
  <si>
    <t>(x*x3)-(x2*x2)</t>
  </si>
  <si>
    <t>M11</t>
  </si>
  <si>
    <t>M12</t>
  </si>
  <si>
    <t>M13</t>
  </si>
  <si>
    <t>(x*x4)-(x3*x2)</t>
  </si>
  <si>
    <t>(n*x4)-(x2*x2)</t>
  </si>
  <si>
    <t>(n*x3)-(x2*x)</t>
  </si>
  <si>
    <t>M21</t>
  </si>
  <si>
    <t>M22</t>
  </si>
  <si>
    <t>M23</t>
  </si>
  <si>
    <t>(x2*x2)-(x*x3)</t>
  </si>
  <si>
    <t>(n*x3)-(x*x2)</t>
  </si>
  <si>
    <t>(n*x2)-(x*x)</t>
  </si>
  <si>
    <t>M31</t>
  </si>
  <si>
    <t>M32</t>
  </si>
  <si>
    <t>M33</t>
  </si>
  <si>
    <t>x2y</t>
  </si>
  <si>
    <t>cofactor</t>
  </si>
  <si>
    <t>-1*((x*X4)-(X2*X3))</t>
  </si>
  <si>
    <t>-1*((x*x4)-(x3*x2))</t>
  </si>
  <si>
    <t>-1*((n*x3)-(x2*x))</t>
  </si>
  <si>
    <t>-1*((n*x3)-(x*x2))</t>
  </si>
  <si>
    <t>M11*y+M12*xy+M13*x2y</t>
  </si>
  <si>
    <t>M21*y+M22*xy+M23*x2y</t>
  </si>
  <si>
    <t>transpose</t>
  </si>
  <si>
    <t>M31*y+M32*xy+M33*x2y</t>
  </si>
  <si>
    <t>determinant</t>
  </si>
  <si>
    <t>n*((x2*x4)-(x3*x3))-x*((x*x4)-(x2*x3))+x2*((x*x3)-(x2*x2))</t>
  </si>
  <si>
    <t>inverse</t>
  </si>
  <si>
    <t>((x2*x4)-(x3*x3))/det</t>
  </si>
  <si>
    <t>(-1*((x*x4)-(x3*x2)))/det</t>
  </si>
  <si>
    <t>((x2*x2)-(x*x3))/det</t>
  </si>
  <si>
    <t>(-1*((x*X4)-(X2*X3)))/det</t>
  </si>
  <si>
    <t>((n*x4)-(x2*x2))/det</t>
  </si>
  <si>
    <t>(-1*((n*x3)-(x*x2)))/det</t>
  </si>
  <si>
    <t>((x*x3)-(x2*x2))/det</t>
  </si>
  <si>
    <t>(-1*((n*x3)-(x2*x)))/det</t>
  </si>
  <si>
    <t>((n*x2)-(x*x))/det</t>
  </si>
  <si>
    <t>poly fit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</si>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</sst>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0" xfId="42"/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0" fillId="6" borderId="5" xfId="10" applyAlignment="1">
      <alignment horizontal="center"/>
    </xf>
    <xf numFmtId="1" fontId="16" fillId="0" borderId="15" xfId="0" applyNumberFormat="1" applyFont="1" applyBorder="1" applyAlignment="1">
      <alignment horizontal="center"/>
    </xf>
    <xf numFmtId="1" fontId="16" fillId="0" borderId="16" xfId="0" applyNumberFormat="1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164" fontId="0" fillId="0" borderId="10" xfId="0" applyNumberFormat="1" applyBorder="1"/>
    <xf numFmtId="0" fontId="0" fillId="0" borderId="0" xfId="0" applyNumberFormat="1" applyAlignment="1">
      <alignment horizontal="center"/>
    </xf>
    <xf numFmtId="166" fontId="16" fillId="0" borderId="14" xfId="0" applyNumberFormat="1" applyFont="1" applyBorder="1" applyAlignment="1">
      <alignment horizontal="center"/>
    </xf>
    <xf numFmtId="166" fontId="16" fillId="0" borderId="15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65939725014046"/>
                  <c:y val="6.3330417031204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6.2</c:v>
                </c:pt>
              </c:numCache>
            </c:numRef>
          </c:xVal>
          <c:yVal>
            <c:numRef>
              <c:f>lin!$B$2:$B$6</c:f>
              <c:numCache>
                <c:formatCode>General</c:formatCode>
                <c:ptCount val="5"/>
                <c:pt idx="0">
                  <c:v>-7.5</c:v>
                </c:pt>
                <c:pt idx="1">
                  <c:v>-15.6</c:v>
                </c:pt>
                <c:pt idx="2">
                  <c:v>-40.5</c:v>
                </c:pt>
                <c:pt idx="3">
                  <c:v>-80.7</c:v>
                </c:pt>
                <c:pt idx="4">
                  <c:v>-123.876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2-47D7-B130-DA2240E7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88479"/>
        <c:axId val="1776088895"/>
      </c:scatterChart>
      <c:valAx>
        <c:axId val="17760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8895"/>
        <c:crosses val="autoZero"/>
        <c:crossBetween val="midCat"/>
      </c:valAx>
      <c:valAx>
        <c:axId val="177608889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 (test)'!$B$1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98563899024813E-2"/>
                  <c:y val="-0.28625729075532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 (test)'!$A$2:$A$11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 (test)'!$B$2:$B$11</c:f>
              <c:numCache>
                <c:formatCode>0.0000</c:formatCode>
                <c:ptCount val="10"/>
                <c:pt idx="0">
                  <c:v>19.398166131283801</c:v>
                </c:pt>
                <c:pt idx="1">
                  <c:v>22.074466274826701</c:v>
                </c:pt>
                <c:pt idx="2">
                  <c:v>23.9748701087277</c:v>
                </c:pt>
                <c:pt idx="3">
                  <c:v>22.973588342269299</c:v>
                </c:pt>
                <c:pt idx="4">
                  <c:v>29.4879557801004</c:v>
                </c:pt>
                <c:pt idx="5">
                  <c:v>22.989396031428399</c:v>
                </c:pt>
                <c:pt idx="6">
                  <c:v>25.233028730264099</c:v>
                </c:pt>
                <c:pt idx="7">
                  <c:v>27.195993292736699</c:v>
                </c:pt>
                <c:pt idx="8">
                  <c:v>21.8542647155944</c:v>
                </c:pt>
                <c:pt idx="9">
                  <c:v>22.313073296492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D-460F-8D39-FDA14FF7E61F}"/>
            </c:ext>
          </c:extLst>
        </c:ser>
        <c:ser>
          <c:idx val="1"/>
          <c:order val="1"/>
          <c:tx>
            <c:strRef>
              <c:f>'lin (test)'!$C$1</c:f>
              <c:strCache>
                <c:ptCount val="1"/>
                <c:pt idx="0">
                  <c:v>lin fit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'lin (test)'!$A$2:$A$11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 (test)'!$C$2:$C$11</c:f>
              <c:numCache>
                <c:formatCode>0.0000</c:formatCode>
                <c:ptCount val="10"/>
                <c:pt idx="0">
                  <c:v>22.629167609255834</c:v>
                </c:pt>
                <c:pt idx="1">
                  <c:v>22.878125978392838</c:v>
                </c:pt>
                <c:pt idx="2">
                  <c:v>23.127084347529841</c:v>
                </c:pt>
                <c:pt idx="3">
                  <c:v>23.376042716666845</c:v>
                </c:pt>
                <c:pt idx="4">
                  <c:v>23.625001085803849</c:v>
                </c:pt>
                <c:pt idx="5">
                  <c:v>23.873959454940852</c:v>
                </c:pt>
                <c:pt idx="6">
                  <c:v>24.122917824077856</c:v>
                </c:pt>
                <c:pt idx="7">
                  <c:v>24.37187619321486</c:v>
                </c:pt>
                <c:pt idx="8">
                  <c:v>24.620834562351863</c:v>
                </c:pt>
                <c:pt idx="9">
                  <c:v>24.869792931488867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D-460F-8D39-FDA14FF7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088479"/>
        <c:axId val="1776088895"/>
      </c:barChart>
      <c:catAx>
        <c:axId val="17760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8895"/>
        <c:crosses val="autoZero"/>
        <c:auto val="0"/>
        <c:lblAlgn val="ctr"/>
        <c:lblOffset val="100"/>
        <c:tickMarkSkip val="1"/>
        <c:noMultiLvlLbl val="0"/>
      </c:catAx>
      <c:valAx>
        <c:axId val="17760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465939725014046"/>
                  <c:y val="6.3330417031204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6.2</c:v>
                </c:pt>
              </c:numCache>
            </c:numRef>
          </c:xVal>
          <c:yVal>
            <c:numRef>
              <c:f>lin!$B$2:$B$6</c:f>
              <c:numCache>
                <c:formatCode>General</c:formatCode>
                <c:ptCount val="5"/>
                <c:pt idx="0">
                  <c:v>-7.5</c:v>
                </c:pt>
                <c:pt idx="1">
                  <c:v>-15.6</c:v>
                </c:pt>
                <c:pt idx="2">
                  <c:v>-40.5</c:v>
                </c:pt>
                <c:pt idx="3">
                  <c:v>-80.7</c:v>
                </c:pt>
                <c:pt idx="4">
                  <c:v>-123.876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A-4112-9C7E-FFE64FD0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88479"/>
        <c:axId val="1776088895"/>
      </c:scatterChart>
      <c:valAx>
        <c:axId val="17760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8895"/>
        <c:crosses val="autoZero"/>
        <c:crossBetween val="midCat"/>
      </c:valAx>
      <c:valAx>
        <c:axId val="177608889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'poly (test)'!$B$1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9524674027006683E-2"/>
                  <c:y val="-0.29043562263050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'poly (test)'!$A$2:$A$11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'poly (test)'!$B$2:$B$11</c:f>
              <c:numCache>
                <c:formatCode>0.0000</c:formatCode>
                <c:ptCount val="10"/>
                <c:pt idx="0">
                  <c:v>19.398166131283801</c:v>
                </c:pt>
                <c:pt idx="1">
                  <c:v>22.074466274826701</c:v>
                </c:pt>
                <c:pt idx="2">
                  <c:v>23.9748701087277</c:v>
                </c:pt>
                <c:pt idx="3">
                  <c:v>22.973588342269299</c:v>
                </c:pt>
                <c:pt idx="4">
                  <c:v>29.4879557801004</c:v>
                </c:pt>
                <c:pt idx="5">
                  <c:v>22.989396031428399</c:v>
                </c:pt>
                <c:pt idx="6">
                  <c:v>25.233028730264099</c:v>
                </c:pt>
                <c:pt idx="7">
                  <c:v>27.195993292736699</c:v>
                </c:pt>
                <c:pt idx="8">
                  <c:v>21.8542647155944</c:v>
                </c:pt>
                <c:pt idx="9">
                  <c:v>22.313073296492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A-4004-AD15-16DB8DD42B49}"/>
            </c:ext>
          </c:extLst>
        </c:ser>
        <c:ser>
          <c:idx val="1"/>
          <c:order val="1"/>
          <c:tx>
            <c:strRef>
              <c:f>'poly (test)'!$C$1</c:f>
              <c:strCache>
                <c:ptCount val="1"/>
                <c:pt idx="0">
                  <c:v>poly 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'poly (test)'!$A$2:$A$11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'poly (test)'!$C$2:$C$11</c:f>
              <c:numCache>
                <c:formatCode>0.0000</c:formatCode>
                <c:ptCount val="10"/>
                <c:pt idx="0">
                  <c:v>19.557566549361127</c:v>
                </c:pt>
                <c:pt idx="1">
                  <c:v>21.854258958427977</c:v>
                </c:pt>
                <c:pt idx="2">
                  <c:v>23.639017857512385</c:v>
                </c:pt>
                <c:pt idx="3">
                  <c:v>24.911843246614353</c:v>
                </c:pt>
                <c:pt idx="4">
                  <c:v>25.67273512573388</c:v>
                </c:pt>
                <c:pt idx="5">
                  <c:v>25.921693494870965</c:v>
                </c:pt>
                <c:pt idx="6">
                  <c:v>25.658718354025609</c:v>
                </c:pt>
                <c:pt idx="7">
                  <c:v>24.883809703197812</c:v>
                </c:pt>
                <c:pt idx="8">
                  <c:v>23.596967542387574</c:v>
                </c:pt>
                <c:pt idx="9">
                  <c:v>21.798191871594895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A-4004-AD15-16DB8DD4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088479"/>
        <c:axId val="1776088895"/>
      </c:barChart>
      <c:catAx>
        <c:axId val="17760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8895"/>
        <c:crosses val="autoZero"/>
        <c:auto val="0"/>
        <c:lblAlgn val="ctr"/>
        <c:lblOffset val="100"/>
        <c:noMultiLvlLbl val="0"/>
      </c:catAx>
      <c:valAx>
        <c:axId val="17760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76200</xdr:rowOff>
    </xdr:from>
    <xdr:to>
      <xdr:col>5</xdr:col>
      <xdr:colOff>466725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FA52A-1822-4A99-965A-5FDA9CE5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76200</xdr:rowOff>
    </xdr:from>
    <xdr:to>
      <xdr:col>5</xdr:col>
      <xdr:colOff>466725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1A6EB-00FA-4B88-B699-9C5D47CEB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76200</xdr:rowOff>
    </xdr:from>
    <xdr:to>
      <xdr:col>5</xdr:col>
      <xdr:colOff>466725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44E21-A01E-453F-8943-654A84712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5</xdr:col>
      <xdr:colOff>466725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BC852-9D97-4ED0-9A66-32EA8BF3A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6" totalsRowShown="0">
  <autoFilter ref="A1:B6" xr:uid="{00000000-0009-0000-0100-000002000000}"/>
  <tableColumns count="2">
    <tableColumn id="1" xr3:uid="{00000000-0010-0000-0100-000001000000}" name="x"/>
    <tableColumn id="2" xr3:uid="{00000000-0010-0000-0100-000002000000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090E28-0B68-4C59-909D-F3A242282FBC}" name="Table27" displayName="Table27" ref="A1:C11" totalsRowShown="0" headerRowDxfId="10" dataDxfId="9">
  <autoFilter ref="A1:C11" xr:uid="{00000000-0009-0000-0100-000002000000}"/>
  <tableColumns count="3">
    <tableColumn id="1" xr3:uid="{5298DDE4-510A-4AAA-AEA9-B3035B03A0B8}" name="x" dataDxfId="8"/>
    <tableColumn id="2" xr3:uid="{45BAF0BC-101A-4CC9-9EA3-D9533B0A105E}" name="act" dataDxfId="7"/>
    <tableColumn id="3" xr3:uid="{D4BA8976-FAB8-4338-A49F-5C30B10B0762}" name="lin fit" dataDxfId="6">
      <calculatedColumnFormula>$K$19*Table27[[#This Row],[x]]+$K$18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1:B6" totalsRowShown="0">
  <autoFilter ref="A1:B6" xr:uid="{00000000-0009-0000-0100-000003000000}"/>
  <tableColumns count="2">
    <tableColumn id="1" xr3:uid="{00000000-0010-0000-0200-000001000000}" name="x"/>
    <tableColumn id="2" xr3:uid="{00000000-0010-0000-0200-000002000000}" name="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BB9543-C5BA-4A24-8840-486E25E31120}" name="Table245" displayName="Table245" ref="A1:C12" totalsRowCount="1">
  <autoFilter ref="A1:C11" xr:uid="{00000000-0009-0000-0100-000003000000}">
    <filterColumn colId="0" hiddenButton="1"/>
    <filterColumn colId="1" hiddenButton="1"/>
    <filterColumn colId="2" hiddenButton="1"/>
  </autoFilter>
  <tableColumns count="3">
    <tableColumn id="1" xr3:uid="{9C28B7C0-0E00-4BE4-8729-7112919A6C6F}" name="x" totalsRowFunction="sum" dataDxfId="5" totalsRowDxfId="2"/>
    <tableColumn id="2" xr3:uid="{32856FB3-8E3D-4259-878B-3E82AE35EB7D}" name="act" totalsRowFunction="sum" dataDxfId="4" totalsRowDxfId="1"/>
    <tableColumn id="3" xr3:uid="{0557FB37-B759-4775-ACD8-343D3025B3C6}" name="poly fit" totalsRowFunction="sum" dataDxfId="3" totalsRowDxfId="0">
      <calculatedColumnFormula>$R$31*Table245[[#This Row],[x]]^2+$R$30*Table245[[#This Row],[x]]+$R$29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people.richland.edu/james/lecture/m116/matrices/invers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hyperlink" Target="https://metric.ma.ic.ac.uk/metric_public/matrices/inverses/inverses2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datascientists.com/polynomial-regression/" TargetMode="External"/><Relationship Id="rId2" Type="http://schemas.openxmlformats.org/officeDocument/2006/relationships/hyperlink" Target="https://people.richland.edu/james/lecture/m116/matrices/inverses.html" TargetMode="External"/><Relationship Id="rId1" Type="http://schemas.openxmlformats.org/officeDocument/2006/relationships/hyperlink" Target="https://metric.ma.ic.ac.uk/metric_public/matrices/inverses/inverses2.html" TargetMode="External"/><Relationship Id="rId5" Type="http://schemas.openxmlformats.org/officeDocument/2006/relationships/table" Target="../tables/table4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M2" sqref="M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</row>
    <row r="2" spans="1:13" x14ac:dyDescent="0.25">
      <c r="A2">
        <v>1</v>
      </c>
      <c r="B2">
        <v>-7.5</v>
      </c>
      <c r="D2">
        <f>Table2[[#This Row],[x]]^2</f>
        <v>1</v>
      </c>
      <c r="E2">
        <f>Table2[[#This Row],[x]]*Table2[[#This Row],[y]]</f>
        <v>-7.5</v>
      </c>
      <c r="G2">
        <f>COUNT(Table2[x])</f>
        <v>5</v>
      </c>
      <c r="M2" s="5"/>
    </row>
    <row r="3" spans="1:13" x14ac:dyDescent="0.25">
      <c r="A3">
        <v>2</v>
      </c>
      <c r="B3">
        <v>-15.6</v>
      </c>
      <c r="D3">
        <f>Table2[[#This Row],[x]]^2</f>
        <v>4</v>
      </c>
      <c r="E3">
        <f>Table2[[#This Row],[x]]*Table2[[#This Row],[y]]</f>
        <v>-31.2</v>
      </c>
      <c r="M3" s="5" t="s">
        <v>5</v>
      </c>
    </row>
    <row r="4" spans="1:13" x14ac:dyDescent="0.25">
      <c r="A4">
        <v>3.5</v>
      </c>
      <c r="B4">
        <v>-40.5</v>
      </c>
      <c r="D4">
        <f>Table2[[#This Row],[x]]^2</f>
        <v>12.25</v>
      </c>
      <c r="E4">
        <f>Table2[[#This Row],[x]]*Table2[[#This Row],[y]]</f>
        <v>-141.75</v>
      </c>
      <c r="G4" t="s">
        <v>6</v>
      </c>
      <c r="H4" s="3">
        <f>G2</f>
        <v>5</v>
      </c>
      <c r="I4" s="3">
        <f>A8</f>
        <v>17.7</v>
      </c>
    </row>
    <row r="5" spans="1:13" x14ac:dyDescent="0.25">
      <c r="A5">
        <v>5</v>
      </c>
      <c r="B5">
        <v>-80.7</v>
      </c>
      <c r="D5">
        <f>Table2[[#This Row],[x]]^2</f>
        <v>25</v>
      </c>
      <c r="E5">
        <f>Table2[[#This Row],[x]]*Table2[[#This Row],[y]]</f>
        <v>-403.5</v>
      </c>
      <c r="H5" s="3">
        <f>A8</f>
        <v>17.7</v>
      </c>
      <c r="I5" s="3">
        <f>D8</f>
        <v>80.69</v>
      </c>
    </row>
    <row r="6" spans="1:13" x14ac:dyDescent="0.25">
      <c r="A6">
        <v>6.2</v>
      </c>
      <c r="B6">
        <v>-123.876</v>
      </c>
      <c r="D6">
        <f>Table2[[#This Row],[x]]^2</f>
        <v>38.440000000000005</v>
      </c>
      <c r="E6">
        <f>Table2[[#This Row],[x]]*Table2[[#This Row],[y]]</f>
        <v>-768.03120000000001</v>
      </c>
    </row>
    <row r="8" spans="1:13" x14ac:dyDescent="0.25">
      <c r="A8">
        <f>SUM(Table2[x])</f>
        <v>17.7</v>
      </c>
      <c r="B8">
        <f>SUM(Table2[y])</f>
        <v>-268.17600000000004</v>
      </c>
      <c r="D8">
        <f>SUM(D2:D6)</f>
        <v>80.69</v>
      </c>
      <c r="E8">
        <f>SUM(E2:E6)</f>
        <v>-1351.9812000000002</v>
      </c>
    </row>
    <row r="9" spans="1:13" x14ac:dyDescent="0.25">
      <c r="H9" s="4">
        <f>I5</f>
        <v>80.69</v>
      </c>
      <c r="I9" s="4">
        <f>-I4</f>
        <v>-17.7</v>
      </c>
    </row>
    <row r="10" spans="1:13" x14ac:dyDescent="0.25">
      <c r="H10" s="4">
        <f>-H5</f>
        <v>-17.7</v>
      </c>
      <c r="I10" s="4">
        <f>H4</f>
        <v>5</v>
      </c>
    </row>
    <row r="12" spans="1:13" x14ac:dyDescent="0.25">
      <c r="H12" t="s">
        <v>7</v>
      </c>
    </row>
    <row r="13" spans="1:13" x14ac:dyDescent="0.25">
      <c r="H13">
        <f>(H9*I10)-(H10*I9)</f>
        <v>90.160000000000025</v>
      </c>
    </row>
    <row r="15" spans="1:13" x14ac:dyDescent="0.25">
      <c r="G15" t="s">
        <v>8</v>
      </c>
      <c r="H15" s="4">
        <f>H9/$H$13</f>
        <v>0.89496450754214707</v>
      </c>
      <c r="I15" s="4">
        <f>I9/$H$13</f>
        <v>-0.19631765749778166</v>
      </c>
      <c r="K15" t="s">
        <v>9</v>
      </c>
      <c r="L15" s="4">
        <f>B8</f>
        <v>-268.17600000000004</v>
      </c>
    </row>
    <row r="16" spans="1:13" x14ac:dyDescent="0.25">
      <c r="H16" s="4">
        <f>H10/$H$13</f>
        <v>-0.19631765749778166</v>
      </c>
      <c r="I16" s="4">
        <f>I10/$H$13</f>
        <v>5.5456965394853577E-2</v>
      </c>
      <c r="L16" s="4">
        <f>E8</f>
        <v>-1351.9812000000002</v>
      </c>
    </row>
    <row r="19" spans="7:8" x14ac:dyDescent="0.25">
      <c r="G19" t="s">
        <v>10</v>
      </c>
    </row>
    <row r="20" spans="7:8" x14ac:dyDescent="0.25">
      <c r="H20" s="4">
        <f>H15*L15+I15*L16</f>
        <v>25.409780390416984</v>
      </c>
    </row>
    <row r="21" spans="7:8" x14ac:dyDescent="0.25">
      <c r="H21" s="4">
        <f>H16*L15+I16*L16</f>
        <v>-22.329090505767518</v>
      </c>
    </row>
  </sheetData>
  <hyperlinks>
    <hyperlink ref="M3" r:id="rId1" display="https://people.richland.edu/james/lecture/m116/matrices/inverses.html" xr:uid="{00000000-0004-0000-0100-000000000000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AC8-1597-43EF-81EC-F6BD409AA827}">
  <dimension ref="A1:O19"/>
  <sheetViews>
    <sheetView workbookViewId="0">
      <selection activeCell="K1" sqref="K1:K2"/>
    </sheetView>
  </sheetViews>
  <sheetFormatPr defaultRowHeight="15" x14ac:dyDescent="0.25"/>
  <cols>
    <col min="2" max="3" width="10.7109375" customWidth="1"/>
  </cols>
  <sheetData>
    <row r="1" spans="1:15" x14ac:dyDescent="0.25">
      <c r="A1" s="1" t="s">
        <v>0</v>
      </c>
      <c r="B1" s="1" t="s">
        <v>11</v>
      </c>
      <c r="C1" s="1" t="s">
        <v>12</v>
      </c>
      <c r="E1" t="s">
        <v>4</v>
      </c>
      <c r="F1" t="s">
        <v>2</v>
      </c>
      <c r="G1" t="s">
        <v>3</v>
      </c>
    </row>
    <row r="2" spans="1:15" x14ac:dyDescent="0.25">
      <c r="A2" s="18">
        <v>1</v>
      </c>
      <c r="B2" s="8">
        <v>19.398166131283801</v>
      </c>
      <c r="C2" s="8">
        <f>$K$19*Table27[[#This Row],[x]]+$K$18</f>
        <v>22.629167609255834</v>
      </c>
      <c r="E2">
        <f>COUNT(Table27[x])</f>
        <v>10</v>
      </c>
      <c r="F2">
        <f>Table27[[#This Row],[x]]^2</f>
        <v>1</v>
      </c>
      <c r="G2">
        <f>Table27[[#This Row],[x]]*Table27[[#This Row],[act]]</f>
        <v>19.398166131283801</v>
      </c>
    </row>
    <row r="3" spans="1:15" x14ac:dyDescent="0.25">
      <c r="A3" s="18">
        <v>2</v>
      </c>
      <c r="B3" s="8">
        <v>22.074466274826701</v>
      </c>
      <c r="C3" s="8">
        <f>$K$19*Table27[[#This Row],[x]]+$K$18</f>
        <v>22.878125978392838</v>
      </c>
      <c r="F3">
        <f>Table27[[#This Row],[x]]^2</f>
        <v>4</v>
      </c>
      <c r="G3">
        <f>Table27[[#This Row],[x]]*Table27[[#This Row],[act]]</f>
        <v>44.148932549653402</v>
      </c>
    </row>
    <row r="4" spans="1:15" x14ac:dyDescent="0.25">
      <c r="A4" s="18">
        <v>3</v>
      </c>
      <c r="B4" s="8">
        <v>23.9748701087277</v>
      </c>
      <c r="C4" s="8">
        <f>$K$19*Table27[[#This Row],[x]]+$K$18</f>
        <v>23.127084347529841</v>
      </c>
      <c r="F4">
        <f>Table27[[#This Row],[x]]^2</f>
        <v>9</v>
      </c>
      <c r="G4">
        <f>Table27[[#This Row],[x]]*Table27[[#This Row],[act]]</f>
        <v>71.9246103261831</v>
      </c>
      <c r="J4" t="s">
        <v>6</v>
      </c>
      <c r="K4" s="3">
        <f>E2</f>
        <v>10</v>
      </c>
      <c r="L4" s="3">
        <f>A13</f>
        <v>55</v>
      </c>
    </row>
    <row r="5" spans="1:15" x14ac:dyDescent="0.25">
      <c r="A5" s="18">
        <v>4</v>
      </c>
      <c r="B5" s="8">
        <v>22.973588342269299</v>
      </c>
      <c r="C5" s="8">
        <f>$K$19*Table27[[#This Row],[x]]+$K$18</f>
        <v>23.376042716666845</v>
      </c>
      <c r="F5">
        <f>Table27[[#This Row],[x]]^2</f>
        <v>16</v>
      </c>
      <c r="G5">
        <f>Table27[[#This Row],[x]]*Table27[[#This Row],[act]]</f>
        <v>91.894353369077194</v>
      </c>
      <c r="K5" s="3">
        <f>A13</f>
        <v>55</v>
      </c>
      <c r="L5" s="3">
        <f>F13</f>
        <v>385</v>
      </c>
    </row>
    <row r="6" spans="1:15" x14ac:dyDescent="0.25">
      <c r="A6" s="18">
        <v>5</v>
      </c>
      <c r="B6" s="8">
        <v>29.4879557801004</v>
      </c>
      <c r="C6" s="8">
        <f>$K$19*Table27[[#This Row],[x]]+$K$18</f>
        <v>23.625001085803849</v>
      </c>
      <c r="F6">
        <f>Table27[[#This Row],[x]]^2</f>
        <v>25</v>
      </c>
      <c r="G6">
        <f>Table27[[#This Row],[x]]*Table27[[#This Row],[act]]</f>
        <v>147.43977890050201</v>
      </c>
    </row>
    <row r="7" spans="1:15" x14ac:dyDescent="0.25">
      <c r="A7" s="18">
        <v>6</v>
      </c>
      <c r="B7" s="8">
        <v>22.989396031428399</v>
      </c>
      <c r="C7" s="8">
        <f>$K$19*Table27[[#This Row],[x]]+$K$18</f>
        <v>23.873959454940852</v>
      </c>
      <c r="F7">
        <f>Table27[[#This Row],[x]]^2</f>
        <v>36</v>
      </c>
      <c r="G7">
        <f>Table27[[#This Row],[x]]*Table27[[#This Row],[act]]</f>
        <v>137.93637618857039</v>
      </c>
      <c r="K7" s="4">
        <f>L5</f>
        <v>385</v>
      </c>
      <c r="L7" s="4">
        <f>-L4</f>
        <v>-55</v>
      </c>
    </row>
    <row r="8" spans="1:15" x14ac:dyDescent="0.25">
      <c r="A8" s="18">
        <v>7</v>
      </c>
      <c r="B8" s="8">
        <v>25.233028730264099</v>
      </c>
      <c r="C8" s="8">
        <f>$K$19*Table27[[#This Row],[x]]+$K$18</f>
        <v>24.122917824077856</v>
      </c>
      <c r="F8">
        <f>Table27[[#This Row],[x]]^2</f>
        <v>49</v>
      </c>
      <c r="G8">
        <f>Table27[[#This Row],[x]]*Table27[[#This Row],[act]]</f>
        <v>176.6312011118487</v>
      </c>
      <c r="K8" s="4">
        <f>-K5</f>
        <v>-55</v>
      </c>
      <c r="L8" s="4">
        <f>K4</f>
        <v>10</v>
      </c>
    </row>
    <row r="9" spans="1:15" x14ac:dyDescent="0.25">
      <c r="A9" s="18">
        <v>8</v>
      </c>
      <c r="B9" s="8">
        <v>27.195993292736699</v>
      </c>
      <c r="C9" s="8">
        <f>$K$19*Table27[[#This Row],[x]]+$K$18</f>
        <v>24.37187619321486</v>
      </c>
      <c r="F9">
        <f>Table27[[#This Row],[x]]^2</f>
        <v>64</v>
      </c>
      <c r="G9">
        <f>Table27[[#This Row],[x]]*Table27[[#This Row],[act]]</f>
        <v>217.56794634189359</v>
      </c>
    </row>
    <row r="10" spans="1:15" x14ac:dyDescent="0.25">
      <c r="A10" s="18">
        <v>9</v>
      </c>
      <c r="B10" s="8">
        <v>21.8542647155944</v>
      </c>
      <c r="C10" s="8">
        <f>$K$19*Table27[[#This Row],[x]]+$K$18</f>
        <v>24.620834562351863</v>
      </c>
      <c r="F10">
        <f>Table27[[#This Row],[x]]^2</f>
        <v>81</v>
      </c>
      <c r="G10">
        <f>Table27[[#This Row],[x]]*Table27[[#This Row],[act]]</f>
        <v>196.68838244034961</v>
      </c>
      <c r="K10" t="s">
        <v>7</v>
      </c>
    </row>
    <row r="11" spans="1:15" x14ac:dyDescent="0.25">
      <c r="A11" s="18">
        <v>10</v>
      </c>
      <c r="B11" s="8">
        <v>22.313073296492</v>
      </c>
      <c r="C11" s="8">
        <f>$K$19*Table27[[#This Row],[x]]+$K$18</f>
        <v>24.869792931488867</v>
      </c>
      <c r="F11">
        <f>Table27[[#This Row],[x]]^2</f>
        <v>100</v>
      </c>
      <c r="G11">
        <f>Table27[[#This Row],[x]]*Table27[[#This Row],[act]]</f>
        <v>223.13073296492001</v>
      </c>
      <c r="K11">
        <f>(K7*L8)-(K8*L7)</f>
        <v>825</v>
      </c>
    </row>
    <row r="13" spans="1:15" x14ac:dyDescent="0.25">
      <c r="A13">
        <f>SUM(Table27[x])</f>
        <v>55</v>
      </c>
      <c r="B13">
        <f>SUM(Table27[act])</f>
        <v>237.49480270372348</v>
      </c>
      <c r="F13">
        <f>SUM(F2:F11)</f>
        <v>385</v>
      </c>
      <c r="G13">
        <f>SUM(G2:G11)</f>
        <v>1326.7604803242818</v>
      </c>
      <c r="J13" t="s">
        <v>8</v>
      </c>
      <c r="K13" s="4">
        <f>K7/$K$11</f>
        <v>0.46666666666666667</v>
      </c>
      <c r="L13" s="4">
        <f>L7/$K$11</f>
        <v>-6.6666666666666666E-2</v>
      </c>
      <c r="N13" t="s">
        <v>9</v>
      </c>
      <c r="O13" s="4">
        <f>B13</f>
        <v>237.49480270372348</v>
      </c>
    </row>
    <row r="14" spans="1:15" x14ac:dyDescent="0.25">
      <c r="K14" s="4">
        <f>K8/$K$11</f>
        <v>-6.6666666666666666E-2</v>
      </c>
      <c r="L14" s="4">
        <f>L8/$K$11</f>
        <v>1.2121212121212121E-2</v>
      </c>
      <c r="O14" s="4">
        <f>G13</f>
        <v>1326.7604803242818</v>
      </c>
    </row>
    <row r="17" spans="10:11" x14ac:dyDescent="0.25">
      <c r="J17" t="s">
        <v>10</v>
      </c>
    </row>
    <row r="18" spans="10:11" x14ac:dyDescent="0.25">
      <c r="K18" s="4">
        <f>K13*O13+L13*O14</f>
        <v>22.38020924011883</v>
      </c>
    </row>
    <row r="19" spans="10:11" x14ac:dyDescent="0.25">
      <c r="K19" s="4">
        <f>K14*O13+L14*O14</f>
        <v>0.24895836913700364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5"/>
  <sheetViews>
    <sheetView workbookViewId="0">
      <selection activeCell="L5" sqref="L5"/>
    </sheetView>
  </sheetViews>
  <sheetFormatPr defaultRowHeight="15" x14ac:dyDescent="0.25"/>
  <cols>
    <col min="12" max="14" width="22.7109375" customWidth="1"/>
  </cols>
  <sheetData>
    <row r="1" spans="1:22" x14ac:dyDescent="0.25">
      <c r="A1" t="s">
        <v>0</v>
      </c>
      <c r="B1" t="s">
        <v>1</v>
      </c>
      <c r="D1" t="s">
        <v>14</v>
      </c>
      <c r="E1" t="s">
        <v>2</v>
      </c>
      <c r="F1" t="s">
        <v>15</v>
      </c>
      <c r="G1" t="s">
        <v>16</v>
      </c>
      <c r="H1" t="s">
        <v>3</v>
      </c>
      <c r="I1" t="s">
        <v>17</v>
      </c>
    </row>
    <row r="2" spans="1:22" x14ac:dyDescent="0.25">
      <c r="A2">
        <v>1</v>
      </c>
      <c r="B2">
        <v>-7.5</v>
      </c>
      <c r="D2">
        <f>COUNT(Table24[x])</f>
        <v>5</v>
      </c>
      <c r="E2">
        <f>Table24[[#This Row],[x]]^2</f>
        <v>1</v>
      </c>
      <c r="F2">
        <f>Table24[[#This Row],[x]]^3</f>
        <v>1</v>
      </c>
      <c r="G2">
        <f>Table24[[#This Row],[x]]^4</f>
        <v>1</v>
      </c>
      <c r="H2">
        <f>Table24[[#This Row],[x]]*Table24[[#This Row],[y]]</f>
        <v>-7.5</v>
      </c>
      <c r="I2">
        <f>E2*Table24[[#This Row],[y]]</f>
        <v>-7.5</v>
      </c>
      <c r="L2" s="5"/>
      <c r="M2" s="5"/>
    </row>
    <row r="3" spans="1:22" x14ac:dyDescent="0.25">
      <c r="A3">
        <v>2</v>
      </c>
      <c r="B3">
        <v>-15.6</v>
      </c>
      <c r="E3">
        <f>Table24[[#This Row],[x]]^2</f>
        <v>4</v>
      </c>
      <c r="F3">
        <f>Table24[[#This Row],[x]]^3</f>
        <v>8</v>
      </c>
      <c r="G3">
        <f>Table24[[#This Row],[x]]^4</f>
        <v>16</v>
      </c>
      <c r="H3">
        <f>Table24[[#This Row],[x]]*Table24[[#This Row],[y]]</f>
        <v>-31.2</v>
      </c>
      <c r="I3">
        <f>E3*Table24[[#This Row],[y]]</f>
        <v>-62.4</v>
      </c>
      <c r="L3" s="5"/>
    </row>
    <row r="4" spans="1:22" x14ac:dyDescent="0.25">
      <c r="A4">
        <v>3.5</v>
      </c>
      <c r="B4">
        <v>-40.5</v>
      </c>
      <c r="E4">
        <f>Table24[[#This Row],[x]]^2</f>
        <v>12.25</v>
      </c>
      <c r="F4">
        <f>Table24[[#This Row],[x]]^3</f>
        <v>42.875</v>
      </c>
      <c r="G4">
        <f>Table24[[#This Row],[x]]^4</f>
        <v>150.0625</v>
      </c>
      <c r="H4">
        <f>Table24[[#This Row],[x]]*Table24[[#This Row],[y]]</f>
        <v>-141.75</v>
      </c>
      <c r="I4">
        <f>E4*Table24[[#This Row],[y]]</f>
        <v>-496.125</v>
      </c>
    </row>
    <row r="5" spans="1:22" x14ac:dyDescent="0.25">
      <c r="A5">
        <v>5</v>
      </c>
      <c r="B5">
        <v>-80.7</v>
      </c>
      <c r="E5">
        <f>Table24[[#This Row],[x]]^2</f>
        <v>25</v>
      </c>
      <c r="F5">
        <f>Table24[[#This Row],[x]]^3</f>
        <v>125</v>
      </c>
      <c r="G5">
        <f>Table24[[#This Row],[x]]^4</f>
        <v>625</v>
      </c>
      <c r="H5">
        <f>Table24[[#This Row],[x]]*Table24[[#This Row],[y]]</f>
        <v>-403.5</v>
      </c>
      <c r="I5">
        <f>E5*Table24[[#This Row],[y]]</f>
        <v>-2017.5</v>
      </c>
    </row>
    <row r="6" spans="1:22" x14ac:dyDescent="0.25">
      <c r="A6">
        <v>6.2</v>
      </c>
      <c r="B6">
        <v>-123.876</v>
      </c>
      <c r="E6">
        <f>Table24[[#This Row],[x]]^2</f>
        <v>38.440000000000005</v>
      </c>
      <c r="F6">
        <f>Table24[[#This Row],[x]]^3</f>
        <v>238.32800000000003</v>
      </c>
      <c r="G6">
        <f>Table24[[#This Row],[x]]^4</f>
        <v>1477.6336000000003</v>
      </c>
      <c r="H6">
        <f>Table24[[#This Row],[x]]*Table24[[#This Row],[y]]</f>
        <v>-768.03120000000001</v>
      </c>
      <c r="I6">
        <f>E6*Table24[[#This Row],[y]]</f>
        <v>-4761.7934400000004</v>
      </c>
    </row>
    <row r="8" spans="1:22" x14ac:dyDescent="0.25">
      <c r="A8">
        <f>SUM(Table24[x])</f>
        <v>17.7</v>
      </c>
      <c r="B8">
        <f>SUM(Table24[y])</f>
        <v>-268.17600000000004</v>
      </c>
      <c r="D8" t="s">
        <v>18</v>
      </c>
      <c r="E8">
        <f>SUM(E2:E6)</f>
        <v>80.69</v>
      </c>
      <c r="F8">
        <f t="shared" ref="F8:G8" si="0">SUM(F2:F6)</f>
        <v>415.20300000000003</v>
      </c>
      <c r="G8">
        <f t="shared" si="0"/>
        <v>2269.6961000000001</v>
      </c>
      <c r="H8">
        <f>SUM(H2:H6)</f>
        <v>-1351.9812000000002</v>
      </c>
      <c r="I8">
        <f>SUM(I2:I6)</f>
        <v>-7345.3184400000009</v>
      </c>
    </row>
    <row r="9" spans="1:22" x14ac:dyDescent="0.25">
      <c r="N9" s="5"/>
    </row>
    <row r="13" spans="1:22" x14ac:dyDescent="0.25">
      <c r="I13" s="5" t="s">
        <v>19</v>
      </c>
    </row>
    <row r="14" spans="1:22" x14ac:dyDescent="0.25">
      <c r="H14" t="s">
        <v>20</v>
      </c>
      <c r="I14" s="4">
        <f>D2</f>
        <v>5</v>
      </c>
      <c r="J14" s="4">
        <f>A8</f>
        <v>17.7</v>
      </c>
      <c r="K14" s="4">
        <f>E8</f>
        <v>80.69</v>
      </c>
      <c r="L14" s="1" t="s">
        <v>14</v>
      </c>
      <c r="M14" s="1" t="s">
        <v>0</v>
      </c>
      <c r="N14" s="1" t="s">
        <v>21</v>
      </c>
      <c r="P14" t="s">
        <v>8</v>
      </c>
      <c r="Q14" s="4">
        <f t="shared" ref="Q14:S16" si="1">I33</f>
        <v>3.254878306295748</v>
      </c>
      <c r="R14" s="4">
        <f t="shared" si="1"/>
        <v>-2.0201375975135294</v>
      </c>
      <c r="S14" s="4">
        <f t="shared" si="1"/>
        <v>0.25383621197807321</v>
      </c>
      <c r="U14" t="s">
        <v>9</v>
      </c>
      <c r="V14" s="4">
        <f>B8</f>
        <v>-268.17600000000004</v>
      </c>
    </row>
    <row r="15" spans="1:22" x14ac:dyDescent="0.25">
      <c r="I15" s="4">
        <f>A8</f>
        <v>17.7</v>
      </c>
      <c r="J15" s="4">
        <f>E8</f>
        <v>80.69</v>
      </c>
      <c r="K15" s="4">
        <f>F8</f>
        <v>415.20300000000003</v>
      </c>
      <c r="L15" s="1" t="s">
        <v>0</v>
      </c>
      <c r="M15" s="1" t="s">
        <v>21</v>
      </c>
      <c r="N15" s="1" t="s">
        <v>22</v>
      </c>
      <c r="Q15" s="4">
        <f t="shared" si="1"/>
        <v>-2.0201375975135294</v>
      </c>
      <c r="R15" s="4">
        <f t="shared" si="1"/>
        <v>1.4649657259927433</v>
      </c>
      <c r="S15" s="4">
        <f t="shared" si="1"/>
        <v>-0.19617307426575667</v>
      </c>
      <c r="V15" s="4">
        <f>H8</f>
        <v>-1351.9812000000002</v>
      </c>
    </row>
    <row r="16" spans="1:22" x14ac:dyDescent="0.25">
      <c r="I16" s="4">
        <f>E8</f>
        <v>80.69</v>
      </c>
      <c r="J16" s="4">
        <f>F8</f>
        <v>415.20300000000003</v>
      </c>
      <c r="K16" s="4">
        <f>G8</f>
        <v>2269.6961000000001</v>
      </c>
      <c r="L16" s="1" t="s">
        <v>21</v>
      </c>
      <c r="M16" s="1" t="s">
        <v>22</v>
      </c>
      <c r="N16" s="1" t="s">
        <v>23</v>
      </c>
      <c r="Q16" s="4">
        <f t="shared" si="1"/>
        <v>0.25383621197807321</v>
      </c>
      <c r="R16" s="4">
        <f t="shared" si="1"/>
        <v>-0.19617307426575667</v>
      </c>
      <c r="S16" s="4">
        <f t="shared" si="1"/>
        <v>2.7303040706574872E-2</v>
      </c>
      <c r="V16" s="4">
        <f>I8</f>
        <v>-7345.3184400000009</v>
      </c>
    </row>
    <row r="17" spans="8:22" x14ac:dyDescent="0.25">
      <c r="L17" s="1"/>
      <c r="M17" s="1"/>
      <c r="N17" s="1"/>
    </row>
    <row r="18" spans="8:22" x14ac:dyDescent="0.25">
      <c r="H18" t="s">
        <v>24</v>
      </c>
      <c r="I18" s="4">
        <f>(J15*K16)-(J16*K15)</f>
        <v>10748.247099999979</v>
      </c>
      <c r="J18" s="4">
        <f>(I15*K16)-(I16*K15)</f>
        <v>6670.8908999999985</v>
      </c>
      <c r="K18" s="4">
        <f>(I15*J16)-(I16*J15)</f>
        <v>838.21700000000055</v>
      </c>
      <c r="L18" s="1" t="s">
        <v>25</v>
      </c>
      <c r="M18" s="1" t="s">
        <v>26</v>
      </c>
      <c r="N18" s="1" t="s">
        <v>27</v>
      </c>
      <c r="Q18" s="7" t="s">
        <v>28</v>
      </c>
      <c r="R18" s="7" t="s">
        <v>29</v>
      </c>
      <c r="S18" s="7" t="s">
        <v>30</v>
      </c>
      <c r="V18" s="7" t="s">
        <v>1</v>
      </c>
    </row>
    <row r="19" spans="8:22" x14ac:dyDescent="0.25">
      <c r="I19" s="4">
        <f>(J14*K16)-(J16*K14)</f>
        <v>6670.8908999999985</v>
      </c>
      <c r="J19" s="4">
        <f>(I14*K16)-(I16*K14)</f>
        <v>4837.604400000002</v>
      </c>
      <c r="K19" s="4">
        <f>(I14*J16)-(I16*J14)</f>
        <v>647.80200000000036</v>
      </c>
      <c r="L19" s="1" t="s">
        <v>31</v>
      </c>
      <c r="M19" s="1" t="s">
        <v>32</v>
      </c>
      <c r="N19" s="1" t="s">
        <v>33</v>
      </c>
      <c r="Q19" s="7" t="s">
        <v>34</v>
      </c>
      <c r="R19" s="7" t="s">
        <v>35</v>
      </c>
      <c r="S19" s="7" t="s">
        <v>36</v>
      </c>
      <c r="V19" s="7" t="s">
        <v>3</v>
      </c>
    </row>
    <row r="20" spans="8:22" x14ac:dyDescent="0.25">
      <c r="I20" s="4">
        <f>(J14*K15)-(J15*K14)</f>
        <v>838.21700000000055</v>
      </c>
      <c r="J20" s="4">
        <f>(I14*K15)-(I15*K14)</f>
        <v>647.80200000000036</v>
      </c>
      <c r="K20" s="4">
        <f>(I14*J15)-(I15*J14)</f>
        <v>90.160000000000025</v>
      </c>
      <c r="L20" s="1" t="s">
        <v>37</v>
      </c>
      <c r="M20" s="1" t="s">
        <v>38</v>
      </c>
      <c r="N20" s="1" t="s">
        <v>39</v>
      </c>
      <c r="Q20" s="7" t="s">
        <v>40</v>
      </c>
      <c r="R20" s="7" t="s">
        <v>41</v>
      </c>
      <c r="S20" s="7" t="s">
        <v>42</v>
      </c>
      <c r="V20" s="7" t="s">
        <v>43</v>
      </c>
    </row>
    <row r="21" spans="8:22" x14ac:dyDescent="0.25">
      <c r="L21" s="1"/>
      <c r="M21" s="1"/>
      <c r="N21" s="1"/>
    </row>
    <row r="22" spans="8:22" x14ac:dyDescent="0.25">
      <c r="H22" t="s">
        <v>44</v>
      </c>
      <c r="I22" s="4">
        <f>I18</f>
        <v>10748.247099999979</v>
      </c>
      <c r="J22" s="4">
        <f>-J18</f>
        <v>-6670.8908999999985</v>
      </c>
      <c r="K22" s="4">
        <f t="shared" ref="K22" si="2">K18</f>
        <v>838.21700000000055</v>
      </c>
      <c r="L22" s="1" t="s">
        <v>25</v>
      </c>
      <c r="M22" s="6" t="s">
        <v>45</v>
      </c>
      <c r="N22" s="1" t="s">
        <v>27</v>
      </c>
    </row>
    <row r="23" spans="8:22" x14ac:dyDescent="0.25">
      <c r="I23" s="4">
        <f>-I19</f>
        <v>-6670.8908999999985</v>
      </c>
      <c r="J23" s="4">
        <f t="shared" ref="J23" si="3">J19</f>
        <v>4837.604400000002</v>
      </c>
      <c r="K23" s="4">
        <f>-K19</f>
        <v>-647.80200000000036</v>
      </c>
      <c r="L23" s="6" t="s">
        <v>46</v>
      </c>
      <c r="M23" s="1" t="s">
        <v>32</v>
      </c>
      <c r="N23" s="6" t="s">
        <v>47</v>
      </c>
    </row>
    <row r="24" spans="8:22" x14ac:dyDescent="0.25">
      <c r="I24" s="4">
        <f t="shared" ref="I24:K24" si="4">I20</f>
        <v>838.21700000000055</v>
      </c>
      <c r="J24" s="4">
        <f>-J20</f>
        <v>-647.80200000000036</v>
      </c>
      <c r="K24" s="4">
        <f t="shared" si="4"/>
        <v>90.160000000000025</v>
      </c>
      <c r="L24" s="1" t="s">
        <v>37</v>
      </c>
      <c r="M24" s="6" t="s">
        <v>48</v>
      </c>
      <c r="N24" s="1" t="s">
        <v>39</v>
      </c>
      <c r="P24" t="s">
        <v>10</v>
      </c>
      <c r="R24" s="4">
        <f>Q14*V14+R14*V15+S14*V16</f>
        <v>-6.2000000000000455</v>
      </c>
      <c r="T24" t="s">
        <v>49</v>
      </c>
    </row>
    <row r="25" spans="8:22" x14ac:dyDescent="0.25">
      <c r="L25" s="1"/>
      <c r="M25" s="1"/>
      <c r="N25" s="1"/>
      <c r="R25" s="4">
        <f>Q15*V14+R15*V15+S15*V16</f>
        <v>2.0999999999999091</v>
      </c>
      <c r="T25" t="s">
        <v>50</v>
      </c>
    </row>
    <row r="26" spans="8:22" x14ac:dyDescent="0.25">
      <c r="H26" t="s">
        <v>51</v>
      </c>
      <c r="I26" s="4">
        <f>I22</f>
        <v>10748.247099999979</v>
      </c>
      <c r="J26" s="4">
        <f>I23</f>
        <v>-6670.8908999999985</v>
      </c>
      <c r="K26" s="4">
        <f>I24</f>
        <v>838.21700000000055</v>
      </c>
      <c r="L26" s="1" t="s">
        <v>25</v>
      </c>
      <c r="M26" s="6" t="s">
        <v>46</v>
      </c>
      <c r="N26" s="1" t="s">
        <v>37</v>
      </c>
      <c r="R26" s="4">
        <f>Q16*V14+R16*V15+S16*V16</f>
        <v>-3.3999999999999773</v>
      </c>
      <c r="T26" t="s">
        <v>52</v>
      </c>
    </row>
    <row r="27" spans="8:22" x14ac:dyDescent="0.25">
      <c r="I27" s="4">
        <f>J22</f>
        <v>-6670.8908999999985</v>
      </c>
      <c r="J27" s="4">
        <f>J23</f>
        <v>4837.604400000002</v>
      </c>
      <c r="K27" s="4">
        <f>J24</f>
        <v>-647.80200000000036</v>
      </c>
      <c r="L27" s="6" t="s">
        <v>45</v>
      </c>
      <c r="M27" s="1" t="s">
        <v>32</v>
      </c>
      <c r="N27" s="6" t="s">
        <v>48</v>
      </c>
    </row>
    <row r="28" spans="8:22" x14ac:dyDescent="0.25">
      <c r="I28" s="4">
        <f>K22</f>
        <v>838.21700000000055</v>
      </c>
      <c r="J28" s="4">
        <f>K23</f>
        <v>-647.80200000000036</v>
      </c>
      <c r="K28" s="4">
        <f>K24</f>
        <v>90.160000000000025</v>
      </c>
      <c r="L28" s="1" t="s">
        <v>27</v>
      </c>
      <c r="M28" s="6" t="s">
        <v>47</v>
      </c>
      <c r="N28" s="1" t="s">
        <v>39</v>
      </c>
    </row>
    <row r="30" spans="8:22" x14ac:dyDescent="0.25">
      <c r="H30" t="s">
        <v>7</v>
      </c>
      <c r="L30" s="1" t="s">
        <v>53</v>
      </c>
    </row>
    <row r="31" spans="8:22" x14ac:dyDescent="0.25">
      <c r="H31">
        <f>I14*((J15*K16)-(J16*K15))-J14*((I15*K16)-(I16*K15))+K14*((I15*J16)-(I16*J15))</f>
        <v>3302.1962999999669</v>
      </c>
      <c r="L31" t="s">
        <v>54</v>
      </c>
    </row>
    <row r="33" spans="8:14" x14ac:dyDescent="0.25">
      <c r="H33" t="s">
        <v>55</v>
      </c>
      <c r="I33" s="4">
        <f t="shared" ref="I33:K35" si="5">I26/$H$31</f>
        <v>3.254878306295748</v>
      </c>
      <c r="J33" s="4">
        <f t="shared" si="5"/>
        <v>-2.0201375975135294</v>
      </c>
      <c r="K33" s="4">
        <f t="shared" si="5"/>
        <v>0.25383621197807321</v>
      </c>
      <c r="L33" s="1" t="s">
        <v>56</v>
      </c>
      <c r="M33" s="6" t="s">
        <v>57</v>
      </c>
      <c r="N33" s="1" t="s">
        <v>58</v>
      </c>
    </row>
    <row r="34" spans="8:14" x14ac:dyDescent="0.25">
      <c r="H34" t="s">
        <v>8</v>
      </c>
      <c r="I34" s="4">
        <f t="shared" si="5"/>
        <v>-2.0201375975135294</v>
      </c>
      <c r="J34" s="4">
        <f t="shared" si="5"/>
        <v>1.4649657259927433</v>
      </c>
      <c r="K34" s="4">
        <f t="shared" si="5"/>
        <v>-0.19617307426575667</v>
      </c>
      <c r="L34" s="6" t="s">
        <v>59</v>
      </c>
      <c r="M34" s="1" t="s">
        <v>60</v>
      </c>
      <c r="N34" s="6" t="s">
        <v>61</v>
      </c>
    </row>
    <row r="35" spans="8:14" x14ac:dyDescent="0.25">
      <c r="I35" s="4">
        <f t="shared" si="5"/>
        <v>0.25383621197807321</v>
      </c>
      <c r="J35" s="4">
        <f t="shared" si="5"/>
        <v>-0.19617307426575667</v>
      </c>
      <c r="K35" s="4">
        <f t="shared" si="5"/>
        <v>2.7303040706574872E-2</v>
      </c>
      <c r="L35" s="1" t="s">
        <v>62</v>
      </c>
      <c r="M35" s="6" t="s">
        <v>63</v>
      </c>
      <c r="N35" s="1" t="s">
        <v>64</v>
      </c>
    </row>
  </sheetData>
  <hyperlinks>
    <hyperlink ref="I13" r:id="rId1" location=":~:text=Inverse%20of%20a%203%20by%203%20Matrix%201,divide%20by%20the%20determinant%20of%20the%20original%20matrix." display="https://metric.ma.ic.ac.uk/metric_public/matrices/inverses/inverses2.html - :~:text=Inverse%20of%20a%203%20by%203%20Matrix%201,divide%20by%20the%20determinant%20of%20the%20original%20matrix." xr:uid="{00000000-0004-0000-0200-000000000000}"/>
  </hyperlink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8876-5AF3-4F2D-946B-ABD4955082F2}">
  <dimension ref="A1:V40"/>
  <sheetViews>
    <sheetView tabSelected="1" workbookViewId="0">
      <selection activeCell="B9" sqref="B9"/>
    </sheetView>
  </sheetViews>
  <sheetFormatPr defaultRowHeight="15" x14ac:dyDescent="0.25"/>
  <cols>
    <col min="1" max="1" width="9.7109375" bestFit="1" customWidth="1"/>
    <col min="12" max="14" width="22.7109375" customWidth="1"/>
    <col min="22" max="22" width="10.5703125" bestFit="1" customWidth="1"/>
  </cols>
  <sheetData>
    <row r="1" spans="1:14" x14ac:dyDescent="0.25">
      <c r="A1" s="1" t="s">
        <v>0</v>
      </c>
      <c r="B1" s="1" t="s">
        <v>11</v>
      </c>
      <c r="C1" t="s">
        <v>65</v>
      </c>
      <c r="D1" s="14" t="s">
        <v>14</v>
      </c>
      <c r="E1" s="14" t="s">
        <v>2</v>
      </c>
      <c r="F1" s="15" t="s">
        <v>15</v>
      </c>
      <c r="G1" s="16" t="s">
        <v>16</v>
      </c>
      <c r="H1" s="14" t="s">
        <v>3</v>
      </c>
      <c r="I1" s="15" t="s">
        <v>17</v>
      </c>
      <c r="L1" s="5" t="s">
        <v>13</v>
      </c>
    </row>
    <row r="2" spans="1:14" x14ac:dyDescent="0.25">
      <c r="A2" s="18">
        <v>1</v>
      </c>
      <c r="B2" s="8">
        <v>19.398166131283801</v>
      </c>
      <c r="C2" s="8">
        <f>$R$31*Table245[[#This Row],[x]]^2+$R$30*Table245[[#This Row],[x]]+$R$29</f>
        <v>19.557566549361127</v>
      </c>
      <c r="D2" s="1">
        <f>COUNT(Table245[x])</f>
        <v>10</v>
      </c>
      <c r="E2" s="13">
        <f>Table245[[#This Row],[x]]^2</f>
        <v>1</v>
      </c>
      <c r="F2" s="13">
        <f>Table245[[#This Row],[x]]^3</f>
        <v>1</v>
      </c>
      <c r="G2" s="13">
        <f>Table245[[#This Row],[x]]^4</f>
        <v>1</v>
      </c>
      <c r="H2" s="2">
        <f>Table245[[#This Row],[x]]*Table245[[#This Row],[act]]</f>
        <v>19.398166131283801</v>
      </c>
      <c r="I2" s="2">
        <f>E2*Table245[[#This Row],[act]]</f>
        <v>19.398166131283801</v>
      </c>
      <c r="L2" s="5" t="s">
        <v>5</v>
      </c>
    </row>
    <row r="3" spans="1:14" x14ac:dyDescent="0.25">
      <c r="A3" s="18">
        <v>2</v>
      </c>
      <c r="B3" s="8">
        <v>22.074466274826701</v>
      </c>
      <c r="C3" s="8">
        <f>$R$31*Table245[[#This Row],[x]]^2+$R$30*Table245[[#This Row],[x]]+$R$29</f>
        <v>21.854258958427977</v>
      </c>
      <c r="E3" s="13">
        <f>Table245[[#This Row],[x]]^2</f>
        <v>4</v>
      </c>
      <c r="F3" s="13">
        <f>Table245[[#This Row],[x]]^3</f>
        <v>8</v>
      </c>
      <c r="G3" s="13">
        <f>Table245[[#This Row],[x]]^4</f>
        <v>16</v>
      </c>
      <c r="H3" s="2">
        <f>Table245[[#This Row],[x]]*Table245[[#This Row],[act]]</f>
        <v>44.148932549653402</v>
      </c>
      <c r="I3" s="2">
        <f>E3*Table245[[#This Row],[act]]</f>
        <v>88.297865099306804</v>
      </c>
      <c r="L3" s="5" t="s">
        <v>19</v>
      </c>
    </row>
    <row r="4" spans="1:14" x14ac:dyDescent="0.25">
      <c r="A4" s="18">
        <v>3</v>
      </c>
      <c r="B4" s="8">
        <v>23.9748701087277</v>
      </c>
      <c r="C4" s="8">
        <f>$R$31*Table245[[#This Row],[x]]^2+$R$30*Table245[[#This Row],[x]]+$R$29</f>
        <v>23.639017857512385</v>
      </c>
      <c r="E4" s="13">
        <f>Table245[[#This Row],[x]]^2</f>
        <v>9</v>
      </c>
      <c r="F4" s="13">
        <f>Table245[[#This Row],[x]]^3</f>
        <v>27</v>
      </c>
      <c r="G4" s="13">
        <f>Table245[[#This Row],[x]]^4</f>
        <v>81</v>
      </c>
      <c r="H4" s="2">
        <f>Table245[[#This Row],[x]]*Table245[[#This Row],[act]]</f>
        <v>71.9246103261831</v>
      </c>
      <c r="I4" s="2">
        <f>E4*Table245[[#This Row],[act]]</f>
        <v>215.77383097854931</v>
      </c>
    </row>
    <row r="5" spans="1:14" x14ac:dyDescent="0.25">
      <c r="A5" s="18">
        <v>4</v>
      </c>
      <c r="B5" s="8">
        <v>22.973588342269299</v>
      </c>
      <c r="C5" s="8">
        <f>$R$31*Table245[[#This Row],[x]]^2+$R$30*Table245[[#This Row],[x]]+$R$29</f>
        <v>24.911843246614353</v>
      </c>
      <c r="E5" s="13">
        <f>Table245[[#This Row],[x]]^2</f>
        <v>16</v>
      </c>
      <c r="F5" s="13">
        <f>Table245[[#This Row],[x]]^3</f>
        <v>64</v>
      </c>
      <c r="G5" s="13">
        <f>Table245[[#This Row],[x]]^4</f>
        <v>256</v>
      </c>
      <c r="H5" s="2">
        <f>Table245[[#This Row],[x]]*Table245[[#This Row],[act]]</f>
        <v>91.894353369077194</v>
      </c>
      <c r="I5" s="2">
        <f>E5*Table245[[#This Row],[act]]</f>
        <v>367.57741347630878</v>
      </c>
    </row>
    <row r="6" spans="1:14" x14ac:dyDescent="0.25">
      <c r="A6" s="18">
        <v>5</v>
      </c>
      <c r="B6" s="8">
        <v>29.4879557801004</v>
      </c>
      <c r="C6" s="8">
        <f>$R$31*Table245[[#This Row],[x]]^2+$R$30*Table245[[#This Row],[x]]+$R$29</f>
        <v>25.67273512573388</v>
      </c>
      <c r="E6" s="13">
        <f>Table245[[#This Row],[x]]^2</f>
        <v>25</v>
      </c>
      <c r="F6" s="13">
        <f>Table245[[#This Row],[x]]^3</f>
        <v>125</v>
      </c>
      <c r="G6" s="13">
        <f>Table245[[#This Row],[x]]^4</f>
        <v>625</v>
      </c>
      <c r="H6" s="2">
        <f>Table245[[#This Row],[x]]*Table245[[#This Row],[act]]</f>
        <v>147.43977890050201</v>
      </c>
      <c r="I6" s="2">
        <f>E6*Table245[[#This Row],[act]]</f>
        <v>737.19889450251003</v>
      </c>
    </row>
    <row r="7" spans="1:14" x14ac:dyDescent="0.25">
      <c r="A7" s="18">
        <v>6</v>
      </c>
      <c r="B7" s="8">
        <v>22.989396031428399</v>
      </c>
      <c r="C7" s="8">
        <f>$R$31*Table245[[#This Row],[x]]^2+$R$30*Table245[[#This Row],[x]]+$R$29</f>
        <v>25.921693494870965</v>
      </c>
      <c r="E7" s="13">
        <f>Table245[[#This Row],[x]]^2</f>
        <v>36</v>
      </c>
      <c r="F7" s="13">
        <f>Table245[[#This Row],[x]]^3</f>
        <v>216</v>
      </c>
      <c r="G7" s="13">
        <f>Table245[[#This Row],[x]]^4</f>
        <v>1296</v>
      </c>
      <c r="H7" s="2">
        <f>Table245[[#This Row],[x]]*Table245[[#This Row],[act]]</f>
        <v>137.93637618857039</v>
      </c>
      <c r="I7" s="2">
        <f>E7*Table245[[#This Row],[act]]</f>
        <v>827.6182571314223</v>
      </c>
    </row>
    <row r="8" spans="1:14" x14ac:dyDescent="0.25">
      <c r="A8" s="18">
        <v>7</v>
      </c>
      <c r="B8" s="8">
        <v>25.233028730264099</v>
      </c>
      <c r="C8" s="8">
        <f>$R$31*Table245[[#This Row],[x]]^2+$R$30*Table245[[#This Row],[x]]+$R$29</f>
        <v>25.658718354025609</v>
      </c>
      <c r="E8" s="13">
        <f>Table245[[#This Row],[x]]^2</f>
        <v>49</v>
      </c>
      <c r="F8" s="13">
        <f>Table245[[#This Row],[x]]^3</f>
        <v>343</v>
      </c>
      <c r="G8" s="13">
        <f>Table245[[#This Row],[x]]^4</f>
        <v>2401</v>
      </c>
      <c r="H8" s="2">
        <f>Table245[[#This Row],[x]]*Table245[[#This Row],[act]]</f>
        <v>176.6312011118487</v>
      </c>
      <c r="I8" s="2">
        <f>E8*Table245[[#This Row],[act]]</f>
        <v>1236.4184077829409</v>
      </c>
    </row>
    <row r="9" spans="1:14" x14ac:dyDescent="0.25">
      <c r="A9" s="18">
        <v>8</v>
      </c>
      <c r="B9" s="8">
        <v>27.195993292736699</v>
      </c>
      <c r="C9" s="8">
        <f>$R$31*Table245[[#This Row],[x]]^2+$R$30*Table245[[#This Row],[x]]+$R$29</f>
        <v>24.883809703197812</v>
      </c>
      <c r="E9" s="13">
        <f>Table245[[#This Row],[x]]^2</f>
        <v>64</v>
      </c>
      <c r="F9" s="13">
        <f>Table245[[#This Row],[x]]^3</f>
        <v>512</v>
      </c>
      <c r="G9" s="13">
        <f>Table245[[#This Row],[x]]^4</f>
        <v>4096</v>
      </c>
      <c r="H9" s="2">
        <f>Table245[[#This Row],[x]]*Table245[[#This Row],[act]]</f>
        <v>217.56794634189359</v>
      </c>
      <c r="I9" s="2">
        <f>E9*Table245[[#This Row],[act]]</f>
        <v>1740.5435707351487</v>
      </c>
    </row>
    <row r="10" spans="1:14" x14ac:dyDescent="0.25">
      <c r="A10" s="18">
        <v>9</v>
      </c>
      <c r="B10" s="8">
        <v>21.8542647155944</v>
      </c>
      <c r="C10" s="8">
        <f>$R$31*Table245[[#This Row],[x]]^2+$R$30*Table245[[#This Row],[x]]+$R$29</f>
        <v>23.596967542387574</v>
      </c>
      <c r="E10" s="13">
        <f>Table245[[#This Row],[x]]^2</f>
        <v>81</v>
      </c>
      <c r="F10" s="13">
        <f>Table245[[#This Row],[x]]^3</f>
        <v>729</v>
      </c>
      <c r="G10" s="13">
        <f>Table245[[#This Row],[x]]^4</f>
        <v>6561</v>
      </c>
      <c r="H10" s="2">
        <f>Table245[[#This Row],[x]]*Table245[[#This Row],[act]]</f>
        <v>196.68838244034961</v>
      </c>
      <c r="I10" s="2">
        <f>E10*Table245[[#This Row],[act]]</f>
        <v>1770.1954419631463</v>
      </c>
    </row>
    <row r="11" spans="1:14" ht="15.75" thickBot="1" x14ac:dyDescent="0.3">
      <c r="A11" s="18">
        <v>10</v>
      </c>
      <c r="B11" s="8">
        <v>22.313073296492</v>
      </c>
      <c r="C11" s="8">
        <f>$R$31*Table245[[#This Row],[x]]^2+$R$30*Table245[[#This Row],[x]]+$R$29</f>
        <v>21.798191871594895</v>
      </c>
      <c r="E11" s="13">
        <f>Table245[[#This Row],[x]]^2</f>
        <v>100</v>
      </c>
      <c r="F11" s="13">
        <f>Table245[[#This Row],[x]]^3</f>
        <v>1000</v>
      </c>
      <c r="G11" s="13">
        <f>Table245[[#This Row],[x]]^4</f>
        <v>10000</v>
      </c>
      <c r="H11" s="2">
        <f>Table245[[#This Row],[x]]*Table245[[#This Row],[act]]</f>
        <v>223.13073296492001</v>
      </c>
      <c r="I11" s="2">
        <f>E11*Table245[[#This Row],[act]]</f>
        <v>2231.3073296491998</v>
      </c>
    </row>
    <row r="12" spans="1:14" ht="15.75" thickTop="1" x14ac:dyDescent="0.25">
      <c r="A12" s="1">
        <f>SUBTOTAL(109,Table245[x])</f>
        <v>55</v>
      </c>
      <c r="B12" s="8">
        <f>SUBTOTAL(109,Table245[act])</f>
        <v>237.49480270372348</v>
      </c>
      <c r="C12" s="8">
        <f>SUBTOTAL(109,Table245[poly fit])</f>
        <v>237.49480270372658</v>
      </c>
      <c r="E12" s="12">
        <f>_xlfn.AGGREGATE(9,6,E2:E11)</f>
        <v>385</v>
      </c>
      <c r="F12" s="10">
        <f>_xlfn.AGGREGATE(9,6,F2:F11)</f>
        <v>3025</v>
      </c>
      <c r="G12" s="11">
        <f>_xlfn.AGGREGATE(9,6,G2:G11)</f>
        <v>25333</v>
      </c>
      <c r="H12" s="19">
        <f>_xlfn.AGGREGATE(9,6,H2:H11)</f>
        <v>1326.7604803242818</v>
      </c>
      <c r="I12" s="20">
        <f>_xlfn.AGGREGATE(9,6,I2:I11)</f>
        <v>9234.3291774498175</v>
      </c>
    </row>
    <row r="14" spans="1:14" x14ac:dyDescent="0.25">
      <c r="N14" s="5"/>
    </row>
    <row r="19" spans="8:22" x14ac:dyDescent="0.25">
      <c r="H19" t="s">
        <v>20</v>
      </c>
      <c r="I19" s="4">
        <f>D2</f>
        <v>10</v>
      </c>
      <c r="J19" s="4">
        <f>Table245[[#Totals],[x]]</f>
        <v>55</v>
      </c>
      <c r="K19" s="4">
        <f>E12</f>
        <v>385</v>
      </c>
      <c r="L19" s="1" t="s">
        <v>14</v>
      </c>
      <c r="M19" s="1" t="s">
        <v>0</v>
      </c>
      <c r="N19" s="1" t="s">
        <v>21</v>
      </c>
      <c r="P19" t="s">
        <v>8</v>
      </c>
      <c r="Q19" s="4">
        <f t="shared" ref="Q19:S21" si="0">I38</f>
        <v>1.3833333333333333</v>
      </c>
      <c r="R19" s="4">
        <f t="shared" si="0"/>
        <v>-0.52500000000000002</v>
      </c>
      <c r="S19" s="4">
        <f t="shared" si="0"/>
        <v>4.1666666666666664E-2</v>
      </c>
      <c r="U19" t="s">
        <v>9</v>
      </c>
      <c r="V19" s="17">
        <f>Table245[[#Totals],[act]]</f>
        <v>237.49480270372348</v>
      </c>
    </row>
    <row r="20" spans="8:22" x14ac:dyDescent="0.25">
      <c r="I20" s="4">
        <f>Table245[[#Totals],[x]]</f>
        <v>55</v>
      </c>
      <c r="J20" s="4">
        <f>E12</f>
        <v>385</v>
      </c>
      <c r="K20" s="4">
        <f>F12</f>
        <v>3025</v>
      </c>
      <c r="L20" s="1" t="s">
        <v>0</v>
      </c>
      <c r="M20" s="1" t="s">
        <v>21</v>
      </c>
      <c r="N20" s="1" t="s">
        <v>22</v>
      </c>
      <c r="Q20" s="4">
        <f t="shared" si="0"/>
        <v>-0.52500000000000002</v>
      </c>
      <c r="R20" s="4">
        <f t="shared" si="0"/>
        <v>0.2412878787878788</v>
      </c>
      <c r="S20" s="4">
        <f t="shared" si="0"/>
        <v>-2.0833333333333332E-2</v>
      </c>
      <c r="V20" s="17">
        <f>H12</f>
        <v>1326.7604803242818</v>
      </c>
    </row>
    <row r="21" spans="8:22" x14ac:dyDescent="0.25">
      <c r="I21" s="4">
        <f>E12</f>
        <v>385</v>
      </c>
      <c r="J21" s="4">
        <f>F12</f>
        <v>3025</v>
      </c>
      <c r="K21" s="4">
        <f>G12</f>
        <v>25333</v>
      </c>
      <c r="L21" s="1" t="s">
        <v>21</v>
      </c>
      <c r="M21" s="1" t="s">
        <v>22</v>
      </c>
      <c r="N21" s="1" t="s">
        <v>23</v>
      </c>
      <c r="Q21" s="4">
        <f t="shared" si="0"/>
        <v>4.1666666666666664E-2</v>
      </c>
      <c r="R21" s="4">
        <f t="shared" si="0"/>
        <v>-2.0833333333333332E-2</v>
      </c>
      <c r="S21" s="4">
        <f t="shared" si="0"/>
        <v>1.893939393939394E-3</v>
      </c>
      <c r="V21" s="17">
        <f>I12</f>
        <v>9234.3291774498175</v>
      </c>
    </row>
    <row r="22" spans="8:22" x14ac:dyDescent="0.25">
      <c r="L22" s="1"/>
      <c r="M22" s="1"/>
      <c r="N22" s="1"/>
    </row>
    <row r="23" spans="8:22" x14ac:dyDescent="0.25">
      <c r="H23" t="s">
        <v>24</v>
      </c>
      <c r="I23" s="4">
        <f>(J20*K21)-(J21*K20)</f>
        <v>602580</v>
      </c>
      <c r="J23" s="4">
        <f>(I20*K21)-(I21*K20)</f>
        <v>228690</v>
      </c>
      <c r="K23" s="4">
        <f>(I20*J21)-(I21*J20)</f>
        <v>18150</v>
      </c>
      <c r="L23" s="1" t="s">
        <v>25</v>
      </c>
      <c r="M23" s="1" t="s">
        <v>26</v>
      </c>
      <c r="N23" s="1" t="s">
        <v>27</v>
      </c>
      <c r="Q23" s="7" t="s">
        <v>28</v>
      </c>
      <c r="R23" s="7" t="s">
        <v>29</v>
      </c>
      <c r="S23" s="7" t="s">
        <v>30</v>
      </c>
      <c r="V23" s="7" t="s">
        <v>1</v>
      </c>
    </row>
    <row r="24" spans="8:22" x14ac:dyDescent="0.25">
      <c r="I24" s="4">
        <f>(J19*K21)-(J21*K19)</f>
        <v>228690</v>
      </c>
      <c r="J24" s="4">
        <f>(I19*K21)-(I21*K19)</f>
        <v>105105</v>
      </c>
      <c r="K24" s="4">
        <f>(I19*J21)-(I21*J19)</f>
        <v>9075</v>
      </c>
      <c r="L24" s="1" t="s">
        <v>31</v>
      </c>
      <c r="M24" s="1" t="s">
        <v>32</v>
      </c>
      <c r="N24" s="1" t="s">
        <v>33</v>
      </c>
      <c r="Q24" s="7" t="s">
        <v>34</v>
      </c>
      <c r="R24" s="7" t="s">
        <v>35</v>
      </c>
      <c r="S24" s="7" t="s">
        <v>36</v>
      </c>
      <c r="V24" s="7" t="s">
        <v>3</v>
      </c>
    </row>
    <row r="25" spans="8:22" x14ac:dyDescent="0.25">
      <c r="I25" s="4">
        <f>(J19*K20)-(J20*K19)</f>
        <v>18150</v>
      </c>
      <c r="J25" s="4">
        <f>(I19*K20)-(I20*K19)</f>
        <v>9075</v>
      </c>
      <c r="K25" s="4">
        <f>(I19*J20)-(I20*J19)</f>
        <v>825</v>
      </c>
      <c r="L25" s="1" t="s">
        <v>37</v>
      </c>
      <c r="M25" s="1" t="s">
        <v>38</v>
      </c>
      <c r="N25" s="1" t="s">
        <v>39</v>
      </c>
      <c r="Q25" s="7" t="s">
        <v>40</v>
      </c>
      <c r="R25" s="7" t="s">
        <v>41</v>
      </c>
      <c r="S25" s="7" t="s">
        <v>42</v>
      </c>
      <c r="V25" s="7" t="s">
        <v>43</v>
      </c>
    </row>
    <row r="26" spans="8:22" x14ac:dyDescent="0.25">
      <c r="L26" s="1"/>
      <c r="M26" s="1"/>
      <c r="N26" s="1"/>
    </row>
    <row r="27" spans="8:22" x14ac:dyDescent="0.25">
      <c r="H27" t="s">
        <v>44</v>
      </c>
      <c r="I27" s="4">
        <f>I23</f>
        <v>602580</v>
      </c>
      <c r="J27" s="4">
        <f>-J23</f>
        <v>-228690</v>
      </c>
      <c r="K27" s="4">
        <f t="shared" ref="K27" si="1">K23</f>
        <v>18150</v>
      </c>
      <c r="L27" s="1" t="s">
        <v>25</v>
      </c>
      <c r="M27" s="6" t="s">
        <v>45</v>
      </c>
      <c r="N27" s="1" t="s">
        <v>27</v>
      </c>
    </row>
    <row r="28" spans="8:22" x14ac:dyDescent="0.25">
      <c r="I28" s="4">
        <f>-I24</f>
        <v>-228690</v>
      </c>
      <c r="J28" s="4">
        <f t="shared" ref="J28" si="2">J24</f>
        <v>105105</v>
      </c>
      <c r="K28" s="4">
        <f>-K24</f>
        <v>-9075</v>
      </c>
      <c r="L28" s="6" t="s">
        <v>46</v>
      </c>
      <c r="M28" s="1" t="s">
        <v>32</v>
      </c>
      <c r="N28" s="6" t="s">
        <v>47</v>
      </c>
    </row>
    <row r="29" spans="8:22" x14ac:dyDescent="0.25">
      <c r="I29" s="4">
        <f t="shared" ref="I29:K29" si="3">I25</f>
        <v>18150</v>
      </c>
      <c r="J29" s="4">
        <f>-J25</f>
        <v>-9075</v>
      </c>
      <c r="K29" s="4">
        <f t="shared" si="3"/>
        <v>825</v>
      </c>
      <c r="L29" s="1" t="s">
        <v>37</v>
      </c>
      <c r="M29" s="6" t="s">
        <v>48</v>
      </c>
      <c r="N29" s="1" t="s">
        <v>39</v>
      </c>
      <c r="P29" t="s">
        <v>10</v>
      </c>
      <c r="R29" s="9">
        <f>Q19*V19+R19*V20+S19*V21</f>
        <v>16.748940630311836</v>
      </c>
      <c r="S29" t="s">
        <v>66</v>
      </c>
      <c r="T29" t="s">
        <v>49</v>
      </c>
    </row>
    <row r="30" spans="8:22" x14ac:dyDescent="0.25">
      <c r="L30" s="1"/>
      <c r="M30" s="1"/>
      <c r="N30" s="1"/>
      <c r="R30" s="9">
        <f>Q20*V19+R20*V20+S20*V21</f>
        <v>3.0645926740405116</v>
      </c>
      <c r="S30" t="s">
        <v>67</v>
      </c>
      <c r="T30" t="s">
        <v>50</v>
      </c>
    </row>
    <row r="31" spans="8:22" x14ac:dyDescent="0.25">
      <c r="H31" t="s">
        <v>51</v>
      </c>
      <c r="I31" s="4">
        <f>I27</f>
        <v>602580</v>
      </c>
      <c r="J31" s="4">
        <f>I28</f>
        <v>-228690</v>
      </c>
      <c r="K31" s="4">
        <f>I29</f>
        <v>18150</v>
      </c>
      <c r="L31" s="1" t="s">
        <v>25</v>
      </c>
      <c r="M31" s="6" t="s">
        <v>46</v>
      </c>
      <c r="N31" s="1" t="s">
        <v>37</v>
      </c>
      <c r="R31" s="9">
        <f>Q21*V19+R21*V20+S21*V21</f>
        <v>-0.25596675499122057</v>
      </c>
      <c r="S31" t="s">
        <v>68</v>
      </c>
      <c r="T31" t="s">
        <v>52</v>
      </c>
    </row>
    <row r="32" spans="8:22" x14ac:dyDescent="0.25">
      <c r="I32" s="4">
        <f>J27</f>
        <v>-228690</v>
      </c>
      <c r="J32" s="4">
        <f>J28</f>
        <v>105105</v>
      </c>
      <c r="K32" s="4">
        <f>J29</f>
        <v>-9075</v>
      </c>
      <c r="L32" s="6" t="s">
        <v>45</v>
      </c>
      <c r="M32" s="1" t="s">
        <v>32</v>
      </c>
      <c r="N32" s="6" t="s">
        <v>48</v>
      </c>
    </row>
    <row r="33" spans="8:14" x14ac:dyDescent="0.25">
      <c r="I33" s="4">
        <f>K27</f>
        <v>18150</v>
      </c>
      <c r="J33" s="4">
        <f>K28</f>
        <v>-9075</v>
      </c>
      <c r="K33" s="4">
        <f>K29</f>
        <v>825</v>
      </c>
      <c r="L33" s="1" t="s">
        <v>27</v>
      </c>
      <c r="M33" s="6" t="s">
        <v>47</v>
      </c>
      <c r="N33" s="1" t="s">
        <v>39</v>
      </c>
    </row>
    <row r="35" spans="8:14" x14ac:dyDescent="0.25">
      <c r="H35" t="s">
        <v>7</v>
      </c>
      <c r="L35" s="1" t="s">
        <v>53</v>
      </c>
    </row>
    <row r="36" spans="8:14" x14ac:dyDescent="0.25">
      <c r="H36">
        <f>I19*((J20*K21)-(J21*K20))-J19*((I20*K21)-(I21*K20))+K19*((I20*J21)-(I21*J20))</f>
        <v>435600</v>
      </c>
      <c r="L36" t="s">
        <v>54</v>
      </c>
    </row>
    <row r="38" spans="8:14" x14ac:dyDescent="0.25">
      <c r="H38" t="s">
        <v>55</v>
      </c>
      <c r="I38" s="4">
        <f t="shared" ref="I38:K40" si="4">I31/$H$36</f>
        <v>1.3833333333333333</v>
      </c>
      <c r="J38" s="4">
        <f t="shared" si="4"/>
        <v>-0.52500000000000002</v>
      </c>
      <c r="K38" s="4">
        <f t="shared" si="4"/>
        <v>4.1666666666666664E-2</v>
      </c>
      <c r="L38" s="1" t="s">
        <v>56</v>
      </c>
      <c r="M38" s="6" t="s">
        <v>57</v>
      </c>
      <c r="N38" s="1" t="s">
        <v>58</v>
      </c>
    </row>
    <row r="39" spans="8:14" x14ac:dyDescent="0.25">
      <c r="H39" t="s">
        <v>8</v>
      </c>
      <c r="I39" s="4">
        <f t="shared" si="4"/>
        <v>-0.52500000000000002</v>
      </c>
      <c r="J39" s="4">
        <f t="shared" si="4"/>
        <v>0.2412878787878788</v>
      </c>
      <c r="K39" s="4">
        <f t="shared" si="4"/>
        <v>-2.0833333333333332E-2</v>
      </c>
      <c r="L39" s="6" t="s">
        <v>59</v>
      </c>
      <c r="M39" s="1" t="s">
        <v>60</v>
      </c>
      <c r="N39" s="6" t="s">
        <v>61</v>
      </c>
    </row>
    <row r="40" spans="8:14" x14ac:dyDescent="0.25">
      <c r="I40" s="4">
        <f t="shared" si="4"/>
        <v>4.1666666666666664E-2</v>
      </c>
      <c r="J40" s="4">
        <f t="shared" si="4"/>
        <v>-2.0833333333333332E-2</v>
      </c>
      <c r="K40" s="4">
        <f t="shared" si="4"/>
        <v>1.893939393939394E-3</v>
      </c>
      <c r="L40" s="1" t="s">
        <v>62</v>
      </c>
      <c r="M40" s="6" t="s">
        <v>63</v>
      </c>
      <c r="N40" s="1" t="s">
        <v>64</v>
      </c>
    </row>
  </sheetData>
  <hyperlinks>
    <hyperlink ref="L3" r:id="rId1" location=":~:text=Inverse%20of%20a%203%20by%203%20Matrix%201,divide%20by%20the%20determinant%20of%20the%20original%20matrix." display="https://metric.ma.ic.ac.uk/metric_public/matrices/inverses/inverses2.html - :~:text=Inverse%20of%20a%203%20by%203%20Matrix%201,divide%20by%20the%20determinant%20of%20the%20original%20matrix." xr:uid="{DCD7C48E-42C4-4C4D-B344-7D5672A9EBFB}"/>
    <hyperlink ref="L2" r:id="rId2" display="https://people.richland.edu/james/lecture/m116/matrices/inverses.html" xr:uid="{5C35888C-F703-4306-BC60-E17C5B4E2C63}"/>
    <hyperlink ref="L1" r:id="rId3" display="https://www.thedatascientists.com/polynomial-regression/" xr:uid="{9899F1B9-BC60-47EB-A939-5D3FE804EAD7}"/>
  </hyperlinks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684F7C4E34A648BB9C4FF6F52FB95D" ma:contentTypeVersion="13" ma:contentTypeDescription="Create a new document." ma:contentTypeScope="" ma:versionID="ec6b0b197d0b916e143c72f036b1102f">
  <xsd:schema xmlns:xsd="http://www.w3.org/2001/XMLSchema" xmlns:xs="http://www.w3.org/2001/XMLSchema" xmlns:p="http://schemas.microsoft.com/office/2006/metadata/properties" xmlns:ns2="3d47b08a-c5bf-4980-9ff6-d09c1ac4d7c1" xmlns:ns3="898eaed4-0512-491f-bcff-c58c60430e41" targetNamespace="http://schemas.microsoft.com/office/2006/metadata/properties" ma:root="true" ma:fieldsID="6b2ef2d433ca95b0c7c42f490a9b9ad6" ns2:_="" ns3:_="">
    <xsd:import namespace="3d47b08a-c5bf-4980-9ff6-d09c1ac4d7c1"/>
    <xsd:import namespace="898eaed4-0512-491f-bcff-c58c60430e4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7b08a-c5bf-4980-9ff6-d09c1ac4d7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eaed4-0512-491f-bcff-c58c60430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A15421-D9A8-4676-9F45-E194B07CCC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F32467-E477-4659-921F-3B746BE04D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47b08a-c5bf-4980-9ff6-d09c1ac4d7c1"/>
    <ds:schemaRef ds:uri="898eaed4-0512-491f-bcff-c58c60430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EFF723-FC26-4D16-9A40-78445BC9A0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</vt:lpstr>
      <vt:lpstr>lin (test)</vt:lpstr>
      <vt:lpstr>poly</vt:lpstr>
      <vt:lpstr>poly (test)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Severyn, Noah</cp:lastModifiedBy>
  <cp:revision/>
  <dcterms:created xsi:type="dcterms:W3CDTF">2021-08-11T16:04:50Z</dcterms:created>
  <dcterms:modified xsi:type="dcterms:W3CDTF">2021-09-08T15:03:38Z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0x0101008D684F7C4E34A648BB9C4FF6F52FB95D</vt:lpwstr>
  </property>
</Properties>
</file>