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5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17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16.xml"/>
  <Override ContentType="application/vnd.openxmlformats-officedocument.spreadsheetml.comments+xml" PartName="/xl/comments3.xml"/>
  <Override ContentType="application/vnd.openxmlformats-officedocument.spreadsheetml.comments+xml" PartName="/xl/comments18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OverkillP1" sheetId="1" r:id="rId3"/>
    <sheet state="hidden" name="OverkillP2" sheetId="2" r:id="rId4"/>
    <sheet state="visible" name="Input" sheetId="3" r:id="rId5"/>
    <sheet state="visible" name="Sheet 1" sheetId="4" r:id="rId6"/>
    <sheet state="visible" name="Dps p1" sheetId="5" r:id="rId7"/>
    <sheet state="visible" name="Dps p2" sheetId="6" r:id="rId8"/>
    <sheet state="hidden" name="Hiscores" sheetId="7" r:id="rId9"/>
    <sheet state="hidden" name="Combat level" sheetId="8" r:id="rId10"/>
    <sheet state="hidden" name="Potions" sheetId="9" r:id="rId11"/>
    <sheet state="hidden" name="Prayers" sheetId="10" r:id="rId12"/>
    <sheet state="hidden" name="Combat options" sheetId="11" r:id="rId13"/>
    <sheet state="visible" name="Update Log" sheetId="12" r:id="rId14"/>
    <sheet state="visible" name="Items" sheetId="13" r:id="rId15"/>
    <sheet state="hidden" name="Prayer drain" sheetId="14" r:id="rId16"/>
    <sheet state="visible" name="NPC stats" sheetId="15" r:id="rId17"/>
    <sheet state="visible" name="Sets" sheetId="16" r:id="rId18"/>
    <sheet state="hidden" name="OSB" sheetId="17" r:id="rId19"/>
    <sheet state="hidden" name="Spell runes" sheetId="18" r:id="rId20"/>
    <sheet state="hidden" name="Costh" sheetId="19" r:id="rId21"/>
    <sheet state="visible" name="NMZ Calculator" sheetId="20" r:id="rId22"/>
    <sheet state="visible" name="NPC dps" sheetId="21" r:id="rId23"/>
    <sheet state="hidden" name="Avg dmg taken table 1" sheetId="22" r:id="rId24"/>
    <sheet state="hidden" name="Avg dmg taken table 2" sheetId="23" r:id="rId25"/>
    <sheet state="hidden" name="Avg damage table p1" sheetId="24" r:id="rId26"/>
    <sheet state="hidden" name="Spec Avg damage table p1" sheetId="25" r:id="rId27"/>
    <sheet state="hidden" name="Avg damage table p2" sheetId="26" r:id="rId28"/>
    <sheet state="hidden" name="Spec Avg damage table p2" sheetId="27" r:id="rId29"/>
  </sheets>
  <definedNames>
    <definedName name="Size">Input!$AC$15</definedName>
    <definedName name="Area1">Input!$AC$16</definedName>
    <definedName name="Area2">'Sheet 1'!$B$83</definedName>
    <definedName name="Distance">Input!$AG$12</definedName>
    <definedName hidden="1" localSheetId="14" name="Z_855B9DD6_19E0_4F39_93E6_3C9691D15ED6_.wvu.FilterData">'NPC stats'!$A$1:$Z$485</definedName>
    <definedName hidden="1" localSheetId="14" name="Z_ABDC3239_A9C8_494F_8C26_36331D7E5157_.wvu.FilterData">'NPC stats'!$A$1:$Z$485</definedName>
    <definedName hidden="1" localSheetId="14" name="Z_52D3D8FB_3DEC_4E8F_95A3_5B4CE7BD889C_.wvu.FilterData">'NPC stats'!$A$1:$Z$485</definedName>
  </definedNames>
  <calcPr/>
  <customWorkbookViews>
    <customWorkbookView activeSheetId="0" maximized="1" tabRatio="600" windowHeight="0" windowWidth="0" guid="{855B9DD6-19E0-4F39-93E6-3C9691D15ED6}" name="Filter 2"/>
    <customWorkbookView activeSheetId="0" maximized="1" tabRatio="600" windowHeight="0" windowWidth="0" guid="{52D3D8FB-3DEC-4E8F-95A3-5B4CE7BD889C}" name="Filter 3"/>
    <customWorkbookView activeSheetId="0" maximized="1" tabRatio="600" windowHeight="0" windowWidth="0" guid="{ABDC3239-A9C8-494F-8C26-36331D7E5157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Z5">
      <text>
        <t xml:space="preserve">Stab defence bonus</t>
      </text>
    </comment>
    <comment authorId="0" ref="Z6">
      <text>
        <t xml:space="preserve">Slash defence bonus</t>
      </text>
    </comment>
    <comment authorId="0" ref="Z7">
      <text>
        <t xml:space="preserve">Crush defence bonus</t>
      </text>
    </comment>
    <comment authorId="0" ref="Z8">
      <text>
        <t xml:space="preserve">Magic defence bonus</t>
      </text>
    </comment>
    <comment authorId="0" ref="Z9">
      <text>
        <t xml:space="preserve">Ranged defence bonus</t>
      </text>
    </comment>
    <comment authorId="0" ref="R11">
      <text>
        <t xml:space="preserve">Amount of BGS special attacks damage
(reduces defence and hp by that amount)</t>
      </text>
    </comment>
    <comment authorId="0" ref="R12">
      <text>
        <t xml:space="preserve">Amount of successful dwh special attacks
(Damage &gt; 0)</t>
      </text>
    </comment>
    <comment authorId="0" ref="AB12">
      <text>
        <t xml:space="preserve">Target NPC is or is not in Wilderness</t>
      </text>
    </comment>
    <comment authorId="0" ref="AF12">
      <text>
        <t xml:space="preserve">Squares between you and the target.
Default = most optimal distance.
(EXPERIMENTAL, leave blank to have old calculations)</t>
      </text>
    </comment>
    <comment authorId="0" ref="R13">
      <text>
        <t xml:space="preserve">If the Kandarin Hard diary is completed: enchanted bolt specials occur 10% more often</t>
      </text>
    </comment>
    <comment authorId="0" ref="AF13">
      <text>
        <t xml:space="preserve">Konar's Blessing
Off is the default option. 10% vs everything when the relic is active, 30% vs on task.</t>
      </text>
    </comment>
    <comment authorId="0" ref="R14">
      <text>
        <t xml:space="preserve">Remaining hitpoints 
(Dharok's set effect)</t>
      </text>
    </comment>
    <comment authorId="0" ref="AF14">
      <text>
        <t xml:space="preserve">Xeric's focus.
When this is enabled, the attack speed will be 1t faster in Twisted Leagues</t>
      </text>
    </comment>
    <comment authorId="0" ref="R15">
      <text>
        <t xml:space="preserve">Remaining Prayer points (Bludgeon special attack)</t>
      </text>
    </comment>
    <comment authorId="0" ref="AB15">
      <text>
        <t xml:space="preserve">Team size for Theatre of Blood (Size 1 and 2 are equal to 3), Chambers of Xeric and CoX CM (CoX and CoX CM are only accurate up to 5 mans)</t>
      </text>
    </comment>
    <comment authorId="0" ref="R16">
      <text>
        <t xml:space="preserve">On / Off task</t>
      </text>
    </comment>
    <comment authorId="0" ref="AB16">
      <text>
        <t xml:space="preserve">Size of the NPC, default 3x3
(currently only used for the Scythe of Vitur, not Chally or anything like that)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5">
      <text>
        <t xml:space="preserve">npc</t>
      </text>
    </comment>
    <comment authorId="0" ref="D75">
      <text>
        <t xml:space="preserve">type</t>
      </text>
    </comment>
    <comment authorId="0" ref="E75">
      <text>
        <t xml:space="preserve">Location</t>
      </text>
    </comment>
    <comment authorId="0" ref="N77">
      <text>
        <t xml:space="preserve">Speed
(according to monster examine)</t>
      </text>
    </comment>
    <comment authorId="0" ref="O77">
      <text>
        <t xml:space="preserve">Main attack style
(According to monster examine)</t>
      </text>
    </comment>
    <comment authorId="0" ref="C94">
      <text>
        <t xml:space="preserve">
</t>
      </text>
    </comment>
    <comment authorId="0" ref="C95">
      <text>
        <t xml:space="preserve">If the Kandarin Hard diary is completed: enchanted bolt specials occur 10% more often</t>
      </text>
    </comment>
    <comment authorId="0" ref="C96">
      <text>
        <t xml:space="preserve">Remaining hitpoints 
(Dharok's set effect)</t>
      </text>
    </comment>
    <comment authorId="0" ref="C97">
      <text>
        <t xml:space="preserve">Remaining Prayer points (Bludgeon special attack)
</t>
      </text>
    </comment>
    <comment authorId="0" ref="C98">
      <text>
        <t xml:space="preserve">On / Off task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8">
      <text>
        <t xml:space="preserve">Volatile staff base max hit formula:
level * (7/12) + (7/6)
Where level is capped at 99.
Floor, then apply magic dmg %
</t>
      </text>
    </comment>
    <comment authorId="0" ref="B72">
      <text>
        <t xml:space="preserve">Checks for undead!</t>
      </text>
    </comment>
    <comment authorId="0" ref="B73">
      <text>
        <t xml:space="preserve">Check for slayer task</t>
      </text>
    </comment>
    <comment authorId="0" ref="A100">
      <text>
        <t xml:space="preserve">Ruby cap 100</t>
      </text>
    </comment>
    <comment authorId="0" ref="C100">
      <text>
        <t xml:space="preserve">Target hitpoints</t>
      </text>
    </comment>
    <comment authorId="0" ref="A108">
      <text>
        <t xml:space="preserve">Empty if N/A SA</t>
      </text>
    </comment>
    <comment authorId="0" ref="B110">
      <text>
        <t xml:space="preserve">Zulrah, Corp</t>
      </text>
    </comment>
    <comment authorId="0" ref="B111">
      <text>
        <t xml:space="preserve">Dark bow</t>
      </text>
    </comment>
    <comment authorId="0" ref="B112">
      <text>
        <t xml:space="preserve">Corp and Ice</t>
      </text>
    </comment>
    <comment authorId="0" ref="B113">
      <text>
        <t xml:space="preserve">Ice demon</t>
      </text>
    </comment>
    <comment authorId="0" ref="A131">
      <text>
        <t xml:space="preserve">Excl. accuracy</t>
      </text>
    </comment>
    <comment authorId="0" ref="A132">
      <text>
        <t xml:space="preserve">Incl. accuracy</t>
      </text>
    </comment>
    <comment authorId="0" ref="A137">
      <text>
        <t xml:space="preserve">https://www.reddit.com/r/2007scape/comments/4d6l7j/effects_of_overkill_on_dps/</t>
      </text>
    </comment>
    <comment authorId="0" ref="C137">
      <text>
        <t xml:space="preserve">Target hitpoints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2">
      <text>
        <t xml:space="preserve">Checks for undead!</t>
      </text>
    </comment>
    <comment authorId="0" ref="B73">
      <text>
        <t xml:space="preserve">Check for slayer task</t>
      </text>
    </comment>
    <comment authorId="0" ref="A79">
      <text>
        <t xml:space="preserve">open</t>
      </text>
    </comment>
    <comment authorId="0" ref="A100">
      <text>
        <t xml:space="preserve">Ruby cap 100</t>
      </text>
    </comment>
    <comment authorId="0" ref="C100">
      <text>
        <t xml:space="preserve">Target hitpoints</t>
      </text>
    </comment>
    <comment authorId="0" ref="A108">
      <text>
        <t xml:space="preserve">Empty if N/A SA</t>
      </text>
    </comment>
    <comment authorId="0" ref="B110">
      <text>
        <t xml:space="preserve">Zulrah, Corp</t>
      </text>
    </comment>
    <comment authorId="0" ref="B111">
      <text>
        <t xml:space="preserve">Dark bow</t>
      </text>
    </comment>
    <comment authorId="0" ref="B112">
      <text>
        <t xml:space="preserve">Corp</t>
      </text>
    </comment>
    <comment authorId="0" ref="A131">
      <text>
        <t xml:space="preserve">Excl. accuracy</t>
      </text>
    </comment>
    <comment authorId="0" ref="A132">
      <text>
        <t xml:space="preserve">Incl. accuracy</t>
      </text>
    </comment>
    <comment authorId="0" ref="A137">
      <text>
        <t xml:space="preserve">https://www.reddit.com/r/2007scape/comments/4d6l7j/effects_of_overkill_on_dps/</t>
      </text>
    </comment>
    <comment authorId="0" ref="C137">
      <text>
        <t xml:space="preserve">Target hitpoints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Blank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Blank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blank</t>
      </text>
    </comment>
    <comment authorId="0" ref="AQ1">
      <text>
        <t xml:space="preserve">Pummel: str &amp; crush?
Block: def &amp; crush?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614">
      <text>
        <t xml:space="preserve">Should be: "mdart"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B2">
      <text>
        <t xml:space="preserve">Undead
Demon
Dragon
Kalphite
Kurask
Guardian (from Chambers of Xeric)
Vampyre</t>
      </text>
    </comment>
    <comment authorId="0" ref="A4">
      <text>
        <t xml:space="preserve">pvp</t>
      </text>
    </comment>
    <comment authorId="0" ref="A132">
      <text>
        <t xml:space="preserve">Various dwarves with different stats</t>
      </text>
    </comment>
    <comment authorId="0" ref="AB169">
      <text>
        <t xml:space="preserve">demon?</t>
      </text>
    </comment>
    <comment authorId="0" ref="AB170">
      <text>
        <t xml:space="preserve">demon?</t>
      </text>
    </comment>
    <comment authorId="0" ref="A400">
      <text>
        <t xml:space="preserve">?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blank column</t>
      </text>
    </comment>
    <comment authorId="0" ref="H1">
      <text>
        <t xml:space="preserve">blank column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">
      <text>
        <t xml:space="preserve">duh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8">
      <text>
        <t xml:space="preserve">Outside melee distance</t>
      </text>
    </comment>
  </commentLi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Rolled damage increase</t>
      </text>
    </comment>
    <comment authorId="0" ref="C1">
      <text>
        <t xml:space="preserve">passive effect</t>
      </text>
    </comment>
    <comment authorId="0" ref="D1">
      <text>
        <t xml:space="preserve">odds passive effect</t>
      </text>
    </comment>
    <comment authorId="0" ref="F1">
      <text>
        <t xml:space="preserve">Rolled damage</t>
      </text>
    </comment>
  </commentLi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Rolled damage increase</t>
      </text>
    </comment>
    <comment authorId="0" ref="C1">
      <text>
        <t xml:space="preserve">passive effect</t>
      </text>
    </comment>
    <comment authorId="0" ref="D1">
      <text>
        <t xml:space="preserve">odds passive effect</t>
      </text>
    </comment>
    <comment authorId="0" ref="F1">
      <text>
        <t xml:space="preserve">Rolled damage</t>
      </text>
    </comment>
  </commentList>
</comments>
</file>

<file path=xl/comments1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Rolled damage increase</t>
      </text>
    </comment>
    <comment authorId="0" ref="B1">
      <text>
        <t xml:space="preserve">passive effect</t>
      </text>
    </comment>
    <comment authorId="0" ref="C1">
      <text>
        <t xml:space="preserve">odds passive effect</t>
      </text>
    </comment>
  </commentList>
</comments>
</file>

<file path=xl/comments1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Rolled damage increase</t>
      </text>
    </comment>
    <comment authorId="0" ref="B1">
      <text>
        <t xml:space="preserve">passive effect</t>
      </text>
    </comment>
    <comment authorId="0" ref="C1">
      <text>
        <t xml:space="preserve">odds passive effect</t>
      </text>
    </comment>
    <comment authorId="0" ref="D1">
      <text>
        <t xml:space="preserve">Rolled damage</t>
      </text>
    </comment>
  </commentList>
</comments>
</file>

<file path=xl/comments1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Rolled damage increase</t>
      </text>
    </comment>
    <comment authorId="0" ref="B1">
      <text>
        <t xml:space="preserve">passive effect</t>
      </text>
    </comment>
    <comment authorId="0" ref="C1">
      <text>
        <t xml:space="preserve">odds passive effect</t>
      </text>
    </comment>
    <comment authorId="0" ref="D1">
      <text>
        <t xml:space="preserve">Rolled damage</t>
      </text>
    </comment>
  </commentList>
</comments>
</file>

<file path=xl/comments1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Rolled damage increase</t>
      </text>
    </comment>
    <comment authorId="0" ref="B1">
      <text>
        <t xml:space="preserve">passive effect</t>
      </text>
    </comment>
    <comment authorId="0" ref="C1">
      <text>
        <t xml:space="preserve">odds passive effect</t>
      </text>
    </comment>
    <comment authorId="0" ref="D1">
      <text>
        <t xml:space="preserve">Rolled damage</t>
      </text>
    </comment>
  </commentList>
</comments>
</file>

<file path=xl/sharedStrings.xml><?xml version="1.0" encoding="utf-8"?>
<sst xmlns="http://schemas.openxmlformats.org/spreadsheetml/2006/main" count="3368" uniqueCount="1678">
  <si>
    <t>Wep</t>
  </si>
  <si>
    <t>hp</t>
  </si>
  <si>
    <t>Max</t>
  </si>
  <si>
    <t>Acc</t>
  </si>
  <si>
    <t>Size</t>
  </si>
  <si>
    <t>Max hit</t>
  </si>
  <si>
    <t>Hp</t>
  </si>
  <si>
    <t xml:space="preserve">Expected hits </t>
  </si>
  <si>
    <t>Weapon speed</t>
  </si>
  <si>
    <t>Expected TTK</t>
  </si>
  <si>
    <t>Overkill dps</t>
  </si>
  <si>
    <t>DPS Calculator for OSRS by Bitterkoekje (credits below)</t>
  </si>
  <si>
    <t>Dark mode</t>
  </si>
  <si>
    <t>(To use the spreadsheet: go to 'File' -&gt; 'Make a copy')</t>
  </si>
  <si>
    <t>RSN:</t>
  </si>
  <si>
    <t>Corporeal beast</t>
  </si>
  <si>
    <t>Prayer drain</t>
  </si>
  <si>
    <t>320/320</t>
  </si>
  <si>
    <t>Stats</t>
  </si>
  <si>
    <t>310/310</t>
  </si>
  <si>
    <t>Melee</t>
  </si>
  <si>
    <t>Attack</t>
  </si>
  <si>
    <t>Super attack</t>
  </si>
  <si>
    <t>Piety</t>
  </si>
  <si>
    <t>Diff.</t>
  </si>
  <si>
    <t>350/350</t>
  </si>
  <si>
    <t>Off</t>
  </si>
  <si>
    <t>Strength</t>
  </si>
  <si>
    <t>Super strength</t>
  </si>
  <si>
    <t>Maximum hit:</t>
  </si>
  <si>
    <t>150/150</t>
  </si>
  <si>
    <t>Defence</t>
  </si>
  <si>
    <t>Super defence</t>
  </si>
  <si>
    <t>Spec max hit:</t>
  </si>
  <si>
    <t>2000/2000</t>
  </si>
  <si>
    <t>Magic</t>
  </si>
  <si>
    <t>Imbued heart</t>
  </si>
  <si>
    <t>Augury</t>
  </si>
  <si>
    <t>Accuracy:</t>
  </si>
  <si>
    <t>Ranged</t>
  </si>
  <si>
    <t>Ranging</t>
  </si>
  <si>
    <t>Rigour</t>
  </si>
  <si>
    <t>Spec accuracy:</t>
  </si>
  <si>
    <t>Wildy</t>
  </si>
  <si>
    <t>Dist.</t>
  </si>
  <si>
    <t>Hitpoints</t>
  </si>
  <si>
    <t>Cost / hour:</t>
  </si>
  <si>
    <t>Type</t>
  </si>
  <si>
    <t>KB</t>
  </si>
  <si>
    <t>Prayer</t>
  </si>
  <si>
    <t>15/16</t>
  </si>
  <si>
    <t>XF</t>
  </si>
  <si>
    <t>Mining</t>
  </si>
  <si>
    <t>Overkill DPS</t>
  </si>
  <si>
    <t>Exp. secs to kill</t>
  </si>
  <si>
    <t>3x3</t>
  </si>
  <si>
    <t>Damage taken (Gwd only/basic atks)</t>
  </si>
  <si>
    <t>Max attack roll</t>
  </si>
  <si>
    <t>Maximum hit</t>
  </si>
  <si>
    <t>Slot</t>
  </si>
  <si>
    <t>Max mage harm</t>
  </si>
  <si>
    <t>Set 2</t>
  </si>
  <si>
    <t>Show special attack DPS</t>
  </si>
  <si>
    <t>Melee (Stab)</t>
  </si>
  <si>
    <t>Weapon</t>
  </si>
  <si>
    <t>Harmonised nightmare staff</t>
  </si>
  <si>
    <t>Set 1</t>
  </si>
  <si>
    <t>Melee (Slash)</t>
  </si>
  <si>
    <t>Combat</t>
  </si>
  <si>
    <t>*choose spell* *magic*</t>
  </si>
  <si>
    <t>Melee (Crush)</t>
  </si>
  <si>
    <t>Spell</t>
  </si>
  <si>
    <t>Fire surge</t>
  </si>
  <si>
    <t>109/99</t>
  </si>
  <si>
    <t>118/99</t>
  </si>
  <si>
    <t>Ammo</t>
  </si>
  <si>
    <t>108/99</t>
  </si>
  <si>
    <t>117/99</t>
  </si>
  <si>
    <t>Head</t>
  </si>
  <si>
    <t>Ancestral hat</t>
  </si>
  <si>
    <t>107/99</t>
  </si>
  <si>
    <t>116/99</t>
  </si>
  <si>
    <t>Cape</t>
  </si>
  <si>
    <t>God cape (i)</t>
  </si>
  <si>
    <t>106/99</t>
  </si>
  <si>
    <t>115/99</t>
  </si>
  <si>
    <t>Amulet</t>
  </si>
  <si>
    <t>Occult necklace</t>
  </si>
  <si>
    <t>105/99</t>
  </si>
  <si>
    <t>114/99</t>
  </si>
  <si>
    <t>Chest</t>
  </si>
  <si>
    <t>Ancestral robe top</t>
  </si>
  <si>
    <t>104/99</t>
  </si>
  <si>
    <t>113/99</t>
  </si>
  <si>
    <t>Legs</t>
  </si>
  <si>
    <t>Ancestral robe bottoms</t>
  </si>
  <si>
    <t>103/99</t>
  </si>
  <si>
    <t>112/99</t>
  </si>
  <si>
    <t>Shield</t>
  </si>
  <si>
    <t>Tome of fire</t>
  </si>
  <si>
    <t>102/99</t>
  </si>
  <si>
    <t>111/99</t>
  </si>
  <si>
    <t>Gloves</t>
  </si>
  <si>
    <t>Tormented bracelet</t>
  </si>
  <si>
    <t>101/99</t>
  </si>
  <si>
    <t>110/99</t>
  </si>
  <si>
    <t>Boots</t>
  </si>
  <si>
    <t>Eternal boots</t>
  </si>
  <si>
    <t>100/99</t>
  </si>
  <si>
    <t>Ring</t>
  </si>
  <si>
    <t>Seers (i)</t>
  </si>
  <si>
    <t>99/99</t>
  </si>
  <si>
    <t>Custom</t>
  </si>
  <si>
    <t>Total</t>
  </si>
  <si>
    <t>Mostly made by Bitter, Koek updates, overkill done by Inevitably</t>
  </si>
  <si>
    <t>RSN / IGN</t>
  </si>
  <si>
    <t>Combat skill</t>
  </si>
  <si>
    <t>Hiscores</t>
  </si>
  <si>
    <t>Manual</t>
  </si>
  <si>
    <t>Stat level</t>
  </si>
  <si>
    <t>Visible level</t>
  </si>
  <si>
    <t>Multiplier</t>
  </si>
  <si>
    <t>Invisible level(1/3)</t>
  </si>
  <si>
    <t>Ranged attack</t>
  </si>
  <si>
    <t>Ranged strength</t>
  </si>
  <si>
    <t>Combat option</t>
  </si>
  <si>
    <t>Experience</t>
  </si>
  <si>
    <t>Blank</t>
  </si>
  <si>
    <t>Style</t>
  </si>
  <si>
    <t>Bonus</t>
  </si>
  <si>
    <t>Invisible level(2/3)</t>
  </si>
  <si>
    <t>Chinchompa modifier</t>
  </si>
  <si>
    <t>Item</t>
  </si>
  <si>
    <t>NPC</t>
  </si>
  <si>
    <t>Def level</t>
  </si>
  <si>
    <t>Def bonus</t>
  </si>
  <si>
    <t>Defence roll</t>
  </si>
  <si>
    <t>Atk level</t>
  </si>
  <si>
    <t>Atk bonus</t>
  </si>
  <si>
    <t>Attack roll</t>
  </si>
  <si>
    <t>Str level</t>
  </si>
  <si>
    <t>Str bonus</t>
  </si>
  <si>
    <t>Stab</t>
  </si>
  <si>
    <t>Slash</t>
  </si>
  <si>
    <t>Crush</t>
  </si>
  <si>
    <t>Area</t>
  </si>
  <si>
    <t>BGS</t>
  </si>
  <si>
    <t>Dwh</t>
  </si>
  <si>
    <t>Bandos godsword order of drain :)</t>
  </si>
  <si>
    <t>Diary</t>
  </si>
  <si>
    <t>Rem. HP</t>
  </si>
  <si>
    <t>Rem. PP</t>
  </si>
  <si>
    <t>Tasked</t>
  </si>
  <si>
    <t>Arclight</t>
  </si>
  <si>
    <t>Vulnerability</t>
  </si>
  <si>
    <t>Stance</t>
  </si>
  <si>
    <t>Void</t>
  </si>
  <si>
    <t>Effective level</t>
  </si>
  <si>
    <t>Equipment</t>
  </si>
  <si>
    <t>Salve bonus</t>
  </si>
  <si>
    <t>Slayer bonus</t>
  </si>
  <si>
    <t>Craws's/Viggora's</t>
  </si>
  <si>
    <t>Obsidian armor</t>
  </si>
  <si>
    <t>Crystal armor</t>
  </si>
  <si>
    <t>Konar's blessing</t>
  </si>
  <si>
    <t>Chinchompa</t>
  </si>
  <si>
    <t>Inquisitor's set effect</t>
  </si>
  <si>
    <t>Max defence roll</t>
  </si>
  <si>
    <t>Ignores accuracy check</t>
  </si>
  <si>
    <t>Nylocas Matomenos</t>
  </si>
  <si>
    <t>Accuracy</t>
  </si>
  <si>
    <t>Vesta's longsword</t>
  </si>
  <si>
    <t>Special accuracy</t>
  </si>
  <si>
    <t>Void elite range</t>
  </si>
  <si>
    <t>Spellbook spell</t>
  </si>
  <si>
    <t>Ancients</t>
  </si>
  <si>
    <t>Magic dart</t>
  </si>
  <si>
    <t>Crystal staff</t>
  </si>
  <si>
    <t>Dawnbringer</t>
  </si>
  <si>
    <t>Magic base max</t>
  </si>
  <si>
    <t>Salve bonus (magic)</t>
  </si>
  <si>
    <t>Void mage elite</t>
  </si>
  <si>
    <t>Slayer bonus (magic)</t>
  </si>
  <si>
    <t>Totem</t>
  </si>
  <si>
    <t>Magic maximum hit</t>
  </si>
  <si>
    <t>Ahrim</t>
  </si>
  <si>
    <t>Eldrith staff</t>
  </si>
  <si>
    <t>Volatile staff</t>
  </si>
  <si>
    <t>Magic spec max</t>
  </si>
  <si>
    <t>Salve bonus (ranged/melee)</t>
  </si>
  <si>
    <t>Slayer bonus (ranged/melee)</t>
  </si>
  <si>
    <t>Crystal armour</t>
  </si>
  <si>
    <t>Berserker Necklace</t>
  </si>
  <si>
    <t>Darklight</t>
  </si>
  <si>
    <t>Dharok</t>
  </si>
  <si>
    <t>Guardian</t>
  </si>
  <si>
    <t>Gadderhammer</t>
  </si>
  <si>
    <t>Keris</t>
  </si>
  <si>
    <t>Gadderhammer (double)</t>
  </si>
  <si>
    <t>Keris (triple)</t>
  </si>
  <si>
    <t>Karil</t>
  </si>
  <si>
    <t>Verac</t>
  </si>
  <si>
    <t>MSB,Seercull,etc.</t>
  </si>
  <si>
    <t>Normal max hit</t>
  </si>
  <si>
    <t>Special max hit</t>
  </si>
  <si>
    <t>Spec max hit</t>
  </si>
  <si>
    <t>Damage cap</t>
  </si>
  <si>
    <t>P1 Verzik Scythe</t>
  </si>
  <si>
    <t>P1 Verzik Melee</t>
  </si>
  <si>
    <t>P1 Verzik Range/Mage</t>
  </si>
  <si>
    <t>Average damage</t>
  </si>
  <si>
    <t>Attack speed (XF)</t>
  </si>
  <si>
    <t>DPS</t>
  </si>
  <si>
    <t>Dps</t>
  </si>
  <si>
    <t>DPS repot average</t>
  </si>
  <si>
    <t>Dps avg.</t>
  </si>
  <si>
    <t>Average dmg overkill</t>
  </si>
  <si>
    <t>Overkill dps avg.</t>
  </si>
  <si>
    <t>Exp / hour</t>
  </si>
  <si>
    <t>Exp/h</t>
  </si>
  <si>
    <t>Exp / hour repot average</t>
  </si>
  <si>
    <t>Exp/h avg.</t>
  </si>
  <si>
    <t>Melee attack</t>
  </si>
  <si>
    <t>Melee prayer</t>
  </si>
  <si>
    <t>Stance bonus</t>
  </si>
  <si>
    <t>Ranged prayer</t>
  </si>
  <si>
    <t>Cannon attack roll</t>
  </si>
  <si>
    <t>Target ranged def roll</t>
  </si>
  <si>
    <t>Cannon accuracy</t>
  </si>
  <si>
    <t>Cannon %</t>
  </si>
  <si>
    <t>DDS</t>
  </si>
  <si>
    <t>Claws</t>
  </si>
  <si>
    <t>Hally avg dmg</t>
  </si>
  <si>
    <t>Chally Dhally</t>
  </si>
  <si>
    <t>Abby dagger</t>
  </si>
  <si>
    <t>VLS</t>
  </si>
  <si>
    <t>SWH</t>
  </si>
  <si>
    <t>Korasi</t>
  </si>
  <si>
    <t>Dark bow</t>
  </si>
  <si>
    <t>Nightmare staffs</t>
  </si>
  <si>
    <t>Normal</t>
  </si>
  <si>
    <t>Special attack DPS</t>
  </si>
  <si>
    <t>Spec DPS</t>
  </si>
  <si>
    <t>Dclaws spec acc roll</t>
  </si>
  <si>
    <t>DClaws spec acc%</t>
  </si>
  <si>
    <t>Effective level (defence)</t>
  </si>
  <si>
    <t>Stab def</t>
  </si>
  <si>
    <t>Slash def</t>
  </si>
  <si>
    <t>Crush def</t>
  </si>
  <si>
    <t>Ranged def</t>
  </si>
  <si>
    <t>Effective level (magic defence)</t>
  </si>
  <si>
    <t>Magic def</t>
  </si>
  <si>
    <t>Smoke staff</t>
  </si>
  <si>
    <t>Link:</t>
  </si>
  <si>
    <t>http://services.runescape.com/m=hiscore_oldschool/hiscorepersonal.ws?user1=</t>
  </si>
  <si>
    <t>Name:</t>
  </si>
  <si>
    <t>Import:</t>
  </si>
  <si>
    <t>COMBAT</t>
  </si>
  <si>
    <t>WEIGHT</t>
  </si>
  <si>
    <t>HITPOINTS</t>
  </si>
  <si>
    <t>DEFENCE</t>
  </si>
  <si>
    <t>PRAYER</t>
  </si>
  <si>
    <t>ATTACK</t>
  </si>
  <si>
    <t>STRENGTH</t>
  </si>
  <si>
    <t>RANGED</t>
  </si>
  <si>
    <t>MAGIC</t>
  </si>
  <si>
    <t>MINING</t>
  </si>
  <si>
    <t>MELEE</t>
  </si>
  <si>
    <t>BASE</t>
  </si>
  <si>
    <t>CLASS</t>
  </si>
  <si>
    <t>TOTAL</t>
  </si>
  <si>
    <t>Potion</t>
  </si>
  <si>
    <t>Additional</t>
  </si>
  <si>
    <t>None</t>
  </si>
  <si>
    <t>Zamorak brew</t>
  </si>
  <si>
    <t>Overload (raids)</t>
  </si>
  <si>
    <t>Saradomin brew</t>
  </si>
  <si>
    <t>Super magic</t>
  </si>
  <si>
    <t>Super ranging</t>
  </si>
  <si>
    <t>Chivalry</t>
  </si>
  <si>
    <t>Combat options</t>
  </si>
  <si>
    <t>Dagger</t>
  </si>
  <si>
    <t>Sword</t>
  </si>
  <si>
    <t>Long/scim/claws</t>
  </si>
  <si>
    <t>Mace/flail</t>
  </si>
  <si>
    <t>Axe</t>
  </si>
  <si>
    <t>Hammer/maul</t>
  </si>
  <si>
    <t>2H</t>
  </si>
  <si>
    <t>Halberd</t>
  </si>
  <si>
    <t>Spear</t>
  </si>
  <si>
    <t>Whip</t>
  </si>
  <si>
    <t>Bludgeon</t>
  </si>
  <si>
    <t>Staff</t>
  </si>
  <si>
    <t>Pickaxe</t>
  </si>
  <si>
    <t>Salamander</t>
  </si>
  <si>
    <t>SotD</t>
  </si>
  <si>
    <t>Trident</t>
  </si>
  <si>
    <t>2h shield</t>
  </si>
  <si>
    <t>accurate</t>
  </si>
  <si>
    <t>crush</t>
  </si>
  <si>
    <t>stab</t>
  </si>
  <si>
    <t>slash</t>
  </si>
  <si>
    <t>aggressive</t>
  </si>
  <si>
    <t>controlled</t>
  </si>
  <si>
    <t>ranged</t>
  </si>
  <si>
    <t>magic</t>
  </si>
  <si>
    <t>rapid</t>
  </si>
  <si>
    <t>long</t>
  </si>
  <si>
    <t>defensive</t>
  </si>
  <si>
    <t>blaze</t>
  </si>
  <si>
    <t>choose spell</t>
  </si>
  <si>
    <t>Date</t>
  </si>
  <si>
    <t>Made by</t>
  </si>
  <si>
    <t>Update</t>
  </si>
  <si>
    <t>Justin</t>
  </si>
  <si>
    <t>Added scythe overkill, moved everything to exact overkill without rounding errors, unfortunately this does make it a bit slower but such is life. Might use the other thing for an estimation while this loads</t>
  </si>
  <si>
    <t>Koek</t>
  </si>
  <si>
    <t>NPC DPS vs set 2 should be a little bit more reliable</t>
  </si>
  <si>
    <t>Fixed cannon w/ magic weapons.</t>
  </si>
  <si>
    <t>Added Nightmare/Parasite(s)/Husk/Fixed kbds hp</t>
  </si>
  <si>
    <t>Added Totem dps (accurate for magic so far)</t>
  </si>
  <si>
    <t>Temporarily added the Inquisitor's armour with the proposed set effect (might be slightly off in rare occasions)</t>
  </si>
  <si>
    <t>Made the Inquisitor's armour set permanent (might still be inaccurate due to the lack of testing from my end)</t>
  </si>
  <si>
    <t>Added Gauntlet stuff</t>
  </si>
  <si>
    <t>Added Verzik p1 dps (no overkill yet)</t>
  </si>
  <si>
    <t>Fixed some stuff (vola + slay helm)</t>
  </si>
  <si>
    <t>Small formatting things, Vanguard stats, Online version last update check</t>
  </si>
  <si>
    <t>Moved Nylocas Matomenos accuracy w/ freeze spells to normal accuracy so the dps is more accurate</t>
  </si>
  <si>
    <t>Stab attack</t>
  </si>
  <si>
    <t>Slash attack</t>
  </si>
  <si>
    <t>Crush attack</t>
  </si>
  <si>
    <t>Magic attack</t>
  </si>
  <si>
    <t>Stab defence</t>
  </si>
  <si>
    <t>Slash defence</t>
  </si>
  <si>
    <t>Crush defence</t>
  </si>
  <si>
    <t>Magic defence</t>
  </si>
  <si>
    <t>Ranged defence</t>
  </si>
  <si>
    <t>Melee strength</t>
  </si>
  <si>
    <t>Magic damage</t>
  </si>
  <si>
    <t>Special damage 1</t>
  </si>
  <si>
    <t>Special damage 2</t>
  </si>
  <si>
    <t>Special defence roll</t>
  </si>
  <si>
    <t>Spell max hit</t>
  </si>
  <si>
    <t>Attack speed</t>
  </si>
  <si>
    <t>Mining level req</t>
  </si>
  <si>
    <t xml:space="preserve"> </t>
  </si>
  <si>
    <t>2h Korasi</t>
  </si>
  <si>
    <t>3rd age longsword</t>
  </si>
  <si>
    <t>Abyssal bludgeon</t>
  </si>
  <si>
    <t>Abyssal dagger</t>
  </si>
  <si>
    <t>Abyssal tentacle</t>
  </si>
  <si>
    <t>Abyssal whip</t>
  </si>
  <si>
    <t>Ancient mace</t>
  </si>
  <si>
    <t>Armadyl godsword</t>
  </si>
  <si>
    <t>Bandos godsword</t>
  </si>
  <si>
    <t>Barrelchest anchor</t>
  </si>
  <si>
    <t>Black salamander</t>
  </si>
  <si>
    <t>Blade of Saeldor</t>
  </si>
  <si>
    <t>Bone dagger</t>
  </si>
  <si>
    <t>Brine sabre</t>
  </si>
  <si>
    <t>Crystal halberd</t>
  </si>
  <si>
    <t>Crystal halberd (basic)</t>
  </si>
  <si>
    <t>Crystal halberd (attuned)</t>
  </si>
  <si>
    <t>Crystal halberd (perfected)</t>
  </si>
  <si>
    <t>Crystal sceptre</t>
  </si>
  <si>
    <t>Dharok's greataxe</t>
  </si>
  <si>
    <t>Dinh's Bulwark</t>
  </si>
  <si>
    <t>Dragon 2h sword</t>
  </si>
  <si>
    <t>Dragon battleaxe</t>
  </si>
  <si>
    <t>Dragon claws</t>
  </si>
  <si>
    <t>Dragon dagger</t>
  </si>
  <si>
    <t>Dragon halberd</t>
  </si>
  <si>
    <t>Dragon hasta</t>
  </si>
  <si>
    <t>Dragon hunter lance</t>
  </si>
  <si>
    <t>Dragon longsword</t>
  </si>
  <si>
    <t>Dragon mace</t>
  </si>
  <si>
    <t>Dragon scimitar</t>
  </si>
  <si>
    <t>Dragon spear</t>
  </si>
  <si>
    <t>Dragon sword</t>
  </si>
  <si>
    <t>Dragon warhammer</t>
  </si>
  <si>
    <t>Elder maul</t>
  </si>
  <si>
    <t>Event rpg</t>
  </si>
  <si>
    <t>Fixed device</t>
  </si>
  <si>
    <t>Ghrazi rapier</t>
  </si>
  <si>
    <t>Inquisitor's mace</t>
  </si>
  <si>
    <t>Granite hammer</t>
  </si>
  <si>
    <t>Granite longsword</t>
  </si>
  <si>
    <t>Granite maul</t>
  </si>
  <si>
    <t>Guthan's warspear</t>
  </si>
  <si>
    <t>Ham joint</t>
  </si>
  <si>
    <t>Hill giant club</t>
  </si>
  <si>
    <t>Leaf-bladed spear</t>
  </si>
  <si>
    <t>Leaf-bladed sword</t>
  </si>
  <si>
    <t>Leaf-bladed battleaxe</t>
  </si>
  <si>
    <t>Maple blackjack</t>
  </si>
  <si>
    <t>Maple blackjack (o)</t>
  </si>
  <si>
    <t>Maple blackjack (d)</t>
  </si>
  <si>
    <t>Obsidian dagger</t>
  </si>
  <si>
    <t>Obsidian mace</t>
  </si>
  <si>
    <t>Obsidian maul</t>
  </si>
  <si>
    <t>Crystal pickaxe</t>
  </si>
  <si>
    <t>Adamant pickaxe</t>
  </si>
  <si>
    <t>Mithril pickaxe</t>
  </si>
  <si>
    <t>Black pickaxe</t>
  </si>
  <si>
    <t>Dragon pickaxe</t>
  </si>
  <si>
    <t>Steel pickaxe</t>
  </si>
  <si>
    <t>Iron pickaxe</t>
  </si>
  <si>
    <t>Bronze pickaxe</t>
  </si>
  <si>
    <t>Rune pickaxe</t>
  </si>
  <si>
    <t>Obsidian sword</t>
  </si>
  <si>
    <t>Rune 2h sword</t>
  </si>
  <si>
    <t>Rune battleaxe</t>
  </si>
  <si>
    <t>Rune claws</t>
  </si>
  <si>
    <t>Rune dagger</t>
  </si>
  <si>
    <t>Rune halberd</t>
  </si>
  <si>
    <t>Rune hasta</t>
  </si>
  <si>
    <t>Rune longsword</t>
  </si>
  <si>
    <t>Rune mace</t>
  </si>
  <si>
    <t>Rune scimitar</t>
  </si>
  <si>
    <t>Rune spear</t>
  </si>
  <si>
    <t>Rune sword</t>
  </si>
  <si>
    <t>Rune warhammer</t>
  </si>
  <si>
    <t>Sarachnis cudgel</t>
  </si>
  <si>
    <t>Saradomin's blessed sword</t>
  </si>
  <si>
    <t>Saradomin godsword</t>
  </si>
  <si>
    <t>Saradomin sword</t>
  </si>
  <si>
    <t>Scythe of Vitur (uncharged)</t>
  </si>
  <si>
    <t>Scythe of Vitur</t>
  </si>
  <si>
    <t>Slayer's staff</t>
  </si>
  <si>
    <t>Staff of light</t>
  </si>
  <si>
    <t>Statius's warhammer</t>
  </si>
  <si>
    <t>Swift blade</t>
  </si>
  <si>
    <t>Enchanted slayer's staff</t>
  </si>
  <si>
    <t>Red topaz machete</t>
  </si>
  <si>
    <t>Staff of the dead</t>
  </si>
  <si>
    <t>Torag's hammers</t>
  </si>
  <si>
    <t>Wolfbane</t>
  </si>
  <si>
    <t>Verac's flail</t>
  </si>
  <si>
    <t>Viggora's chainmace</t>
  </si>
  <si>
    <t>Zamorakian spear</t>
  </si>
  <si>
    <t>Zamorakian hasta</t>
  </si>
  <si>
    <t>Zamorak godsword</t>
  </si>
  <si>
    <t>Adamant scimitar</t>
  </si>
  <si>
    <t>Mithril scimitar</t>
  </si>
  <si>
    <t>Black scimitar</t>
  </si>
  <si>
    <t>White scimitar</t>
  </si>
  <si>
    <t>Steel scimitar</t>
  </si>
  <si>
    <t>Iron scimitar</t>
  </si>
  <si>
    <t>Bronze scimitar</t>
  </si>
  <si>
    <t>3rd age bow</t>
  </si>
  <si>
    <t>Armadyl crossbow</t>
  </si>
  <si>
    <t>Black chinchompa</t>
  </si>
  <si>
    <t>Crystal bow</t>
  </si>
  <si>
    <t>Crystal bow (basic)</t>
  </si>
  <si>
    <t>Crystal bow (attuned)</t>
  </si>
  <si>
    <t>Crystal bow (perfected)</t>
  </si>
  <si>
    <t>Craw's bow</t>
  </si>
  <si>
    <t>Dart</t>
  </si>
  <si>
    <t>Dorgeshuun crossbow</t>
  </si>
  <si>
    <t>Dragon crossbow</t>
  </si>
  <si>
    <t>Dragon hunter crossbow</t>
  </si>
  <si>
    <t>Dragon thrownaxe</t>
  </si>
  <si>
    <t>Rune crossbow</t>
  </si>
  <si>
    <t>Hunter's crossbow</t>
  </si>
  <si>
    <t>Adamant crossbow</t>
  </si>
  <si>
    <t>Mithril crossbow</t>
  </si>
  <si>
    <t>Steel crossbow</t>
  </si>
  <si>
    <t>Iron crossbow</t>
  </si>
  <si>
    <t>Bronze crossbow</t>
  </si>
  <si>
    <t>Bluerite crossbow</t>
  </si>
  <si>
    <t>Rune thrownaxe</t>
  </si>
  <si>
    <t>Heavy ballista</t>
  </si>
  <si>
    <t>Karil's crossbow</t>
  </si>
  <si>
    <t>Knife</t>
  </si>
  <si>
    <t>Light ballista</t>
  </si>
  <si>
    <t>Magic compositebow</t>
  </si>
  <si>
    <t>Magic longbow</t>
  </si>
  <si>
    <t>Magic shortbow</t>
  </si>
  <si>
    <t>Magic shortbow (i)</t>
  </si>
  <si>
    <t>Yew shortbow</t>
  </si>
  <si>
    <t>Maple shortbow</t>
  </si>
  <si>
    <t>Willow shortbow</t>
  </si>
  <si>
    <t>Oak shortbow</t>
  </si>
  <si>
    <t>Shortbow</t>
  </si>
  <si>
    <t>Red chinchompa</t>
  </si>
  <si>
    <t>Seercull</t>
  </si>
  <si>
    <t>Toxic blowpipe</t>
  </si>
  <si>
    <t>Twisted bow</t>
  </si>
  <si>
    <t>Ahrim's staff</t>
  </si>
  <si>
    <t>Ancient staff</t>
  </si>
  <si>
    <t>Crystal staff (basic)</t>
  </si>
  <si>
    <t>Crystal staff (attuned)</t>
  </si>
  <si>
    <t>Crystal staff (perfected)</t>
  </si>
  <si>
    <t>God staff</t>
  </si>
  <si>
    <t>Iban staff (u)</t>
  </si>
  <si>
    <t>Kodai wand</t>
  </si>
  <si>
    <t>Master wand</t>
  </si>
  <si>
    <t>Eldritch nightmare staff</t>
  </si>
  <si>
    <t>Volatile nightmare staff</t>
  </si>
  <si>
    <t>Nightmare staff</t>
  </si>
  <si>
    <t>Thammaron's sceptre</t>
  </si>
  <si>
    <t>Sanguinesti staff</t>
  </si>
  <si>
    <t>Trident of the seas</t>
  </si>
  <si>
    <t>Trident of the swamp</t>
  </si>
  <si>
    <t>Toxic staff of the dead</t>
  </si>
  <si>
    <t>3rd age wand</t>
  </si>
  <si>
    <t>Void knight mace</t>
  </si>
  <si>
    <t>Mystic smoke staff</t>
  </si>
  <si>
    <t>Smoke battlestaff</t>
  </si>
  <si>
    <t>Mystic lava staff</t>
  </si>
  <si>
    <t>Mystic mud staff</t>
  </si>
  <si>
    <t>Mystic dust staff</t>
  </si>
  <si>
    <t>Mystic mist staff</t>
  </si>
  <si>
    <t>Mystic steam staff</t>
  </si>
  <si>
    <t>Air battlestaff</t>
  </si>
  <si>
    <t>Water battlestaff</t>
  </si>
  <si>
    <t>Earth battlestaff</t>
  </si>
  <si>
    <t>Fire battlestaff</t>
  </si>
  <si>
    <t>Neitiznot faceguard</t>
  </si>
  <si>
    <t>Inquisitor's great helm</t>
  </si>
  <si>
    <t>Dharok's helm</t>
  </si>
  <si>
    <t>Dwarven helmet</t>
  </si>
  <si>
    <t>Fighter hat</t>
  </si>
  <si>
    <t>Guthan's helm</t>
  </si>
  <si>
    <t>Neitiznot</t>
  </si>
  <si>
    <t>Justiciar faceguard</t>
  </si>
  <si>
    <t>Dragon full helm</t>
  </si>
  <si>
    <t>Dragon med helm</t>
  </si>
  <si>
    <t>Rune full helm</t>
  </si>
  <si>
    <t>Serpentine</t>
  </si>
  <si>
    <t>Slayer helmet (i)</t>
  </si>
  <si>
    <t>Obsidian helm</t>
  </si>
  <si>
    <t>Torag's helm</t>
  </si>
  <si>
    <t>Verac's helm</t>
  </si>
  <si>
    <t>Void knight helm</t>
  </si>
  <si>
    <t>3rd age helm</t>
  </si>
  <si>
    <t>Proselyte sallet</t>
  </si>
  <si>
    <t>Warrior helm</t>
  </si>
  <si>
    <t>Berserker helm</t>
  </si>
  <si>
    <t>Armadyl helmet</t>
  </si>
  <si>
    <t>Robin hood hat</t>
  </si>
  <si>
    <t>Karil's coif</t>
  </si>
  <si>
    <t>God coif</t>
  </si>
  <si>
    <t>3rd age range coif</t>
  </si>
  <si>
    <t>Crystal helm</t>
  </si>
  <si>
    <t>Archer helm</t>
  </si>
  <si>
    <t>Snakeskin bandana</t>
  </si>
  <si>
    <t>Spined helm</t>
  </si>
  <si>
    <t>Coif</t>
  </si>
  <si>
    <t>Cowl</t>
  </si>
  <si>
    <t>Ranger hat</t>
  </si>
  <si>
    <t>3rd age mage hat</t>
  </si>
  <si>
    <t>Ahrim's hood</t>
  </si>
  <si>
    <t>Elder chaos hood</t>
  </si>
  <si>
    <t>Infinity hat</t>
  </si>
  <si>
    <t>Healer hat</t>
  </si>
  <si>
    <t>Farseer helm</t>
  </si>
  <si>
    <t>Skeletal helm</t>
  </si>
  <si>
    <t>Guthix halo</t>
  </si>
  <si>
    <t>Saradmon halo</t>
  </si>
  <si>
    <t>Zamorak halo</t>
  </si>
  <si>
    <t>God mitre</t>
  </si>
  <si>
    <t>Infernal cape</t>
  </si>
  <si>
    <t>Fire cape</t>
  </si>
  <si>
    <t>Mythical cape</t>
  </si>
  <si>
    <t>Ardougne 4</t>
  </si>
  <si>
    <t>Ardougne 3</t>
  </si>
  <si>
    <t>Ardougne 2</t>
  </si>
  <si>
    <t>Ardougne 1</t>
  </si>
  <si>
    <t>Vestment cloak</t>
  </si>
  <si>
    <t>Max cape</t>
  </si>
  <si>
    <t>Skill cape (t)</t>
  </si>
  <si>
    <t>Obsidian cape</t>
  </si>
  <si>
    <t>3rd age cloak</t>
  </si>
  <si>
    <t>Ava's attractor</t>
  </si>
  <si>
    <t>Ava's accumulator</t>
  </si>
  <si>
    <t>Ava's assembler</t>
  </si>
  <si>
    <t>Mage arena cape</t>
  </si>
  <si>
    <t>Guthix cape</t>
  </si>
  <si>
    <t>Saradomin cape</t>
  </si>
  <si>
    <t>Zamorak cape</t>
  </si>
  <si>
    <t>Regular cape</t>
  </si>
  <si>
    <t>Amulet of fury</t>
  </si>
  <si>
    <t>Amulet of torture</t>
  </si>
  <si>
    <t>Necklace of anguish</t>
  </si>
  <si>
    <t>Amulet of avarice</t>
  </si>
  <si>
    <t>Amulet of strength</t>
  </si>
  <si>
    <t>Amulet of glory</t>
  </si>
  <si>
    <t>Amulet of power</t>
  </si>
  <si>
    <t>Salve amulet (i)</t>
  </si>
  <si>
    <t>Salve amulet (ei)</t>
  </si>
  <si>
    <t>Berserker necklace</t>
  </si>
  <si>
    <t>Amulet of the damned</t>
  </si>
  <si>
    <t>Amulet of accuracy</t>
  </si>
  <si>
    <t>Dragonbone necklace</t>
  </si>
  <si>
    <t>Bonecrusher necklace</t>
  </si>
  <si>
    <t>3rd age amulet</t>
  </si>
  <si>
    <t>Inquisitor's hauberk</t>
  </si>
  <si>
    <t>Bandos chestplate</t>
  </si>
  <si>
    <t>Fighter torso</t>
  </si>
  <si>
    <t>Void knight top</t>
  </si>
  <si>
    <t>Elite void top</t>
  </si>
  <si>
    <t>Verac's brassard</t>
  </si>
  <si>
    <t>Dharok's platebody</t>
  </si>
  <si>
    <t>Guthan's platebody</t>
  </si>
  <si>
    <t>Torag's platebody</t>
  </si>
  <si>
    <t>Obsidian platebody</t>
  </si>
  <si>
    <t>Proselyte hauberk</t>
  </si>
  <si>
    <t>Justiciar chestguard</t>
  </si>
  <si>
    <t>Dragon chainbody</t>
  </si>
  <si>
    <t>3rd age platebody</t>
  </si>
  <si>
    <t>Rune platebody</t>
  </si>
  <si>
    <t>Dragon platebody</t>
  </si>
  <si>
    <t>Armadyl chestplate</t>
  </si>
  <si>
    <t>Crystal body</t>
  </si>
  <si>
    <t>Karil's leathertop</t>
  </si>
  <si>
    <t>God d'hide body</t>
  </si>
  <si>
    <t>Black d'hide body</t>
  </si>
  <si>
    <t>Red d'hide body</t>
  </si>
  <si>
    <t>Blue d'hide body</t>
  </si>
  <si>
    <t>Green d'hide body</t>
  </si>
  <si>
    <t>Studded body</t>
  </si>
  <si>
    <t>Snakeskin body</t>
  </si>
  <si>
    <t>Ranger's tunic</t>
  </si>
  <si>
    <t>3rd age range top</t>
  </si>
  <si>
    <t>Spined body</t>
  </si>
  <si>
    <t>Frog-leather body</t>
  </si>
  <si>
    <t>Hard leather body</t>
  </si>
  <si>
    <t>Leather</t>
  </si>
  <si>
    <t>Ahrim's robetop</t>
  </si>
  <si>
    <t>3rd age robe top</t>
  </si>
  <si>
    <t>Elder chaos top</t>
  </si>
  <si>
    <t>Infinity top</t>
  </si>
  <si>
    <t>Mystic robe top</t>
  </si>
  <si>
    <t>Vestment robe top</t>
  </si>
  <si>
    <t>Skeletal top</t>
  </si>
  <si>
    <t>Monk's robe top</t>
  </si>
  <si>
    <t>Inquisitor's plateskirt</t>
  </si>
  <si>
    <t>Bandos tassets</t>
  </si>
  <si>
    <t>Void knight robe</t>
  </si>
  <si>
    <t>Elite void robe</t>
  </si>
  <si>
    <t>Verac's plateskirt</t>
  </si>
  <si>
    <t>Dharok's platelegs</t>
  </si>
  <si>
    <t>Guthan's chainskirt</t>
  </si>
  <si>
    <t>Torag's platelegs</t>
  </si>
  <si>
    <t>Obsidian platelegs</t>
  </si>
  <si>
    <t>Proselyte cuisse</t>
  </si>
  <si>
    <t>Justiciar legguard</t>
  </si>
  <si>
    <t>3rd age platelegs</t>
  </si>
  <si>
    <t>Dragon platelegs</t>
  </si>
  <si>
    <t>Rune platelegs</t>
  </si>
  <si>
    <t>Armadyl chainskirt</t>
  </si>
  <si>
    <t>Crystal legs</t>
  </si>
  <si>
    <t>Karil's leatherskirt</t>
  </si>
  <si>
    <t>God d'hide chaps</t>
  </si>
  <si>
    <t>3rd age range legs</t>
  </si>
  <si>
    <t>Black d'hide chaps</t>
  </si>
  <si>
    <t>Red d'hide chaps</t>
  </si>
  <si>
    <t>Blue d'hide chaps</t>
  </si>
  <si>
    <t>Green d'hide chaps</t>
  </si>
  <si>
    <t>Studded chaps</t>
  </si>
  <si>
    <t>Snakeskin chaps</t>
  </si>
  <si>
    <t>Spined chaps</t>
  </si>
  <si>
    <t>Frog-leather chaps</t>
  </si>
  <si>
    <t>Penance skirt</t>
  </si>
  <si>
    <t>Leather chaps</t>
  </si>
  <si>
    <t>Ahrim's robeskirt</t>
  </si>
  <si>
    <t>3rd age robe</t>
  </si>
  <si>
    <t>Elder chaos robe</t>
  </si>
  <si>
    <t>Infinity bottoms</t>
  </si>
  <si>
    <t>Mystic robe bottom</t>
  </si>
  <si>
    <t>Vestment robe legs</t>
  </si>
  <si>
    <t>Skeletal bottoms</t>
  </si>
  <si>
    <t>Monk's robe bottom</t>
  </si>
  <si>
    <t>Avernic defender</t>
  </si>
  <si>
    <t>Dragonfire shield</t>
  </si>
  <si>
    <t>Dragon defender</t>
  </si>
  <si>
    <t>Crystal shield</t>
  </si>
  <si>
    <t>Dragon sq hield</t>
  </si>
  <si>
    <t>3rd age kiteshield</t>
  </si>
  <si>
    <t>Rune kiteshield</t>
  </si>
  <si>
    <t>Dragon kiteshield</t>
  </si>
  <si>
    <t>Rune defender</t>
  </si>
  <si>
    <t>Obsidian shield</t>
  </si>
  <si>
    <t>Unholy book</t>
  </si>
  <si>
    <t>Book of balance</t>
  </si>
  <si>
    <t>Falador shield 1</t>
  </si>
  <si>
    <t>Falador shield 2</t>
  </si>
  <si>
    <t>Falador shield 3</t>
  </si>
  <si>
    <t>Falador shield 4</t>
  </si>
  <si>
    <t>Elysian spirit shield</t>
  </si>
  <si>
    <t>Arcane spirit shield</t>
  </si>
  <si>
    <t>Siren's tome</t>
  </si>
  <si>
    <t>Spectral spirit shield</t>
  </si>
  <si>
    <t>Mind shield</t>
  </si>
  <si>
    <t>Ancient Wyvern shield</t>
  </si>
  <si>
    <t>Anti-dragon shield</t>
  </si>
  <si>
    <t>Twisted buckler</t>
  </si>
  <si>
    <t>Dragonfire ward</t>
  </si>
  <si>
    <t>Odium ward</t>
  </si>
  <si>
    <t>Hard leather shield</t>
  </si>
  <si>
    <t>Snakeskin shield</t>
  </si>
  <si>
    <t>Green d'hide shield</t>
  </si>
  <si>
    <t>Blue d'hide shield</t>
  </si>
  <si>
    <t>Red d'hide shield</t>
  </si>
  <si>
    <t>Black d'hide shield</t>
  </si>
  <si>
    <t>Mage's book</t>
  </si>
  <si>
    <t>Malediction ward</t>
  </si>
  <si>
    <t>Book of law</t>
  </si>
  <si>
    <t>Book of war</t>
  </si>
  <si>
    <t>Book of darkness</t>
  </si>
  <si>
    <t>Ferocious gloves</t>
  </si>
  <si>
    <t>Barrows gloves</t>
  </si>
  <si>
    <t>Void knight gloves</t>
  </si>
  <si>
    <t>Dragon gloves</t>
  </si>
  <si>
    <t>Rune gloves</t>
  </si>
  <si>
    <t>Adamant gloves</t>
  </si>
  <si>
    <t>Mithril gloves</t>
  </si>
  <si>
    <t>Black gloves</t>
  </si>
  <si>
    <t>Steel gloves</t>
  </si>
  <si>
    <t>Iron gloves</t>
  </si>
  <si>
    <t>Bronze gloves</t>
  </si>
  <si>
    <t>Hardleather gloves</t>
  </si>
  <si>
    <t>Regen bracelet</t>
  </si>
  <si>
    <t>Combat bracelet</t>
  </si>
  <si>
    <t>Granite gloves</t>
  </si>
  <si>
    <t>Chaos gauntlets</t>
  </si>
  <si>
    <t>Black d'hide vamb.</t>
  </si>
  <si>
    <t>Red d'hide vamb.</t>
  </si>
  <si>
    <t>Blue d'hide vamb.</t>
  </si>
  <si>
    <t>Green d'hide vamb.</t>
  </si>
  <si>
    <t>Snakeskin vamb.</t>
  </si>
  <si>
    <t>Spined gloves</t>
  </si>
  <si>
    <t>God bracers</t>
  </si>
  <si>
    <t>Ranger gloves</t>
  </si>
  <si>
    <t>Leather gloves</t>
  </si>
  <si>
    <t>3rd age vambraces</t>
  </si>
  <si>
    <t>Skeletal gloves</t>
  </si>
  <si>
    <t>Leather vambraces</t>
  </si>
  <si>
    <t>Primordial boots</t>
  </si>
  <si>
    <t>Dragon boots</t>
  </si>
  <si>
    <t>Rune boots</t>
  </si>
  <si>
    <t>Adamant boots</t>
  </si>
  <si>
    <t>Climbing boots</t>
  </si>
  <si>
    <t>Bandos boots</t>
  </si>
  <si>
    <t>Granite boots</t>
  </si>
  <si>
    <t>Guardian boots</t>
  </si>
  <si>
    <t>Boots of stone</t>
  </si>
  <si>
    <t>Boots of brimstone</t>
  </si>
  <si>
    <t>White boots</t>
  </si>
  <si>
    <t>Holy sandals</t>
  </si>
  <si>
    <t>Devout boots</t>
  </si>
  <si>
    <t>Pegasian boots</t>
  </si>
  <si>
    <t>Ranger boots</t>
  </si>
  <si>
    <t>Blessed d'hide boots</t>
  </si>
  <si>
    <t>Snakeskin boots</t>
  </si>
  <si>
    <t>Spined boots</t>
  </si>
  <si>
    <t>Frog-leather boots</t>
  </si>
  <si>
    <t>Runner boots</t>
  </si>
  <si>
    <t>Infinity boots</t>
  </si>
  <si>
    <t>Wizard boots</t>
  </si>
  <si>
    <t>Mystic boots</t>
  </si>
  <si>
    <t>Skeletal boots</t>
  </si>
  <si>
    <t>Fighting boots</t>
  </si>
  <si>
    <t>Fancy boots</t>
  </si>
  <si>
    <t>Berserker (i)</t>
  </si>
  <si>
    <t>Berserker</t>
  </si>
  <si>
    <t>Warrior (i)</t>
  </si>
  <si>
    <t>Warrior</t>
  </si>
  <si>
    <t>Treasonous (i)</t>
  </si>
  <si>
    <t>Treasonous</t>
  </si>
  <si>
    <t>Tyrannical (i)</t>
  </si>
  <si>
    <t>Tyrannical</t>
  </si>
  <si>
    <t>Ring of the gods</t>
  </si>
  <si>
    <t>Ring of the gods (i)</t>
  </si>
  <si>
    <t>Ring of suffering</t>
  </si>
  <si>
    <t>Ring of suffering (i)</t>
  </si>
  <si>
    <t>Archer (i)</t>
  </si>
  <si>
    <t>Archer</t>
  </si>
  <si>
    <t>Seers</t>
  </si>
  <si>
    <t>Granite ring</t>
  </si>
  <si>
    <t>Granite ring (i)</t>
  </si>
  <si>
    <t>Beacon ring</t>
  </si>
  <si>
    <t>Brimstone ring</t>
  </si>
  <si>
    <t>Explorer's ring</t>
  </si>
  <si>
    <t>Blessing</t>
  </si>
  <si>
    <t>Rada's blessing 4</t>
  </si>
  <si>
    <t>Bronze dart</t>
  </si>
  <si>
    <t>Iron dart</t>
  </si>
  <si>
    <t>Steel dart</t>
  </si>
  <si>
    <t>Black dart</t>
  </si>
  <si>
    <t>Mithril dart</t>
  </si>
  <si>
    <t>Adamant dart</t>
  </si>
  <si>
    <t>Rune dart</t>
  </si>
  <si>
    <t>Dragon dart</t>
  </si>
  <si>
    <t>Bronze knife</t>
  </si>
  <si>
    <t>Iron knife</t>
  </si>
  <si>
    <t>Steel knife</t>
  </si>
  <si>
    <t>Black knife</t>
  </si>
  <si>
    <t>Mithril knife</t>
  </si>
  <si>
    <t>Adamant knife</t>
  </si>
  <si>
    <t>Rune knife</t>
  </si>
  <si>
    <t>Dragon knife</t>
  </si>
  <si>
    <t>Bronze arrow</t>
  </si>
  <si>
    <t>Iron arrow</t>
  </si>
  <si>
    <t>Steel arrow</t>
  </si>
  <si>
    <t>Mithril arrow</t>
  </si>
  <si>
    <t>Adamant arrow</t>
  </si>
  <si>
    <t>Rune arrow</t>
  </si>
  <si>
    <t>Amethyst arrow</t>
  </si>
  <si>
    <t>Dragon arrow</t>
  </si>
  <si>
    <t>Bronze javelin</t>
  </si>
  <si>
    <t>Iron javelin</t>
  </si>
  <si>
    <t>Steel javelin</t>
  </si>
  <si>
    <t>Mithril javelin</t>
  </si>
  <si>
    <t>Adamant javelin</t>
  </si>
  <si>
    <t>Rune javelin</t>
  </si>
  <si>
    <t>Amethyst javelin</t>
  </si>
  <si>
    <t>Dragon javelin</t>
  </si>
  <si>
    <t>Bolt rack</t>
  </si>
  <si>
    <t>Broad bolts</t>
  </si>
  <si>
    <t>Opal bolts (e)</t>
  </si>
  <si>
    <t>Opal dragon bolts (e)</t>
  </si>
  <si>
    <t>Jade bolts</t>
  </si>
  <si>
    <t>Jade dragon bolts</t>
  </si>
  <si>
    <t>Pearl bolts (e)</t>
  </si>
  <si>
    <t>Pearl dragon bolts (e)</t>
  </si>
  <si>
    <t>Topaz bolts</t>
  </si>
  <si>
    <t>Topaz dragon bolts</t>
  </si>
  <si>
    <t>Sapphire bolts</t>
  </si>
  <si>
    <t>Sapphire dragon bolts</t>
  </si>
  <si>
    <t>Emerald bolts (e)</t>
  </si>
  <si>
    <t>Emerald dragon bolts (e)</t>
  </si>
  <si>
    <t>Ruby bolts (e)</t>
  </si>
  <si>
    <t>Ruby dragon bolts (e)</t>
  </si>
  <si>
    <t>Diamond bolts (e)</t>
  </si>
  <si>
    <t>Diamond dragon bolts (e)</t>
  </si>
  <si>
    <t>Dragonstone bolts (e)</t>
  </si>
  <si>
    <t>Dragonstone dragon bolts (e)</t>
  </si>
  <si>
    <t>Onyx bolts (e)</t>
  </si>
  <si>
    <t>Onyx dragon bolts (e)</t>
  </si>
  <si>
    <t>Bone bolts</t>
  </si>
  <si>
    <t>Dragon bolts</t>
  </si>
  <si>
    <t>Amethyst bolts</t>
  </si>
  <si>
    <t>Rune bolts</t>
  </si>
  <si>
    <t>Adamant bolts</t>
  </si>
  <si>
    <t>Mithril bolts</t>
  </si>
  <si>
    <t>Steel bolts</t>
  </si>
  <si>
    <t>Iron bolts</t>
  </si>
  <si>
    <t>Bronze bolts</t>
  </si>
  <si>
    <t>Silver bolts</t>
  </si>
  <si>
    <t>Blurite bolts</t>
  </si>
  <si>
    <t>Wind strike</t>
  </si>
  <si>
    <t>Wind bolt</t>
  </si>
  <si>
    <t>Wind blast</t>
  </si>
  <si>
    <t>Wind wave</t>
  </si>
  <si>
    <t>Wind surge</t>
  </si>
  <si>
    <t>Water strike</t>
  </si>
  <si>
    <t>Water bolt</t>
  </si>
  <si>
    <t>Water blast</t>
  </si>
  <si>
    <t>Water wave</t>
  </si>
  <si>
    <t>Water surge</t>
  </si>
  <si>
    <t>Earth strike</t>
  </si>
  <si>
    <t>Earth bolt</t>
  </si>
  <si>
    <t>Earth blast</t>
  </si>
  <si>
    <t>Earth wave</t>
  </si>
  <si>
    <t>Earth surge</t>
  </si>
  <si>
    <t>Fire strike</t>
  </si>
  <si>
    <t>Fire bolt</t>
  </si>
  <si>
    <t>Fire blast</t>
  </si>
  <si>
    <t>Fire wave</t>
  </si>
  <si>
    <t>Smoke rush</t>
  </si>
  <si>
    <t>Smoke burst</t>
  </si>
  <si>
    <t>Smoke blitz</t>
  </si>
  <si>
    <t>Smoke barrage</t>
  </si>
  <si>
    <t>Shadow rush</t>
  </si>
  <si>
    <t>Shadow burst</t>
  </si>
  <si>
    <t>Shadow blitz</t>
  </si>
  <si>
    <t>Shadow barrage</t>
  </si>
  <si>
    <t>Blood rush</t>
  </si>
  <si>
    <t>Blood burst</t>
  </si>
  <si>
    <t>Blood blitz</t>
  </si>
  <si>
    <t>Blood barrage</t>
  </si>
  <si>
    <t>Ice rush</t>
  </si>
  <si>
    <t>Ice burst</t>
  </si>
  <si>
    <t>Ice blitz</t>
  </si>
  <si>
    <t>Ice barrage</t>
  </si>
  <si>
    <t>Claws of Guthix</t>
  </si>
  <si>
    <t>Saradomin Strike</t>
  </si>
  <si>
    <t>Flames of Zamorak</t>
  </si>
  <si>
    <t>mdart</t>
  </si>
  <si>
    <t>Iban Blast</t>
  </si>
  <si>
    <t>Crumble Undead</t>
  </si>
  <si>
    <t>Vampyrium vambraces</t>
  </si>
  <si>
    <t>Chaotic rapier</t>
  </si>
  <si>
    <t>Chaotic longsword</t>
  </si>
  <si>
    <t>Chaotic maul</t>
  </si>
  <si>
    <t>Set x</t>
  </si>
  <si>
    <t>Drain</t>
  </si>
  <si>
    <t>Overhead</t>
  </si>
  <si>
    <t>Retribution</t>
  </si>
  <si>
    <t>Prayer drain calculator</t>
  </si>
  <si>
    <t>Redemption</t>
  </si>
  <si>
    <t>Smite</t>
  </si>
  <si>
    <t>Rapid restore</t>
  </si>
  <si>
    <t>Rapid heal</t>
  </si>
  <si>
    <t>Protect item</t>
  </si>
  <si>
    <t>Preserve</t>
  </si>
  <si>
    <t>Prayer bonus</t>
  </si>
  <si>
    <t>Usage / minute:</t>
  </si>
  <si>
    <t>1 pp used every:</t>
  </si>
  <si>
    <t>Levels</t>
  </si>
  <si>
    <t>Aggressive</t>
  </si>
  <si>
    <t>Defensive</t>
  </si>
  <si>
    <t>Location</t>
  </si>
  <si>
    <t>Exp bonus</t>
  </si>
  <si>
    <t>Combat level</t>
  </si>
  <si>
    <t>Attack level</t>
  </si>
  <si>
    <t>Strength level</t>
  </si>
  <si>
    <t>Defence level</t>
  </si>
  <si>
    <t>Magic level</t>
  </si>
  <si>
    <t>Ranged level</t>
  </si>
  <si>
    <t>Main attack style</t>
  </si>
  <si>
    <t>Attack bonus</t>
  </si>
  <si>
    <t>Magic strength</t>
  </si>
  <si>
    <t>Interval (s)</t>
  </si>
  <si>
    <t>Custom NPC</t>
  </si>
  <si>
    <t>Aberrant spectre</t>
  </si>
  <si>
    <t>Morytania slayer tower, Stronghold slayer cave</t>
  </si>
  <si>
    <t>undead</t>
  </si>
  <si>
    <t>Abyssal demon</t>
  </si>
  <si>
    <t>demon</t>
  </si>
  <si>
    <t>Abyssal sire (first three phases)</t>
  </si>
  <si>
    <t>Abyssal sire (p4)</t>
  </si>
  <si>
    <t>Respitory system</t>
  </si>
  <si>
    <t>Adamant dragon</t>
  </si>
  <si>
    <t>dragon</t>
  </si>
  <si>
    <t>Alchemical Hydra</t>
  </si>
  <si>
    <t>Karuulm</t>
  </si>
  <si>
    <t>Ranged and magic</t>
  </si>
  <si>
    <t>Al-Kharid warrior</t>
  </si>
  <si>
    <t>Al-Kharid palace</t>
  </si>
  <si>
    <t>Ammonite Crab</t>
  </si>
  <si>
    <t>Fossil Island</t>
  </si>
  <si>
    <t>Ancient Wyvern</t>
  </si>
  <si>
    <t>Ancient Zygomite</t>
  </si>
  <si>
    <t>Ankou (75)</t>
  </si>
  <si>
    <t>Stronghold slayer cave, Stronghold of security</t>
  </si>
  <si>
    <t>Ankou (82)</t>
  </si>
  <si>
    <t>Ankou (86)</t>
  </si>
  <si>
    <t>Wilderness, Stronghold of security</t>
  </si>
  <si>
    <t>Ankou (98)</t>
  </si>
  <si>
    <t>Rev cave</t>
  </si>
  <si>
    <t>Ankou (95)</t>
  </si>
  <si>
    <t>Kourend catacombs</t>
  </si>
  <si>
    <t>Ardougne</t>
  </si>
  <si>
    <t>Arrg (normal)</t>
  </si>
  <si>
    <t>Arrg (hard)</t>
  </si>
  <si>
    <t>Aviansie (73)</t>
  </si>
  <si>
    <t>Aviansie (79) [1]</t>
  </si>
  <si>
    <t>Aviansie (79) [2]</t>
  </si>
  <si>
    <t>Aviansie (84)</t>
  </si>
  <si>
    <t>Aviansie (92)</t>
  </si>
  <si>
    <t>Aviansie (94)</t>
  </si>
  <si>
    <t>Aviansie (97) [1]</t>
  </si>
  <si>
    <t>Aviansie (97) [2]</t>
  </si>
  <si>
    <t>Aviansie (137)</t>
  </si>
  <si>
    <t>Aviansie (148)</t>
  </si>
  <si>
    <t>Baby black dragon</t>
  </si>
  <si>
    <t>Stronghold slayer cave</t>
  </si>
  <si>
    <t>Baby blue dragon</t>
  </si>
  <si>
    <t>Taverly dungeon</t>
  </si>
  <si>
    <t>Balfrug Kreeyath</t>
  </si>
  <si>
    <t>Bandit (57) (Bandit Camp)</t>
  </si>
  <si>
    <t>Desert</t>
  </si>
  <si>
    <t>Bandit (74) (Bandit Camp)</t>
  </si>
  <si>
    <t>Bandit (130) (wildy)</t>
  </si>
  <si>
    <t>Wildy bandit camp</t>
  </si>
  <si>
    <t>Banshee</t>
  </si>
  <si>
    <t>Morytania slayer tower</t>
  </si>
  <si>
    <t>Barbarian (9)</t>
  </si>
  <si>
    <t>Barbarian Village</t>
  </si>
  <si>
    <t>Barbarian (10)</t>
  </si>
  <si>
    <t>Barbarian (15)</t>
  </si>
  <si>
    <t>Barbarian (17)</t>
  </si>
  <si>
    <t>Basilisk</t>
  </si>
  <si>
    <t>Relleka slayer cave</t>
  </si>
  <si>
    <t>Bat</t>
  </si>
  <si>
    <t>Bear cub</t>
  </si>
  <si>
    <t>Shayzien</t>
  </si>
  <si>
    <t>Bedabin Nomad FIghter</t>
  </si>
  <si>
    <t>Bedabin</t>
  </si>
  <si>
    <t>Big Wolf</t>
  </si>
  <si>
    <t>White Wolf Mountain</t>
  </si>
  <si>
    <t>Black bear</t>
  </si>
  <si>
    <t>Varrock mines, North Asgarnia</t>
  </si>
  <si>
    <t>Black demon (172)</t>
  </si>
  <si>
    <t>Stronghold slayer cave, Taverly dungeon</t>
  </si>
  <si>
    <t>Black demon (178)</t>
  </si>
  <si>
    <t>Black demon (184)</t>
  </si>
  <si>
    <t>Black demon (188)</t>
  </si>
  <si>
    <t>Black demon (normal)</t>
  </si>
  <si>
    <t>Black demon (hard)</t>
  </si>
  <si>
    <t>Black dragon (227)</t>
  </si>
  <si>
    <t>Black dragon (247)</t>
  </si>
  <si>
    <t>Black Guard</t>
  </si>
  <si>
    <t>Ice Mountain</t>
  </si>
  <si>
    <t>Black knight</t>
  </si>
  <si>
    <t>Black Knights' Fortress, Taverly dungeon</t>
  </si>
  <si>
    <t>Black knight titan (normal)</t>
  </si>
  <si>
    <t>Black knight titan (hard)</t>
  </si>
  <si>
    <t>Black unicorn</t>
  </si>
  <si>
    <t>WIldy</t>
  </si>
  <si>
    <t>Bloodveld (76)</t>
  </si>
  <si>
    <t>Bloodveld (81)</t>
  </si>
  <si>
    <t>Blue dragon</t>
  </si>
  <si>
    <t>Bouncer (normal)</t>
  </si>
  <si>
    <t>Bouncer (hard)</t>
  </si>
  <si>
    <t>Bree</t>
  </si>
  <si>
    <t>Brine rat</t>
  </si>
  <si>
    <t>Bronze dragon (131)</t>
  </si>
  <si>
    <t>Bronze dragon (143)</t>
  </si>
  <si>
    <t>Brutal black dragon</t>
  </si>
  <si>
    <t>Brutal blue dragon</t>
  </si>
  <si>
    <t>Brutal green dragon</t>
  </si>
  <si>
    <t>Brutal red dragon</t>
  </si>
  <si>
    <t>Callisto</t>
  </si>
  <si>
    <t>Catablepon (49)</t>
  </si>
  <si>
    <t>Stronghold of security</t>
  </si>
  <si>
    <t>Catablepon (64)</t>
  </si>
  <si>
    <t>Catablepon (68)</t>
  </si>
  <si>
    <t>Cave crawler</t>
  </si>
  <si>
    <t>Cave horror</t>
  </si>
  <si>
    <t>Cave kraken</t>
  </si>
  <si>
    <t>Cerberus</t>
  </si>
  <si>
    <t>Chaos druid</t>
  </si>
  <si>
    <t xml:space="preserve">Taverly dungeon, </t>
  </si>
  <si>
    <t>Chaos dwarf</t>
  </si>
  <si>
    <t>Chaos elemental</t>
  </si>
  <si>
    <t>Chaos fanatic</t>
  </si>
  <si>
    <t>Chicken</t>
  </si>
  <si>
    <t>Cockatrice</t>
  </si>
  <si>
    <t>Commander Zilyana</t>
  </si>
  <si>
    <t>Corsair Traitor</t>
  </si>
  <si>
    <t>Nmz</t>
  </si>
  <si>
    <t>Corsair Traitor (hard)</t>
  </si>
  <si>
    <t>Count Draynor (normal)</t>
  </si>
  <si>
    <t>Count Draynor (hard)</t>
  </si>
  <si>
    <t>Cow</t>
  </si>
  <si>
    <t>Cow calf</t>
  </si>
  <si>
    <t>Crawling hand (8)</t>
  </si>
  <si>
    <t>Crawling hand (12)</t>
  </si>
  <si>
    <t>Crazy archaeologist</t>
  </si>
  <si>
    <t>Cyclops (zoo)</t>
  </si>
  <si>
    <t>Ardougne zoo</t>
  </si>
  <si>
    <t>Cyclops (gwd)</t>
  </si>
  <si>
    <t>GWD</t>
  </si>
  <si>
    <t>Cyclops (56)</t>
  </si>
  <si>
    <t>Cyclops (76)</t>
  </si>
  <si>
    <t>Dad (normal)</t>
  </si>
  <si>
    <t>Dad (hard)</t>
  </si>
  <si>
    <t>Dagannoth (74)</t>
  </si>
  <si>
    <t>Lighthouse, Kourend catacombs</t>
  </si>
  <si>
    <t>Dagannoth (92)</t>
  </si>
  <si>
    <t>Dagannoth Prime</t>
  </si>
  <si>
    <t>Dagannoth Rex</t>
  </si>
  <si>
    <t>Dagannoth Supreme</t>
  </si>
  <si>
    <t>Dark beast</t>
  </si>
  <si>
    <t>Temple of Light</t>
  </si>
  <si>
    <t>Dark warrior</t>
  </si>
  <si>
    <t>Wildy dwf</t>
  </si>
  <si>
    <t>Dark wizard (7)</t>
  </si>
  <si>
    <t>Varrock</t>
  </si>
  <si>
    <t>Dark wizard (20)</t>
  </si>
  <si>
    <t>Dawn</t>
  </si>
  <si>
    <t>Deadly red spider</t>
  </si>
  <si>
    <t>Edgeville dungeon, Karamja Volcano</t>
  </si>
  <si>
    <t>Demonic gorilla</t>
  </si>
  <si>
    <t>Deranged Archaeologist</t>
  </si>
  <si>
    <t>Deviant spectre</t>
  </si>
  <si>
    <t>Drake</t>
  </si>
  <si>
    <t>Kuruulm</t>
  </si>
  <si>
    <t>Druid</t>
  </si>
  <si>
    <t>Taverly</t>
  </si>
  <si>
    <t>Duck</t>
  </si>
  <si>
    <t>Dusk (285)</t>
  </si>
  <si>
    <t>Dusk (366)</t>
  </si>
  <si>
    <t>Dust devil (93)</t>
  </si>
  <si>
    <t>Pollnivneach</t>
  </si>
  <si>
    <t>range</t>
  </si>
  <si>
    <t>Dust devil (110)</t>
  </si>
  <si>
    <t>Dwarf (10)</t>
  </si>
  <si>
    <t>Ice Mountain, Dwarven mine Taverly dungeon</t>
  </si>
  <si>
    <t>Dwarf gang member (44)</t>
  </si>
  <si>
    <t>Dwarven mine</t>
  </si>
  <si>
    <t>Dwarf gang member (48)</t>
  </si>
  <si>
    <t>Dwarf gang member (49)</t>
  </si>
  <si>
    <t>Earth warrior</t>
  </si>
  <si>
    <t>Elder chaos druid</t>
  </si>
  <si>
    <t>Wildy altar low</t>
  </si>
  <si>
    <t>Elf warrior (melee)</t>
  </si>
  <si>
    <t>Elf warrior (ranged)</t>
  </si>
  <si>
    <t>Ent</t>
  </si>
  <si>
    <t>Wildy corp</t>
  </si>
  <si>
    <t>Farmer</t>
  </si>
  <si>
    <t>Lumbrdige</t>
  </si>
  <si>
    <t>Fire Giant (86)</t>
  </si>
  <si>
    <t>Fire</t>
  </si>
  <si>
    <t>Fire Giant (104)</t>
  </si>
  <si>
    <t>Fire Giant (109)</t>
  </si>
  <si>
    <t>Flesh Crawler (28)</t>
  </si>
  <si>
    <t>Strongold of sec</t>
  </si>
  <si>
    <t>Flesh Crawler (35)</t>
  </si>
  <si>
    <t>Flesh Crawler (41)</t>
  </si>
  <si>
    <t>Flight Kilisa</t>
  </si>
  <si>
    <t>Flockleader Geerin</t>
  </si>
  <si>
    <t>Fortress Guard</t>
  </si>
  <si>
    <t>Black Knights' Fortress</t>
  </si>
  <si>
    <t>Gardener (3)</t>
  </si>
  <si>
    <t>Falador</t>
  </si>
  <si>
    <t>Gardener (4)</t>
  </si>
  <si>
    <t>Gargoyle</t>
  </si>
  <si>
    <t>General Graardor</t>
  </si>
  <si>
    <t>Ghost (19)</t>
  </si>
  <si>
    <t>Taverly dungeon, Varrock sewer, West-Ardougne, Kourend catacombs</t>
  </si>
  <si>
    <t>Ghost (76)</t>
  </si>
  <si>
    <t>Ghost (77)</t>
  </si>
  <si>
    <t>Giant bat</t>
  </si>
  <si>
    <t>Taverly dungeon, Karamja Volcano, Keep Le Faye</t>
  </si>
  <si>
    <t>Giant Mole</t>
  </si>
  <si>
    <t>Giant rat (3)</t>
  </si>
  <si>
    <t>Edgeville dungeon, Port Sarim</t>
  </si>
  <si>
    <t>Giant rat (6)</t>
  </si>
  <si>
    <t>Edgeville dungeon, Varrock sewer</t>
  </si>
  <si>
    <t>Giant spider (2)</t>
  </si>
  <si>
    <t>Lumbrdige, Edgeville dungeon, Draynor Manor</t>
  </si>
  <si>
    <t>Giant spider (27)</t>
  </si>
  <si>
    <t>Varrock sewer</t>
  </si>
  <si>
    <t>Giant spider (50)</t>
  </si>
  <si>
    <t>Giant scarab</t>
  </si>
  <si>
    <t>Goblin (2)</t>
  </si>
  <si>
    <t>Lumbridge, Port Sarim</t>
  </si>
  <si>
    <t>Goblin (5)</t>
  </si>
  <si>
    <t>Misthalin</t>
  </si>
  <si>
    <t>Goblin village</t>
  </si>
  <si>
    <t>Gorak (145) [Plane]</t>
  </si>
  <si>
    <t>Gorak (149) [Gwd]</t>
  </si>
  <si>
    <t>Greater demon (92)</t>
  </si>
  <si>
    <t>Greater demon (100)</t>
  </si>
  <si>
    <t>Greater demon (101)</t>
  </si>
  <si>
    <t>Greater demon (104)</t>
  </si>
  <si>
    <t>Greater demon (113)</t>
  </si>
  <si>
    <t>Greater nechryael</t>
  </si>
  <si>
    <t>Greater skeleton hellhound</t>
  </si>
  <si>
    <t>Green dragon (79)</t>
  </si>
  <si>
    <t>Green dragon (88)</t>
  </si>
  <si>
    <t>Grizzly bear</t>
  </si>
  <si>
    <t>Varrock palace, Ardougne mines, Ardougne zoo, Shayzien</t>
  </si>
  <si>
    <t>Growler</t>
  </si>
  <si>
    <t>Guard (20)</t>
  </si>
  <si>
    <t>Ardougne square</t>
  </si>
  <si>
    <t>Guard (19)</t>
  </si>
  <si>
    <t>Guard (21)</t>
  </si>
  <si>
    <t>Guard (22)</t>
  </si>
  <si>
    <t>Falador (east &amp; west)</t>
  </si>
  <si>
    <t>Falador (centre)</t>
  </si>
  <si>
    <t>Guard dog</t>
  </si>
  <si>
    <t>Ardougne square, Hosidius</t>
  </si>
  <si>
    <t>Gunthor the brave</t>
  </si>
  <si>
    <t>Guthan</t>
  </si>
  <si>
    <t>Hellhound (122)</t>
  </si>
  <si>
    <t>Stronghold slayer cave, Taverly dungeon, Kourend catacombs</t>
  </si>
  <si>
    <t>Hellhound (136)</t>
  </si>
  <si>
    <t>Hero</t>
  </si>
  <si>
    <t>Hill giant</t>
  </si>
  <si>
    <t>Taverly dungeon, Edgeville dungeon, Kourend catacombs, Shayzien</t>
  </si>
  <si>
    <t>Hobgoblin (28)</t>
  </si>
  <si>
    <t>Crafting guild, Asgarnia dungeon, Crandor, Kourend Peninsula</t>
  </si>
  <si>
    <t>Hobgoblin (42)</t>
  </si>
  <si>
    <t>Edgeville dungeon, Asgarnia dungeon</t>
  </si>
  <si>
    <t>Hoop Snake</t>
  </si>
  <si>
    <t>Hydra</t>
  </si>
  <si>
    <t>Ice troll (120)</t>
  </si>
  <si>
    <t>Ice troll (121)</t>
  </si>
  <si>
    <t>Ice troll (123)</t>
  </si>
  <si>
    <t>Ice troll (124)</t>
  </si>
  <si>
    <t>Ice Troll King (normal)</t>
  </si>
  <si>
    <t>Ice Troll King (hard)</t>
  </si>
  <si>
    <t>Ice giant (53)</t>
  </si>
  <si>
    <t>Asgarnia dungeon, White Wolf Mountain</t>
  </si>
  <si>
    <t>Ice giant (67)</t>
  </si>
  <si>
    <t>Ice spider</t>
  </si>
  <si>
    <t>Ice warrior</t>
  </si>
  <si>
    <t>Icefiend</t>
  </si>
  <si>
    <t>Imp</t>
  </si>
  <si>
    <t>Infernal Mage</t>
  </si>
  <si>
    <t>Iron dragon [brimhaven]</t>
  </si>
  <si>
    <t>Iron dragon [catacombs]</t>
  </si>
  <si>
    <t>Jailer</t>
  </si>
  <si>
    <t>Jal-Ak (165)</t>
  </si>
  <si>
    <t>Inferno</t>
  </si>
  <si>
    <t>Jal-AkRek-Xil</t>
  </si>
  <si>
    <t>Jal-AkRek-Mej</t>
  </si>
  <si>
    <t>Jal-AkRek-Ket</t>
  </si>
  <si>
    <t>Jal-ImKot (240)</t>
  </si>
  <si>
    <t>Jal-MejJak</t>
  </si>
  <si>
    <t>Jal-MejRah (85)</t>
  </si>
  <si>
    <t>Jal-Nib (32)</t>
  </si>
  <si>
    <t>Jal-Xil</t>
  </si>
  <si>
    <t>Jal-Zek</t>
  </si>
  <si>
    <t>JalTok-Jad (900)</t>
  </si>
  <si>
    <t>Jelly</t>
  </si>
  <si>
    <t>Jogre</t>
  </si>
  <si>
    <t>Jogre [Gwd]</t>
  </si>
  <si>
    <t>Jungle demon (normal)</t>
  </si>
  <si>
    <t>Jungle demon (hard)</t>
  </si>
  <si>
    <t>Kalphite guardian</t>
  </si>
  <si>
    <t>kalphite</t>
  </si>
  <si>
    <t>Kalphite queen (1st)</t>
  </si>
  <si>
    <t>Kalphite queen (2nd)</t>
  </si>
  <si>
    <t>Kalphite soldier</t>
  </si>
  <si>
    <t>Kalphite worker</t>
  </si>
  <si>
    <t>Ket-Zek (360)</t>
  </si>
  <si>
    <t>Khazard warlord (normal)</t>
  </si>
  <si>
    <t>Khazard warlord (hard)</t>
  </si>
  <si>
    <t>King black dragon</t>
  </si>
  <si>
    <t>King Roald (normal)</t>
  </si>
  <si>
    <t>King Roald (hard)</t>
  </si>
  <si>
    <t>King Sand Crab</t>
  </si>
  <si>
    <t>King Scorpion</t>
  </si>
  <si>
    <t>Dwarven mine, Crandor, Lovakengj</t>
  </si>
  <si>
    <t>Knight of Ardougne</t>
  </si>
  <si>
    <t>Kourend guard</t>
  </si>
  <si>
    <t>Kourend head guard</t>
  </si>
  <si>
    <t>Kraken</t>
  </si>
  <si>
    <t>Kree'arra</t>
  </si>
  <si>
    <t>K'ril Tsutsaroth</t>
  </si>
  <si>
    <t>Kurask</t>
  </si>
  <si>
    <t>kurask</t>
  </si>
  <si>
    <t>Lava dragon</t>
  </si>
  <si>
    <t>Lesser demon (82)</t>
  </si>
  <si>
    <t>Taverly dungeon, Karamja Volcano, Crandor</t>
  </si>
  <si>
    <t>Lesser demon (87)</t>
  </si>
  <si>
    <t>Lesser demon (94)</t>
  </si>
  <si>
    <t>Lizardman (53)</t>
  </si>
  <si>
    <t>Lizardman (62)</t>
  </si>
  <si>
    <t>Lizardman brute</t>
  </si>
  <si>
    <t>Lizardman shaman</t>
  </si>
  <si>
    <t>Lobstrosity</t>
  </si>
  <si>
    <t>Locust rider (melee)</t>
  </si>
  <si>
    <t>Locust rider (ranged)</t>
  </si>
  <si>
    <t>Long-tailed Wyvern</t>
  </si>
  <si>
    <t>Magic axe</t>
  </si>
  <si>
    <t>Taverly dungeon, Kourend catacombs</t>
  </si>
  <si>
    <t>Mammoth</t>
  </si>
  <si>
    <t>Wildy low</t>
  </si>
  <si>
    <t>Man (2)</t>
  </si>
  <si>
    <t>Man (3)</t>
  </si>
  <si>
    <t>West-Ardougne</t>
  </si>
  <si>
    <t>Maniacal monkey</t>
  </si>
  <si>
    <t>Me (normal)</t>
  </si>
  <si>
    <t>Me (hard)</t>
  </si>
  <si>
    <t>Mithril dragon</t>
  </si>
  <si>
    <t>Monk</t>
  </si>
  <si>
    <t>Monastry</t>
  </si>
  <si>
    <t>Monk of Zamorak (17)</t>
  </si>
  <si>
    <t>Chaos Temple (North Asgarnia)</t>
  </si>
  <si>
    <t>Monk of Zamorak (22)</t>
  </si>
  <si>
    <t>Monkey</t>
  </si>
  <si>
    <t>Musa Point</t>
  </si>
  <si>
    <t>Monkey Guard</t>
  </si>
  <si>
    <t>Monkey Zombie (82)</t>
  </si>
  <si>
    <t>Monkey Zombie (98)</t>
  </si>
  <si>
    <t>Monkey Zombie (129)</t>
  </si>
  <si>
    <t>Moss giant</t>
  </si>
  <si>
    <t>Edgeville dungeon, Crandor, Kourend catacombs</t>
  </si>
  <si>
    <t>Moss giant (normal)</t>
  </si>
  <si>
    <t>Moss giant (hard)</t>
  </si>
  <si>
    <t>Mountain troll (69)</t>
  </si>
  <si>
    <t>Mountain troll (71)</t>
  </si>
  <si>
    <t>Mourner (11)</t>
  </si>
  <si>
    <t>Mourner (18)</t>
  </si>
  <si>
    <t>Mourner (24)</t>
  </si>
  <si>
    <t>Mourner (108)</t>
  </si>
  <si>
    <t>Mugger</t>
  </si>
  <si>
    <t>Mutated bloodveld</t>
  </si>
  <si>
    <t>Nazastarool zombie (normal)</t>
  </si>
  <si>
    <t>Nazastarool skeleton (normal)</t>
  </si>
  <si>
    <t>Nazastarool ghost (normal)</t>
  </si>
  <si>
    <t>Nazastarool zombie (hard)</t>
  </si>
  <si>
    <t>Nazastarool skeleton (hard)</t>
  </si>
  <si>
    <t>Nazastarool ghost (hard)</t>
  </si>
  <si>
    <t>Nechryael</t>
  </si>
  <si>
    <t>Night beast</t>
  </si>
  <si>
    <t>Obor</t>
  </si>
  <si>
    <t>Ogre</t>
  </si>
  <si>
    <t>Ork</t>
  </si>
  <si>
    <t>Paladin</t>
  </si>
  <si>
    <t>Penguin</t>
  </si>
  <si>
    <t>Pirate</t>
  </si>
  <si>
    <t>Asgarnia dungeon</t>
  </si>
  <si>
    <t>Poison scorpion</t>
  </si>
  <si>
    <t>Poison spider</t>
  </si>
  <si>
    <t>Possessed pickaxe</t>
  </si>
  <si>
    <t>Pyrefiend</t>
  </si>
  <si>
    <t>Rat</t>
  </si>
  <si>
    <t>Revenant imp</t>
  </si>
  <si>
    <t>Revenant goblin</t>
  </si>
  <si>
    <t>Revenant pyrefiend</t>
  </si>
  <si>
    <t>Revenant hobgoblin</t>
  </si>
  <si>
    <t>Revenant cyclops</t>
  </si>
  <si>
    <t>Revenant hellhound</t>
  </si>
  <si>
    <t>Revenant demon</t>
  </si>
  <si>
    <t>Revenant ork</t>
  </si>
  <si>
    <t>Revenant dark beast</t>
  </si>
  <si>
    <t>Revenant knight</t>
  </si>
  <si>
    <t>Revenant dragon</t>
  </si>
  <si>
    <t>vorkath</t>
  </si>
  <si>
    <t>Red dragon</t>
  </si>
  <si>
    <t>Robert the Strong</t>
  </si>
  <si>
    <t>Rock crab</t>
  </si>
  <si>
    <t>Rune dragon</t>
  </si>
  <si>
    <t>Rockslug</t>
  </si>
  <si>
    <t>Rogue</t>
  </si>
  <si>
    <t>Wildy deep</t>
  </si>
  <si>
    <t>Sand crab</t>
  </si>
  <si>
    <t>Kourend Hosidius</t>
  </si>
  <si>
    <t>Sand Snake</t>
  </si>
  <si>
    <t>Dungeon south of WC guild</t>
  </si>
  <si>
    <t>Sand Snake (hard)</t>
  </si>
  <si>
    <t>NMZ</t>
  </si>
  <si>
    <t>Scarab mage</t>
  </si>
  <si>
    <t>Scarab swarm</t>
  </si>
  <si>
    <t>Scarabs</t>
  </si>
  <si>
    <t>Scorpia</t>
  </si>
  <si>
    <t>Scorpion (14)</t>
  </si>
  <si>
    <t>Varrock sewer, Al-Kharid mines, Dwarven mine, Musa Point, Ardougne zoo</t>
  </si>
  <si>
    <t>Scorpion (37)</t>
  </si>
  <si>
    <t>Scorpion (59)</t>
  </si>
  <si>
    <t>Seagull (2)</t>
  </si>
  <si>
    <t>Port Sarim</t>
  </si>
  <si>
    <t>Seagull (3)</t>
  </si>
  <si>
    <t>Sergeant Grimspike</t>
  </si>
  <si>
    <t>Sergeant Steelwill</t>
  </si>
  <si>
    <t>Sergeant Strongstack</t>
  </si>
  <si>
    <t>Shade (140)</t>
  </si>
  <si>
    <t>Shade (159)</t>
  </si>
  <si>
    <t>Skeletal wyvern</t>
  </si>
  <si>
    <t>Asgarnia Dungeon</t>
  </si>
  <si>
    <t>Skeleton (21)</t>
  </si>
  <si>
    <t>Skeleton (22)</t>
  </si>
  <si>
    <t>Taverly dungeon, Edgeville dungeon, Karamja Volcano, Kourend catacombs</t>
  </si>
  <si>
    <t>Skeleton (25)</t>
  </si>
  <si>
    <t>Edgeville dungeon, Karamja Volcano, Crandor</t>
  </si>
  <si>
    <t>Skeleton (45)</t>
  </si>
  <si>
    <t>Karamja Volcano</t>
  </si>
  <si>
    <t>Skeleton (60)</t>
  </si>
  <si>
    <t>Skeleton (68)</t>
  </si>
  <si>
    <t>Skeleton (Ape Toll)</t>
  </si>
  <si>
    <t>Skeleton hellhound (normal)</t>
  </si>
  <si>
    <t>Skeleton hellhound (hard)</t>
  </si>
  <si>
    <t>Skotizo</t>
  </si>
  <si>
    <t>Slagilith (normal)</t>
  </si>
  <si>
    <t>Slagilith (hard)</t>
  </si>
  <si>
    <t>Smoke devil</t>
  </si>
  <si>
    <t>Snake</t>
  </si>
  <si>
    <t>Musa Point, Ardougne zoo</t>
  </si>
  <si>
    <t>Soldier (tier 1)</t>
  </si>
  <si>
    <t>Soldier (tier 2)</t>
  </si>
  <si>
    <t>Soldier (tier 3)</t>
  </si>
  <si>
    <t>Soldier (tier 4)</t>
  </si>
  <si>
    <t>Soldier (tier 5)</t>
  </si>
  <si>
    <t>Spider (1)</t>
  </si>
  <si>
    <t>Spider (24)</t>
  </si>
  <si>
    <t>Spinolyp</t>
  </si>
  <si>
    <t>Spiritual mage (Arma)</t>
  </si>
  <si>
    <t>Spiritual mage (Bandos)</t>
  </si>
  <si>
    <t>Spiritual mage (Sara)</t>
  </si>
  <si>
    <t>Spiritual mage (Zamorak)</t>
  </si>
  <si>
    <t>Spiritual ranger (Arma)</t>
  </si>
  <si>
    <t>Spiritual ranger (Bandos)</t>
  </si>
  <si>
    <t>Spiritual ranger (Sara)</t>
  </si>
  <si>
    <t>Spiritual ranger (Zamorak)</t>
  </si>
  <si>
    <t>Spiritual warrior (Arma)</t>
  </si>
  <si>
    <t>Spiritual warrior (Bandos)</t>
  </si>
  <si>
    <t>Spiritual warrior (Sara)</t>
  </si>
  <si>
    <t>Spiritual warrior (Zamorak)</t>
  </si>
  <si>
    <t>Spitting Wyvern</t>
  </si>
  <si>
    <t>Starlight</t>
  </si>
  <si>
    <t>Steel dragon [brimhaven]</t>
  </si>
  <si>
    <t>Brimhaven dungeon</t>
  </si>
  <si>
    <t>Steel dragon [catacombs]</t>
  </si>
  <si>
    <t>Suit of armour</t>
  </si>
  <si>
    <t>Suqah</t>
  </si>
  <si>
    <t>Lunar Island</t>
  </si>
  <si>
    <t>Taloned Wyvern</t>
  </si>
  <si>
    <t>Tar Monster</t>
  </si>
  <si>
    <t>The Everlasting (normal)</t>
  </si>
  <si>
    <t>The Everlasting (hard)</t>
  </si>
  <si>
    <t>The Inadequacy (normal)</t>
  </si>
  <si>
    <t>The Inadequacy (hard)</t>
  </si>
  <si>
    <t>The Kendal (normal)</t>
  </si>
  <si>
    <t>The Kendal (hard)</t>
  </si>
  <si>
    <t>The Untouchable (normal)</t>
  </si>
  <si>
    <t>The Untouchable (hard)</t>
  </si>
  <si>
    <t>Thermonuclear smoke devil</t>
  </si>
  <si>
    <t>Thief</t>
  </si>
  <si>
    <t>Varrock, Port Sarim</t>
  </si>
  <si>
    <t>Thug</t>
  </si>
  <si>
    <t>Edgeville dungeon wilderness</t>
  </si>
  <si>
    <t>Tok-Xil (90)</t>
  </si>
  <si>
    <t>Torag</t>
  </si>
  <si>
    <t>Tree spirit (normal)</t>
  </si>
  <si>
    <t>Tree spirit (hard)</t>
  </si>
  <si>
    <t>Treus dayth (normal)</t>
  </si>
  <si>
    <t>Treus dayth (hard)</t>
  </si>
  <si>
    <t>Troll general</t>
  </si>
  <si>
    <t>Tstanon Karlak</t>
  </si>
  <si>
    <t>Turoth (83)</t>
  </si>
  <si>
    <t>Turoth (85)</t>
  </si>
  <si>
    <t>Turoth (87)</t>
  </si>
  <si>
    <t>Twisted banshee</t>
  </si>
  <si>
    <t>TzKal-Zuk (1400)</t>
  </si>
  <si>
    <t>Tz-Kek (22)</t>
  </si>
  <si>
    <t>Fight caves</t>
  </si>
  <si>
    <t>Tz-Kek (45)</t>
  </si>
  <si>
    <t>Tz-Kih (22)</t>
  </si>
  <si>
    <t>TzTok-Jad</t>
  </si>
  <si>
    <t>TzHaar-Hur (74)</t>
  </si>
  <si>
    <t>TzHaar city</t>
  </si>
  <si>
    <t>TzHaar-Ket (149)</t>
  </si>
  <si>
    <t>TzHaar-Xil (133)</t>
  </si>
  <si>
    <t>Unicorn</t>
  </si>
  <si>
    <t>Varrock mines, Barbarian Village, Camelot, Ardougne zoo</t>
  </si>
  <si>
    <t>Venenatis</t>
  </si>
  <si>
    <t>Vet'ion</t>
  </si>
  <si>
    <t>Vorkath</t>
  </si>
  <si>
    <t>Vorkath (quest)</t>
  </si>
  <si>
    <t>Warped jelly</t>
  </si>
  <si>
    <t>Warrior woman</t>
  </si>
  <si>
    <t>Waterfiend</t>
  </si>
  <si>
    <t>White Knight</t>
  </si>
  <si>
    <t>White Knight (proselyte)</t>
  </si>
  <si>
    <t>White Knight (acolyte)</t>
  </si>
  <si>
    <t>White Knight (partisan)</t>
  </si>
  <si>
    <t>White wolf (25)</t>
  </si>
  <si>
    <t>White wolf (38)</t>
  </si>
  <si>
    <t>Wingman Skree</t>
  </si>
  <si>
    <t>Witch's experiment 1st (hard)</t>
  </si>
  <si>
    <t>Witch's experiment 2nd (hard)</t>
  </si>
  <si>
    <t>Witch's experiment 3rd (hard)</t>
  </si>
  <si>
    <t>Witch's experiment 4th (hard)</t>
  </si>
  <si>
    <t>Wolf</t>
  </si>
  <si>
    <t>Woman (3)</t>
  </si>
  <si>
    <t>Woman (4)</t>
  </si>
  <si>
    <t>Woman (14)</t>
  </si>
  <si>
    <t>Wyrm</t>
  </si>
  <si>
    <t>Yak</t>
  </si>
  <si>
    <t>Yt-HurKot (141)</t>
  </si>
  <si>
    <t>Yt-MejKot (180)</t>
  </si>
  <si>
    <t>caves</t>
  </si>
  <si>
    <t>Zakl'n Gritch</t>
  </si>
  <si>
    <t>Zombie (13)</t>
  </si>
  <si>
    <t>Varrock sewer, West-Ardgoune graveyard</t>
  </si>
  <si>
    <t>Zombie (18)</t>
  </si>
  <si>
    <t>Edgeville dungeon</t>
  </si>
  <si>
    <t>Zombie (24)</t>
  </si>
  <si>
    <t>Edgeville dungeon, West-Ardgoune graveyard</t>
  </si>
  <si>
    <t>Zulrah (crimson)</t>
  </si>
  <si>
    <t>Zulrah (green)</t>
  </si>
  <si>
    <t>Zulrah (turquoise)</t>
  </si>
  <si>
    <t>Zygomite (74)</t>
  </si>
  <si>
    <t>Zygomite (86)</t>
  </si>
  <si>
    <t>Maiden of Sugadinti</t>
  </si>
  <si>
    <t>Theatre of Blood</t>
  </si>
  <si>
    <t>Pestilent Bloat</t>
  </si>
  <si>
    <t>Sotetseg</t>
  </si>
  <si>
    <t>Verzik (Throne)</t>
  </si>
  <si>
    <t>Verzik (Vampire)</t>
  </si>
  <si>
    <t>Verzik (Spider)</t>
  </si>
  <si>
    <t>Xarpus</t>
  </si>
  <si>
    <t>Nylocas Vasilias</t>
  </si>
  <si>
    <t>Nylocas Toxobolos (small)</t>
  </si>
  <si>
    <t>Nylocas Toxobolos (big)</t>
  </si>
  <si>
    <t>Nylocas Ischyros (small)</t>
  </si>
  <si>
    <t>Nylocas Ischyros (big)</t>
  </si>
  <si>
    <t>Nylocas Hagios (small)</t>
  </si>
  <si>
    <t>Nylocas Hagios (big)</t>
  </si>
  <si>
    <t>Vasa nistirio</t>
  </si>
  <si>
    <t>Raids</t>
  </si>
  <si>
    <t>Glowing crystal</t>
  </si>
  <si>
    <t>Tekton</t>
  </si>
  <si>
    <t>Tekton (enraged)</t>
  </si>
  <si>
    <t>Vespula</t>
  </si>
  <si>
    <t>Abyssal portal</t>
  </si>
  <si>
    <t>Vanguard (melee)</t>
  </si>
  <si>
    <t>Vanguard (ranged)</t>
  </si>
  <si>
    <t>Vanguard (magic)</t>
  </si>
  <si>
    <t>Muttadiles (small)</t>
  </si>
  <si>
    <t>Muttadiles (big)</t>
  </si>
  <si>
    <t>guardian</t>
  </si>
  <si>
    <t>Skeletal mystics</t>
  </si>
  <si>
    <t>Shamans</t>
  </si>
  <si>
    <t>Scavenger beast</t>
  </si>
  <si>
    <t>Ice demon</t>
  </si>
  <si>
    <t>Deathly mage</t>
  </si>
  <si>
    <t>Deathly ranger</t>
  </si>
  <si>
    <t>Great Olm (head)</t>
  </si>
  <si>
    <t>Great Olm (melee hand)</t>
  </si>
  <si>
    <t>Great Olm (mage hand)</t>
  </si>
  <si>
    <t>Vasa nistirio CM</t>
  </si>
  <si>
    <t>Glowing crystal CM</t>
  </si>
  <si>
    <t>Tekton CM</t>
  </si>
  <si>
    <t>Tekton CM (enraged)</t>
  </si>
  <si>
    <t>Vespula CM</t>
  </si>
  <si>
    <t>Abyssal portal CM</t>
  </si>
  <si>
    <t>Vanguard CM (melee)</t>
  </si>
  <si>
    <t>Vanguard CM (ranged)</t>
  </si>
  <si>
    <t>Vanguard CM (magic)</t>
  </si>
  <si>
    <t>Muttadiles CM (small)</t>
  </si>
  <si>
    <t>Muttadiles CM (big)</t>
  </si>
  <si>
    <t>Guardian CM</t>
  </si>
  <si>
    <t>Skeletal mystics CM</t>
  </si>
  <si>
    <t>Lizardman Shamans CM</t>
  </si>
  <si>
    <t>Scavenger beast CM</t>
  </si>
  <si>
    <t>Ice demon CM</t>
  </si>
  <si>
    <t>Deathly mage CM</t>
  </si>
  <si>
    <t>Deathly ranger CM</t>
  </si>
  <si>
    <t>Great Olm (head CM)</t>
  </si>
  <si>
    <t>Great Olm (melee hand CM)</t>
  </si>
  <si>
    <t>Great Olm (mage hand CM)</t>
  </si>
  <si>
    <t>Mimic</t>
  </si>
  <si>
    <t>Sarachnis</t>
  </si>
  <si>
    <t>Basilisk knight</t>
  </si>
  <si>
    <t>Hespori</t>
  </si>
  <si>
    <t>Undead druid</t>
  </si>
  <si>
    <t>The Nightmare</t>
  </si>
  <si>
    <t>Parasite (lvl 57)</t>
  </si>
  <si>
    <t>Parasite (lvl 86)</t>
  </si>
  <si>
    <t>Husk</t>
  </si>
  <si>
    <t>Sleepwalker</t>
  </si>
  <si>
    <t>Crystalline Hunllef</t>
  </si>
  <si>
    <t>The Gauntlet</t>
  </si>
  <si>
    <t>Corrupted Hunllef</t>
  </si>
  <si>
    <t>The Corrupted Gauntlet</t>
  </si>
  <si>
    <t>Crystalline Spider</t>
  </si>
  <si>
    <t>Corrupted Spider</t>
  </si>
  <si>
    <t>Crystalline Rat</t>
  </si>
  <si>
    <t>Corrupted Rat</t>
  </si>
  <si>
    <t>Crystalline Bat</t>
  </si>
  <si>
    <t>Corrupted Bat</t>
  </si>
  <si>
    <t>Crystalline Unicorn</t>
  </si>
  <si>
    <t>Corrupted Unicorn</t>
  </si>
  <si>
    <t>Crystalline Scorpion</t>
  </si>
  <si>
    <t>Corrupted Scorpion</t>
  </si>
  <si>
    <t>Crystalline Wolf</t>
  </si>
  <si>
    <t>Corrupted Wolf</t>
  </si>
  <si>
    <t>Crystalline Bear</t>
  </si>
  <si>
    <t>Corrupted Bear</t>
  </si>
  <si>
    <t>Crystalline Dragon</t>
  </si>
  <si>
    <t>Corrupted Dragon</t>
  </si>
  <si>
    <t>Crystalline Dark Beast</t>
  </si>
  <si>
    <t>Corrupted Dark Beast</t>
  </si>
  <si>
    <t>Vyrewatch Sentinel</t>
  </si>
  <si>
    <t>Darkmeyer</t>
  </si>
  <si>
    <t>vampyre</t>
  </si>
  <si>
    <t>Max mage sang</t>
  </si>
  <si>
    <t>Max melee</t>
  </si>
  <si>
    <t>Max melee scythe</t>
  </si>
  <si>
    <t>Max range</t>
  </si>
  <si>
    <t>Pros slay whip</t>
  </si>
  <si>
    <t>Dwh spec</t>
  </si>
  <si>
    <t>Solo raids melee</t>
  </si>
  <si>
    <t>Solo raids ranged</t>
  </si>
  <si>
    <t>Solo raids magic</t>
  </si>
  <si>
    <t>Void ranged</t>
  </si>
  <si>
    <t>Tank</t>
  </si>
  <si>
    <t>Max crush</t>
  </si>
  <si>
    <t>Scythe of vitur</t>
  </si>
  <si>
    <t>Verac's Flail</t>
  </si>
  <si>
    <t>*aggressive* *slash*</t>
  </si>
  <si>
    <t>*accurate* *magic*</t>
  </si>
  <si>
    <t>*rapid* *ranged*</t>
  </si>
  <si>
    <t>*controlled* *slash*</t>
  </si>
  <si>
    <t>*accurate* *crush*</t>
  </si>
  <si>
    <t>*controlled* *stab*</t>
  </si>
  <si>
    <t>*defensive* *stab*</t>
  </si>
  <si>
    <t>Soul rune</t>
  </si>
  <si>
    <t>Wrath rune</t>
  </si>
  <si>
    <t>Blood rune</t>
  </si>
  <si>
    <t>Death rune</t>
  </si>
  <si>
    <t>Chaos rune</t>
  </si>
  <si>
    <t>Mind rune</t>
  </si>
  <si>
    <t>Fire rune</t>
  </si>
  <si>
    <t>Earth rune</t>
  </si>
  <si>
    <t>Water rune</t>
  </si>
  <si>
    <t>Air rune</t>
  </si>
  <si>
    <t>Earth</t>
  </si>
  <si>
    <t>Water</t>
  </si>
  <si>
    <t>Air</t>
  </si>
  <si>
    <t>Rune save effect</t>
  </si>
  <si>
    <t>Total cost/hour:</t>
  </si>
  <si>
    <t>Rune cost / spell</t>
  </si>
  <si>
    <t>Coins</t>
  </si>
  <si>
    <t>Zulrah's scales</t>
  </si>
  <si>
    <t>Burnt page</t>
  </si>
  <si>
    <t>Cost / cast</t>
  </si>
  <si>
    <t>Cost / hour</t>
  </si>
  <si>
    <t>Ammo cost</t>
  </si>
  <si>
    <t>unretrievable weap</t>
  </si>
  <si>
    <t>unretrievable ammo</t>
  </si>
  <si>
    <t>Ava's device</t>
  </si>
  <si>
    <t>Cost / shot</t>
  </si>
  <si>
    <t>Cost / attack</t>
  </si>
  <si>
    <t>Barrows</t>
  </si>
  <si>
    <t>Barrows helm</t>
  </si>
  <si>
    <t>Barrows body</t>
  </si>
  <si>
    <t>Barrows legs</t>
  </si>
  <si>
    <t>Barrows weapon</t>
  </si>
  <si>
    <t>Smithing</t>
  </si>
  <si>
    <t>Prayer potion(4)</t>
  </si>
  <si>
    <t>Super restore(4)</t>
  </si>
  <si>
    <t>Sanfew serum(4)</t>
  </si>
  <si>
    <t>Holy wrench / RotG</t>
  </si>
  <si>
    <t>Weapon:</t>
  </si>
  <si>
    <t>Combat style:</t>
  </si>
  <si>
    <t>Average hit:</t>
  </si>
  <si>
    <t>Attack roll:</t>
  </si>
  <si>
    <t>Attack delay (s):</t>
  </si>
  <si>
    <t>Boss (hard):</t>
  </si>
  <si>
    <t>In / Out:</t>
  </si>
  <si>
    <t>Avg. hit (overkill)</t>
  </si>
  <si>
    <t>Time (s)/kill</t>
  </si>
  <si>
    <t>Est. Exp/hour:</t>
  </si>
  <si>
    <t>In</t>
  </si>
  <si>
    <t>Out</t>
  </si>
  <si>
    <t>Witch's Experiment</t>
  </si>
  <si>
    <t>Nazastarool</t>
  </si>
  <si>
    <t>Overhead prayer</t>
  </si>
  <si>
    <t>SotD SA</t>
  </si>
  <si>
    <t>Justiciar</t>
  </si>
  <si>
    <t>Combat style</t>
  </si>
  <si>
    <t>Def roll set 1</t>
  </si>
  <si>
    <t>Def roll set 2</t>
  </si>
  <si>
    <t>Accuracy set 1</t>
  </si>
  <si>
    <t>Accuracy set 2</t>
  </si>
  <si>
    <t>Min hit</t>
  </si>
  <si>
    <t>Avg. dmg 1</t>
  </si>
  <si>
    <t>Avg. dmg 2</t>
  </si>
  <si>
    <t>Speed</t>
  </si>
  <si>
    <t>Dps vs. set 1</t>
  </si>
  <si>
    <t>Dps vs. set 2</t>
  </si>
  <si>
    <t>Bandos GWD</t>
  </si>
  <si>
    <t>Freq.</t>
  </si>
  <si>
    <t>Row</t>
  </si>
  <si>
    <t>Subtotal</t>
  </si>
  <si>
    <t>Saradomin GWD</t>
  </si>
  <si>
    <t>Armadyl GWD</t>
  </si>
  <si>
    <t>Def roll set 3</t>
  </si>
  <si>
    <t>Accuracy set 3</t>
  </si>
  <si>
    <t>Zamorak GWD</t>
  </si>
  <si>
    <t>Special attack</t>
  </si>
  <si>
    <t>NORMAL NPC YES :)</t>
  </si>
  <si>
    <t>Reduction</t>
  </si>
  <si>
    <t>Sotd SA</t>
  </si>
  <si>
    <t>Elysian</t>
  </si>
  <si>
    <t>Bulwark</t>
  </si>
  <si>
    <t>Justiciar+Ely</t>
  </si>
  <si>
    <t>Ely only</t>
  </si>
  <si>
    <t>Just only</t>
  </si>
  <si>
    <t>Both</t>
  </si>
  <si>
    <t>Damage roll</t>
  </si>
  <si>
    <t>NPC 1.0</t>
  </si>
  <si>
    <t>NPC 1.1</t>
  </si>
  <si>
    <t>NPC 1.2</t>
  </si>
  <si>
    <t>NPC 2</t>
  </si>
  <si>
    <t>NPC 3</t>
  </si>
  <si>
    <t>NPC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</si>
</sst>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hh:mm:ss"/>
    <numFmt numFmtId="165" formatCode="d/m/yyyy"/>
    <numFmt numFmtId="166" formatCode="#,##0.0"/>
    <numFmt numFmtId="167" formatCode="0.000"/>
    <numFmt numFmtId="168" formatCode="dd-mm-yyyy"/>
    <numFmt numFmtId="169" formatCode="[$£-809]#,##0.00"/>
    <numFmt numFmtId="170" formatCode="#,##0_);(#,##0)"/>
    <numFmt numFmtId="171" formatCode="#,##0.00_);(#,##0.00)"/>
  </numFmts>
  <fonts count="37">
    <font>
      <sz val="10.0"/>
      <color rgb="FF000000"/>
      <name val="Arial"/>
    </font>
    <font/>
    <font>
      <name val="Arial"/>
    </font>
    <font>
      <sz val="8.0"/>
      <name val="Arial"/>
    </font>
    <font>
      <sz val="11.0"/>
      <color rgb="FF1155CC"/>
      <name val="Inconsolata"/>
    </font>
    <font>
      <u/>
      <color rgb="FF0000FF"/>
    </font>
    <font>
      <u/>
      <color rgb="FF1155CC"/>
      <name val="Arial"/>
    </font>
    <font>
      <u/>
      <color rgb="FF1155CC"/>
      <name val="Arial"/>
    </font>
    <font>
      <sz val="10.0"/>
    </font>
    <font>
      <sz val="8.0"/>
    </font>
    <font>
      <sz val="9.0"/>
    </font>
    <font>
      <sz val="7.0"/>
    </font>
    <font>
      <sz val="11.0"/>
      <color rgb="FF000000"/>
      <name val="Inconsolata"/>
    </font>
    <font>
      <sz val="10.0"/>
      <name val="Arial"/>
    </font>
    <font>
      <b/>
      <sz val="10.0"/>
      <name val="Arial"/>
    </font>
    <font>
      <sz val="9.0"/>
      <color rgb="FFEFEFEF"/>
      <name val="Arial"/>
    </font>
    <font>
      <sz val="11.0"/>
      <color rgb="FFEFEFEF"/>
      <name val="Inconsolata"/>
    </font>
    <font>
      <color rgb="FFEFEFEF"/>
    </font>
    <font>
      <b/>
      <sz val="9.0"/>
      <color rgb="FFEFEFEF"/>
      <name val="Arial"/>
    </font>
    <font>
      <sz val="9.0"/>
      <color rgb="FFEFEFEF"/>
    </font>
    <font>
      <b/>
      <color rgb="FFEFEFEF"/>
    </font>
    <font>
      <color rgb="FFEFEFEF"/>
      <name val="Arial"/>
    </font>
    <font>
      <sz val="9.0"/>
      <color rgb="FFFFFFFF"/>
      <name val="Arial"/>
    </font>
    <font>
      <color rgb="FFFFFFFF"/>
    </font>
    <font>
      <b/>
      <sz val="9.0"/>
      <color rgb="FFFFFFFF"/>
      <name val="Arial"/>
    </font>
    <font>
      <sz val="9.0"/>
      <color rgb="FFFFFFFF"/>
    </font>
    <font>
      <sz val="11.0"/>
      <color rgb="FFFFFFFF"/>
      <name val="Inconsolata"/>
    </font>
    <font>
      <b/>
      <color rgb="FFFFFFFF"/>
    </font>
    <font>
      <color rgb="FFFFFFFF"/>
      <name val="Arial"/>
    </font>
    <font>
      <b/>
      <u/>
      <color rgb="FF000000"/>
      <name val="Arial"/>
    </font>
    <font>
      <b/>
    </font>
    <font>
      <color rgb="FF000000"/>
    </font>
    <font>
      <b/>
      <sz val="8.0"/>
    </font>
    <font>
      <sz val="8.0"/>
      <color rgb="FF000000"/>
    </font>
    <font>
      <sz val="8.0"/>
      <color rgb="FF000000"/>
      <name val="Arial"/>
    </font>
    <font>
      <b/>
      <sz val="8.0"/>
      <color rgb="FFFFFFFF"/>
    </font>
    <font>
      <sz val="8.0"/>
      <color rgb="FFFFFFFF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FF00FF"/>
        <bgColor rgb="FFFF00FF"/>
      </patternFill>
    </fill>
    <fill>
      <patternFill patternType="solid">
        <fgColor rgb="FFDD7E6B"/>
        <bgColor rgb="FFDD7E6B"/>
      </patternFill>
    </fill>
    <fill>
      <patternFill patternType="solid">
        <fgColor rgb="FF2F3136"/>
        <bgColor rgb="FF2F3136"/>
      </patternFill>
    </fill>
    <fill>
      <patternFill patternType="solid">
        <fgColor rgb="FF000000"/>
        <bgColor rgb="FF000000"/>
      </patternFill>
    </fill>
    <fill>
      <patternFill patternType="solid">
        <fgColor rgb="FF393C43"/>
        <bgColor rgb="FF393C43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202225"/>
        <bgColor rgb="FF202225"/>
      </patternFill>
    </fill>
  </fills>
  <borders count="1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0" xfId="0" applyAlignment="1" applyFont="1" applyNumberFormat="1">
      <alignment vertical="bottom"/>
    </xf>
    <xf borderId="0" fillId="2" fontId="2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2" fillId="3" fontId="2" numFmtId="0" xfId="0" applyAlignment="1" applyBorder="1" applyFill="1" applyFont="1">
      <alignment horizontal="right" shrinkToFit="0" wrapText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2" fontId="4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left" shrinkToFit="0" vertical="center" wrapText="0"/>
    </xf>
    <xf borderId="3" fillId="3" fontId="0" numFmtId="0" xfId="0" applyAlignment="1" applyBorder="1" applyFont="1">
      <alignment horizontal="center" readingOrder="0" shrinkToFit="0" vertical="bottom" wrapText="0"/>
    </xf>
    <xf borderId="4" fillId="0" fontId="1" numFmtId="0" xfId="0" applyBorder="1" applyFont="1"/>
    <xf borderId="5" fillId="0" fontId="1" numFmtId="0" xfId="0" applyBorder="1" applyFont="1"/>
    <xf borderId="3" fillId="3" fontId="1" numFmtId="0" xfId="0" applyAlignment="1" applyBorder="1" applyFont="1">
      <alignment horizontal="center" shrinkToFit="0" vertical="center" wrapText="0"/>
    </xf>
    <xf borderId="4" fillId="3" fontId="5" numFmtId="0" xfId="0" applyAlignment="1" applyBorder="1" applyFont="1">
      <alignment horizontal="center" shrinkToFit="0" vertical="center" wrapText="1"/>
    </xf>
    <xf borderId="3" fillId="3" fontId="6" numFmtId="0" xfId="0" applyAlignment="1" applyBorder="1" applyFont="1">
      <alignment horizontal="center" shrinkToFit="0" wrapText="0"/>
    </xf>
    <xf borderId="6" fillId="3" fontId="1" numFmtId="0" xfId="0" applyAlignment="1" applyBorder="1" applyFont="1">
      <alignment horizontal="center" readingOrder="0" shrinkToFit="0" vertical="center" wrapText="0"/>
    </xf>
    <xf borderId="7" fillId="0" fontId="1" numFmtId="0" xfId="0" applyBorder="1" applyFont="1"/>
    <xf borderId="8" fillId="0" fontId="1" numFmtId="0" xfId="0" applyBorder="1" applyFont="1"/>
    <xf borderId="9" fillId="3" fontId="0" numFmtId="0" xfId="0" applyAlignment="1" applyBorder="1" applyFont="1">
      <alignment horizontal="center" readingOrder="0" shrinkToFit="0" vertical="top" wrapText="0"/>
    </xf>
    <xf borderId="1" fillId="0" fontId="1" numFmtId="0" xfId="0" applyBorder="1" applyFont="1"/>
    <xf borderId="10" fillId="0" fontId="1" numFmtId="0" xfId="0" applyBorder="1" applyFont="1"/>
    <xf borderId="9" fillId="3" fontId="1" numFmtId="0" xfId="0" applyAlignment="1" applyBorder="1" applyFont="1">
      <alignment horizontal="center" shrinkToFit="0" vertical="center" wrapText="0"/>
    </xf>
    <xf borderId="9" fillId="3" fontId="7" numFmtId="0" xfId="0" applyAlignment="1" applyBorder="1" applyFont="1">
      <alignment horizontal="center" shrinkToFit="0" wrapText="0"/>
    </xf>
    <xf borderId="9" fillId="4" fontId="1" numFmtId="0" xfId="0" applyAlignment="1" applyBorder="1" applyFill="1" applyFont="1">
      <alignment horizontal="center" readingOrder="0" shrinkToFit="0" vertical="center" wrapText="0"/>
    </xf>
    <xf borderId="6" fillId="3" fontId="1" numFmtId="0" xfId="0" applyAlignment="1" applyBorder="1" applyFont="1">
      <alignment horizontal="center" shrinkToFit="0" vertical="center" wrapText="0"/>
    </xf>
    <xf borderId="7" fillId="3" fontId="1" numFmtId="0" xfId="0" applyAlignment="1" applyBorder="1" applyFont="1">
      <alignment horizontal="left" readingOrder="0" shrinkToFit="0" vertical="center" wrapText="0"/>
    </xf>
    <xf borderId="6" fillId="4" fontId="1" numFmtId="0" xfId="0" applyAlignment="1" applyBorder="1" applyFont="1">
      <alignment horizontal="left" readingOrder="0" shrinkToFit="0" vertical="center" wrapText="0"/>
    </xf>
    <xf borderId="6" fillId="3" fontId="1" numFmtId="0" xfId="0" applyAlignment="1" applyBorder="1" applyFont="1">
      <alignment horizontal="left" shrinkToFit="0" vertical="center" wrapText="0"/>
    </xf>
    <xf borderId="3" fillId="4" fontId="8" numFmtId="0" xfId="0" applyAlignment="1" applyBorder="1" applyFont="1">
      <alignment horizontal="center" readingOrder="0" shrinkToFit="0" vertical="center" wrapText="0"/>
    </xf>
    <xf borderId="11" fillId="3" fontId="1" numFmtId="0" xfId="0" applyAlignment="1" applyBorder="1" applyFont="1">
      <alignment horizontal="center" shrinkToFit="0" vertical="center" wrapText="0"/>
    </xf>
    <xf borderId="3" fillId="4" fontId="1" numFmtId="0" xfId="0" applyAlignment="1" applyBorder="1" applyFont="1">
      <alignment horizontal="right" readingOrder="0" shrinkToFit="0" vertical="center" wrapText="0"/>
    </xf>
    <xf borderId="3" fillId="3" fontId="1" numFmtId="0" xfId="0" applyAlignment="1" applyBorder="1" applyFont="1">
      <alignment horizontal="right" shrinkToFit="0" vertical="center" wrapText="0"/>
    </xf>
    <xf borderId="7" fillId="3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9" fillId="0" fontId="1" numFmtId="0" xfId="0" applyBorder="1" applyFont="1"/>
    <xf borderId="12" fillId="3" fontId="1" numFmtId="0" xfId="0" applyAlignment="1" applyBorder="1" applyFont="1">
      <alignment horizontal="center" shrinkToFit="0" vertical="center" wrapText="0"/>
    </xf>
    <xf borderId="13" fillId="4" fontId="1" numFmtId="0" xfId="0" applyAlignment="1" applyBorder="1" applyFont="1">
      <alignment horizontal="right" readingOrder="0" shrinkToFit="0" vertical="center" wrapText="0"/>
    </xf>
    <xf borderId="2" fillId="0" fontId="1" numFmtId="0" xfId="0" applyBorder="1" applyFont="1"/>
    <xf borderId="13" fillId="3" fontId="1" numFmtId="0" xfId="0" applyAlignment="1" applyBorder="1" applyFont="1">
      <alignment horizontal="right" shrinkToFit="0" vertical="center" wrapText="0"/>
    </xf>
    <xf borderId="13" fillId="3" fontId="9" numFmtId="0" xfId="0" applyAlignment="1" applyBorder="1" applyFont="1">
      <alignment horizontal="left" shrinkToFit="0" vertical="center" wrapText="0"/>
    </xf>
    <xf borderId="6" fillId="3" fontId="9" numFmtId="0" xfId="0" applyAlignment="1" applyBorder="1" applyFont="1">
      <alignment horizontal="center" shrinkToFit="0" vertical="center" wrapText="0"/>
    </xf>
    <xf borderId="14" fillId="3" fontId="1" numFmtId="0" xfId="0" applyAlignment="1" applyBorder="1" applyFont="1">
      <alignment horizontal="center" readingOrder="0" shrinkToFit="0" vertical="center" wrapText="0"/>
    </xf>
    <xf borderId="14" fillId="3" fontId="1" numFmtId="0" xfId="0" applyAlignment="1" applyBorder="1" applyFont="1">
      <alignment horizontal="center" shrinkToFit="0" vertical="center" wrapText="0"/>
    </xf>
    <xf borderId="14" fillId="3" fontId="1" numFmtId="0" xfId="0" applyAlignment="1" applyBorder="1" applyFont="1">
      <alignment horizontal="left" shrinkToFit="0" vertical="center" wrapText="0"/>
    </xf>
    <xf borderId="0" fillId="4" fontId="9" numFmtId="0" xfId="0" applyAlignment="1" applyFont="1">
      <alignment horizontal="left" readingOrder="0" shrinkToFit="0" vertical="center" wrapText="0"/>
    </xf>
    <xf borderId="13" fillId="4" fontId="9" numFmtId="0" xfId="0" applyAlignment="1" applyBorder="1" applyFont="1">
      <alignment horizontal="left" readingOrder="0" shrinkToFit="0" vertical="center" wrapText="0"/>
    </xf>
    <xf borderId="5" fillId="3" fontId="1" numFmtId="0" xfId="0" applyAlignment="1" applyBorder="1" applyFont="1">
      <alignment horizontal="left" readingOrder="0" shrinkToFit="0" vertical="center" wrapText="0"/>
    </xf>
    <xf borderId="11" fillId="3" fontId="2" numFmtId="0" xfId="0" applyBorder="1" applyFont="1"/>
    <xf borderId="11" fillId="4" fontId="1" numFmtId="0" xfId="0" applyAlignment="1" applyBorder="1" applyFont="1">
      <alignment horizontal="right" readingOrder="0" shrinkToFit="0" vertical="center" wrapText="0"/>
    </xf>
    <xf borderId="11" fillId="4" fontId="10" numFmtId="0" xfId="0" applyAlignment="1" applyBorder="1" applyFont="1">
      <alignment horizontal="left" readingOrder="0" shrinkToFit="0" vertical="center" wrapText="0"/>
    </xf>
    <xf borderId="12" fillId="3" fontId="1" numFmtId="0" xfId="0" applyAlignment="1" applyBorder="1" applyFont="1">
      <alignment horizontal="right" shrinkToFit="0" vertical="center" wrapText="0"/>
    </xf>
    <xf borderId="11" fillId="3" fontId="1" numFmtId="0" xfId="0" applyAlignment="1" applyBorder="1" applyFont="1">
      <alignment horizontal="center" readingOrder="0" shrinkToFit="0" vertical="center" wrapText="0"/>
    </xf>
    <xf borderId="14" fillId="3" fontId="10" numFmtId="0" xfId="0" applyAlignment="1" applyBorder="1" applyFont="1">
      <alignment horizontal="center" readingOrder="0" shrinkToFit="0" vertical="center" wrapText="0"/>
    </xf>
    <xf borderId="13" fillId="4" fontId="9" numFmtId="0" xfId="0" applyAlignment="1" applyBorder="1" applyFont="1">
      <alignment horizontal="left" shrinkToFit="0" vertical="center" wrapText="0"/>
    </xf>
    <xf borderId="13" fillId="3" fontId="1" numFmtId="0" xfId="0" applyAlignment="1" applyBorder="1" applyFont="1">
      <alignment horizontal="center" shrinkToFit="0" vertical="center" wrapText="0"/>
    </xf>
    <xf borderId="2" fillId="3" fontId="1" numFmtId="0" xfId="0" applyAlignment="1" applyBorder="1" applyFont="1">
      <alignment horizontal="left" readingOrder="0" shrinkToFit="0" vertical="center" wrapText="0"/>
    </xf>
    <xf borderId="12" fillId="4" fontId="1" numFmtId="0" xfId="0" applyAlignment="1" applyBorder="1" applyFont="1">
      <alignment horizontal="right" readingOrder="0" shrinkToFit="0" vertical="center" wrapText="0"/>
    </xf>
    <xf borderId="12" fillId="4" fontId="10" numFmtId="0" xfId="0" applyAlignment="1" applyBorder="1" applyFont="1">
      <alignment horizontal="left" readingOrder="0" shrinkToFit="0" vertical="center" wrapText="0"/>
    </xf>
    <xf borderId="3" fillId="3" fontId="1" numFmtId="0" xfId="0" applyAlignment="1" applyBorder="1" applyFont="1">
      <alignment horizontal="left" readingOrder="0" shrinkToFit="0" vertical="center" wrapText="0"/>
    </xf>
    <xf borderId="11" fillId="3" fontId="1" numFmtId="0" xfId="0" applyAlignment="1" applyBorder="1" applyFont="1">
      <alignment horizontal="right" shrinkToFit="0" vertical="center" wrapText="0"/>
    </xf>
    <xf borderId="5" fillId="3" fontId="1" numFmtId="0" xfId="0" applyAlignment="1" applyBorder="1" applyFont="1">
      <alignment horizontal="right" shrinkToFit="0" vertical="center" wrapText="0"/>
    </xf>
    <xf borderId="12" fillId="3" fontId="10" numFmtId="10" xfId="0" applyAlignment="1" applyBorder="1" applyFont="1" applyNumberFormat="1">
      <alignment horizontal="right" shrinkToFit="0" vertical="center" wrapText="0"/>
    </xf>
    <xf borderId="15" fillId="3" fontId="1" numFmtId="0" xfId="0" applyAlignment="1" applyBorder="1" applyFont="1">
      <alignment horizontal="center" shrinkToFit="0" vertical="center" wrapText="0"/>
    </xf>
    <xf borderId="9" fillId="4" fontId="1" numFmtId="0" xfId="0" applyAlignment="1" applyBorder="1" applyFont="1">
      <alignment horizontal="right" shrinkToFit="0" vertical="center" wrapText="0"/>
    </xf>
    <xf borderId="13" fillId="3" fontId="1" numFmtId="0" xfId="0" applyAlignment="1" applyBorder="1" applyFont="1">
      <alignment horizontal="left" readingOrder="0" shrinkToFit="0" vertical="center" wrapText="0"/>
    </xf>
    <xf borderId="2" fillId="3" fontId="1" numFmtId="0" xfId="0" applyAlignment="1" applyBorder="1" applyFont="1">
      <alignment horizontal="right" shrinkToFit="0" vertical="center" wrapText="0"/>
    </xf>
    <xf borderId="1" fillId="0" fontId="1" numFmtId="0" xfId="0" applyAlignment="1" applyBorder="1" applyFont="1">
      <alignment horizontal="left" shrinkToFit="0" vertical="center" wrapText="0"/>
    </xf>
    <xf borderId="9" fillId="4" fontId="1" numFmtId="0" xfId="0" applyAlignment="1" applyBorder="1" applyFont="1">
      <alignment horizontal="right" readingOrder="0" shrinkToFit="0" vertical="center" wrapText="0"/>
    </xf>
    <xf borderId="12" fillId="3" fontId="1" numFmtId="10" xfId="0" applyAlignment="1" applyBorder="1" applyFont="1" applyNumberFormat="1">
      <alignment horizontal="right" shrinkToFit="0" vertical="center" wrapText="0"/>
    </xf>
    <xf borderId="2" fillId="3" fontId="1" numFmtId="10" xfId="0" applyAlignment="1" applyBorder="1" applyFont="1" applyNumberFormat="1">
      <alignment horizontal="right" shrinkToFit="0" vertical="center" wrapText="0"/>
    </xf>
    <xf borderId="12" fillId="0" fontId="1" numFmtId="0" xfId="0" applyAlignment="1" applyBorder="1" applyFont="1">
      <alignment horizontal="left" shrinkToFit="0" vertical="center" wrapText="0"/>
    </xf>
    <xf borderId="15" fillId="4" fontId="10" numFmtId="0" xfId="0" applyAlignment="1" applyBorder="1" applyFont="1">
      <alignment horizontal="left" readingOrder="0" shrinkToFit="0" vertical="center" wrapText="0"/>
    </xf>
    <xf borderId="0" fillId="4" fontId="1" numFmtId="0" xfId="0" applyAlignment="1" applyFont="1">
      <alignment horizontal="right" readingOrder="0" shrinkToFit="0" vertical="center" wrapText="0"/>
    </xf>
    <xf borderId="3" fillId="3" fontId="11" numFmtId="0" xfId="0" applyAlignment="1" applyBorder="1" applyFont="1">
      <alignment horizontal="center" readingOrder="0" shrinkToFit="0" vertical="center" wrapText="0"/>
    </xf>
    <xf borderId="3" fillId="4" fontId="1" numFmtId="0" xfId="0" applyAlignment="1" applyBorder="1" applyFont="1">
      <alignment horizontal="center" readingOrder="0" shrinkToFit="0" vertical="center" wrapText="0"/>
    </xf>
    <xf borderId="6" fillId="3" fontId="11" numFmtId="0" xfId="0" applyAlignment="1" applyBorder="1" applyFont="1">
      <alignment horizontal="center" readingOrder="0" shrinkToFit="0" vertical="center" wrapText="0"/>
    </xf>
    <xf borderId="3" fillId="3" fontId="9" numFmtId="0" xfId="0" applyAlignment="1" applyBorder="1" applyFont="1">
      <alignment horizontal="left" shrinkToFit="0" vertical="center" wrapText="0"/>
    </xf>
    <xf borderId="4" fillId="3" fontId="9" numFmtId="0" xfId="0" applyAlignment="1" applyBorder="1" applyFont="1">
      <alignment horizontal="center" shrinkToFit="0" vertical="center" wrapText="0"/>
    </xf>
    <xf borderId="3" fillId="3" fontId="9" numFmtId="0" xfId="0" applyAlignment="1" applyBorder="1" applyFont="1">
      <alignment horizontal="center" shrinkToFit="0" vertical="center" wrapText="0"/>
    </xf>
    <xf borderId="12" fillId="3" fontId="1" numFmtId="0" xfId="0" applyAlignment="1" applyBorder="1" applyFont="1">
      <alignment horizontal="right" shrinkToFit="0" vertical="center" wrapText="0"/>
    </xf>
    <xf borderId="2" fillId="3" fontId="1" numFmtId="0" xfId="0" applyAlignment="1" applyBorder="1" applyFont="1">
      <alignment horizontal="right" shrinkToFit="0" vertical="center" wrapText="0"/>
    </xf>
    <xf borderId="0" fillId="4" fontId="1" numFmtId="0" xfId="0" applyAlignment="1" applyFont="1">
      <alignment horizontal="left" readingOrder="0" shrinkToFit="0" vertical="center" wrapText="0"/>
    </xf>
    <xf borderId="13" fillId="3" fontId="11" numFmtId="0" xfId="0" applyAlignment="1" applyBorder="1" applyFont="1">
      <alignment horizontal="center" readingOrder="0" shrinkToFit="0" vertical="center" wrapText="0"/>
    </xf>
    <xf borderId="13" fillId="4" fontId="11" numFmtId="0" xfId="0" applyAlignment="1" applyBorder="1" applyFont="1">
      <alignment horizontal="center" readingOrder="0" shrinkToFit="0" vertical="center" wrapText="0"/>
    </xf>
    <xf borderId="13" fillId="4" fontId="1" numFmtId="9" xfId="0" applyAlignment="1" applyBorder="1" applyFont="1" applyNumberFormat="1">
      <alignment horizontal="left" readingOrder="0" shrinkToFit="0" vertical="center" wrapText="0"/>
    </xf>
    <xf borderId="0" fillId="3" fontId="9" numFmtId="0" xfId="0" applyAlignment="1" applyFont="1">
      <alignment horizontal="center" shrinkToFit="0" vertical="center" wrapText="0"/>
    </xf>
    <xf borderId="13" fillId="3" fontId="9" numFmtId="0" xfId="0" applyAlignment="1" applyBorder="1" applyFont="1">
      <alignment horizontal="center" shrinkToFit="0" vertical="center" wrapText="0"/>
    </xf>
    <xf borderId="10" fillId="3" fontId="1" numFmtId="0" xfId="0" applyAlignment="1" applyBorder="1" applyFont="1">
      <alignment horizontal="left" readingOrder="0" shrinkToFit="0" vertical="center" wrapText="0"/>
    </xf>
    <xf borderId="15" fillId="4" fontId="1" numFmtId="0" xfId="0" applyAlignment="1" applyBorder="1" applyFont="1">
      <alignment horizontal="right" readingOrder="0" shrinkToFit="0" vertical="center" wrapText="0"/>
    </xf>
    <xf borderId="15" fillId="3" fontId="1" numFmtId="0" xfId="0" applyAlignment="1" applyBorder="1" applyFont="1">
      <alignment horizontal="right" shrinkToFit="0" vertical="center" wrapText="0"/>
    </xf>
    <xf borderId="9" fillId="3" fontId="1" numFmtId="0" xfId="0" applyAlignment="1" applyBorder="1" applyFont="1">
      <alignment horizontal="left" readingOrder="0" shrinkToFit="0" vertical="center" wrapText="0"/>
    </xf>
    <xf borderId="15" fillId="3" fontId="1" numFmtId="0" xfId="0" applyAlignment="1" applyBorder="1" applyFont="1">
      <alignment horizontal="right" readingOrder="0" shrinkToFit="0" vertical="center" wrapText="0"/>
    </xf>
    <xf borderId="10" fillId="3" fontId="1" numFmtId="0" xfId="0" applyAlignment="1" applyBorder="1" applyFont="1">
      <alignment horizontal="right" readingOrder="0" shrinkToFit="0" vertical="center" wrapText="0"/>
    </xf>
    <xf borderId="15" fillId="3" fontId="10" numFmtId="10" xfId="0" applyAlignment="1" applyBorder="1" applyFont="1" applyNumberFormat="1">
      <alignment horizontal="right" shrinkToFit="0" vertical="center" wrapText="0"/>
    </xf>
    <xf borderId="13" fillId="4" fontId="1" numFmtId="0" xfId="0" applyAlignment="1" applyBorder="1" applyFont="1">
      <alignment horizontal="center" readingOrder="0" shrinkToFit="0" vertical="center" wrapText="0"/>
    </xf>
    <xf borderId="9" fillId="3" fontId="9" numFmtId="0" xfId="0" applyAlignment="1" applyBorder="1" applyFont="1">
      <alignment horizontal="left" shrinkToFit="0" vertical="center" wrapText="0"/>
    </xf>
    <xf borderId="1" fillId="3" fontId="9" numFmtId="19" xfId="0" applyAlignment="1" applyBorder="1" applyFont="1" applyNumberFormat="1">
      <alignment horizontal="center" shrinkToFit="0" vertical="center" wrapText="0"/>
    </xf>
    <xf borderId="9" fillId="3" fontId="9" numFmtId="19" xfId="0" applyAlignment="1" applyBorder="1" applyFont="1" applyNumberFormat="1">
      <alignment horizontal="center" shrinkToFit="0" vertical="center" wrapText="0"/>
    </xf>
    <xf borderId="14" fillId="4" fontId="1" numFmtId="0" xfId="0" applyAlignment="1" applyBorder="1" applyFont="1">
      <alignment horizontal="left" readingOrder="0" shrinkToFit="0" vertical="center" wrapText="0"/>
    </xf>
    <xf borderId="14" fillId="3" fontId="1" numFmtId="0" xfId="0" applyAlignment="1" applyBorder="1" applyFont="1">
      <alignment horizontal="right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11" fillId="0" fontId="1" numFmtId="0" xfId="0" applyAlignment="1" applyBorder="1" applyFont="1">
      <alignment horizontal="right" readingOrder="0" shrinkToFit="0" vertical="center" wrapText="0"/>
    </xf>
    <xf borderId="13" fillId="3" fontId="11" numFmtId="0" xfId="0" applyAlignment="1" applyBorder="1" applyFont="1">
      <alignment horizontal="center" readingOrder="0" shrinkToFit="0" vertical="center" wrapText="0"/>
    </xf>
    <xf borderId="13" fillId="0" fontId="10" numFmtId="0" xfId="0" applyAlignment="1" applyBorder="1" applyFont="1">
      <alignment readingOrder="0"/>
    </xf>
    <xf borderId="12" fillId="0" fontId="1" numFmtId="0" xfId="0" applyBorder="1" applyFont="1"/>
    <xf borderId="1" fillId="4" fontId="1" numFmtId="0" xfId="0" applyAlignment="1" applyBorder="1" applyFont="1">
      <alignment horizontal="left" readingOrder="0" shrinkToFit="0" vertical="center" wrapText="0"/>
    </xf>
    <xf borderId="9" fillId="3" fontId="11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readingOrder="0"/>
    </xf>
    <xf borderId="15" fillId="0" fontId="1" numFmtId="0" xfId="0" applyBorder="1" applyFont="1"/>
    <xf borderId="3" fillId="3" fontId="9" numFmtId="0" xfId="0" applyAlignment="1" applyBorder="1" applyFont="1">
      <alignment horizontal="left" readingOrder="0" shrinkToFit="0" vertical="center" wrapText="0"/>
    </xf>
    <xf borderId="11" fillId="3" fontId="10" numFmtId="0" xfId="0" applyAlignment="1" applyBorder="1" applyFont="1">
      <alignment horizontal="center" readingOrder="0" shrinkToFit="0" vertical="center" wrapText="0"/>
    </xf>
    <xf borderId="6" fillId="4" fontId="1" numFmtId="0" xfId="0" applyAlignment="1" applyBorder="1" applyFont="1">
      <alignment horizontal="center" readingOrder="0" shrinkToFit="0" vertical="center" wrapText="0"/>
    </xf>
    <xf borderId="0" fillId="2" fontId="12" numFmtId="0" xfId="0" applyAlignment="1" applyFont="1">
      <alignment horizontal="left" shrinkToFit="0" vertical="center" wrapText="0"/>
    </xf>
    <xf borderId="3" fillId="4" fontId="1" numFmtId="0" xfId="0" applyAlignment="1" applyBorder="1" applyFont="1">
      <alignment horizontal="left" readingOrder="0" shrinkToFit="0" vertical="center" wrapText="0"/>
    </xf>
    <xf borderId="0" fillId="3" fontId="10" numFmtId="0" xfId="0" applyAlignment="1" applyFont="1">
      <alignment horizontal="right" shrinkToFit="0" vertical="center" wrapText="0"/>
    </xf>
    <xf borderId="12" fillId="3" fontId="10" numFmtId="0" xfId="0" applyAlignment="1" applyBorder="1" applyFont="1">
      <alignment horizontal="right" shrinkToFit="0" vertical="center" wrapText="0"/>
    </xf>
    <xf borderId="4" fillId="4" fontId="1" numFmtId="0" xfId="0" applyAlignment="1" applyBorder="1" applyFont="1">
      <alignment horizontal="left" readingOrder="0" shrinkToFit="0" vertical="center" wrapText="0"/>
    </xf>
    <xf borderId="3" fillId="3" fontId="10" numFmtId="0" xfId="0" applyAlignment="1" applyBorder="1" applyFont="1">
      <alignment horizontal="right" shrinkToFit="0" vertical="center" wrapText="0"/>
    </xf>
    <xf borderId="11" fillId="3" fontId="10" numFmtId="0" xfId="0" applyAlignment="1" applyBorder="1" applyFont="1">
      <alignment horizontal="right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  <xf borderId="13" fillId="4" fontId="1" numFmtId="0" xfId="0" applyAlignment="1" applyBorder="1" applyFont="1">
      <alignment horizontal="left" readingOrder="0" shrinkToFit="0" vertical="center" wrapText="0"/>
    </xf>
    <xf borderId="13" fillId="3" fontId="10" numFmtId="0" xfId="0" applyAlignment="1" applyBorder="1" applyFont="1">
      <alignment horizontal="right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13" fillId="3" fontId="12" numFmtId="0" xfId="0" applyAlignment="1" applyBorder="1" applyFont="1">
      <alignment horizontal="center" shrinkToFit="0" vertical="center" wrapText="0"/>
    </xf>
    <xf borderId="3" fillId="0" fontId="9" numFmtId="0" xfId="0" applyAlignment="1" applyBorder="1" applyFont="1">
      <alignment horizontal="right" shrinkToFit="0" vertical="center" wrapText="0"/>
    </xf>
    <xf borderId="0" fillId="0" fontId="9" numFmtId="0" xfId="0" applyAlignment="1" applyFont="1">
      <alignment horizontal="right" shrinkToFit="0" vertical="center" wrapText="0"/>
    </xf>
    <xf borderId="4" fillId="0" fontId="9" numFmtId="0" xfId="0" applyAlignment="1" applyBorder="1" applyFont="1">
      <alignment horizontal="right" shrinkToFit="0" vertical="center" wrapText="0"/>
    </xf>
    <xf borderId="13" fillId="0" fontId="9" numFmtId="0" xfId="0" applyAlignment="1" applyBorder="1" applyFont="1">
      <alignment horizontal="right" shrinkToFit="0" vertical="center" wrapText="0"/>
    </xf>
    <xf borderId="6" fillId="3" fontId="9" numFmtId="0" xfId="0" applyAlignment="1" applyBorder="1" applyFont="1">
      <alignment horizontal="left" shrinkToFit="0" vertical="center" wrapText="0"/>
    </xf>
    <xf borderId="9" fillId="4" fontId="1" numFmtId="0" xfId="0" applyAlignment="1" applyBorder="1" applyFont="1">
      <alignment horizontal="left" readingOrder="0" shrinkToFit="0" vertical="center" wrapText="0"/>
    </xf>
    <xf borderId="9" fillId="3" fontId="10" numFmtId="0" xfId="0" applyAlignment="1" applyBorder="1" applyFont="1">
      <alignment horizontal="right" shrinkToFit="0" vertical="center" wrapText="0"/>
    </xf>
    <xf borderId="15" fillId="3" fontId="10" numFmtId="0" xfId="0" applyAlignment="1" applyBorder="1" applyFont="1">
      <alignment horizontal="right" shrinkToFit="0" vertical="center" wrapText="0"/>
    </xf>
    <xf borderId="8" fillId="3" fontId="1" numFmtId="0" xfId="0" applyAlignment="1" applyBorder="1" applyFont="1">
      <alignment horizontal="left" readingOrder="0" shrinkToFit="0" vertical="center" wrapText="0"/>
    </xf>
    <xf borderId="14" fillId="4" fontId="1" numFmtId="0" xfId="0" applyAlignment="1" applyBorder="1" applyFont="1">
      <alignment horizontal="right" readingOrder="0" shrinkToFit="0" vertical="center" wrapText="0"/>
    </xf>
    <xf borderId="6" fillId="3" fontId="1" numFmtId="0" xfId="0" applyAlignment="1" applyBorder="1" applyFont="1">
      <alignment horizontal="right" shrinkToFit="0" vertical="center" wrapText="0"/>
    </xf>
    <xf borderId="6" fillId="3" fontId="1" numFmtId="0" xfId="0" applyAlignment="1" applyBorder="1" applyFont="1">
      <alignment horizontal="left" readingOrder="0" shrinkToFit="0" vertical="center" wrapText="0"/>
    </xf>
    <xf borderId="7" fillId="3" fontId="1" numFmtId="0" xfId="0" applyAlignment="1" applyBorder="1" applyFont="1">
      <alignment horizontal="right" shrinkToFit="0" vertical="center" wrapText="0"/>
    </xf>
    <xf borderId="0" fillId="0" fontId="1" numFmtId="0" xfId="0" applyAlignment="1" applyFont="1">
      <alignment horizontal="right" readingOrder="0" shrinkToFit="0" vertical="center" wrapText="0"/>
    </xf>
    <xf borderId="0" fillId="0" fontId="1" numFmtId="9" xfId="0" applyAlignment="1" applyFont="1" applyNumberFormat="1">
      <alignment horizontal="right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9" xfId="0" applyAlignment="1" applyFont="1" applyNumberFormat="1">
      <alignment horizontal="left" readingOrder="0" shrinkToFit="0" vertical="center" wrapText="0"/>
    </xf>
    <xf borderId="0" fillId="0" fontId="1" numFmtId="9" xfId="0" applyAlignment="1" applyFont="1" applyNumberFormat="1">
      <alignment readingOrder="0"/>
    </xf>
    <xf borderId="0" fillId="2" fontId="1" numFmtId="0" xfId="0" applyAlignment="1" applyFont="1">
      <alignment horizontal="left" readingOrder="0" shrinkToFit="0" vertical="center" wrapText="0"/>
    </xf>
    <xf borderId="9" fillId="0" fontId="9" numFmtId="0" xfId="0" applyAlignment="1" applyBorder="1" applyFont="1">
      <alignment horizontal="right" shrinkToFit="0" vertical="center" wrapText="0"/>
    </xf>
    <xf borderId="1" fillId="0" fontId="9" numFmtId="0" xfId="0" applyAlignment="1" applyBorder="1" applyFont="1">
      <alignment horizontal="right" shrinkToFit="0" vertical="center" wrapText="0"/>
    </xf>
    <xf borderId="0" fillId="0" fontId="1" numFmtId="164" xfId="0" applyAlignment="1" applyFont="1" applyNumberFormat="1">
      <alignment horizontal="left" readingOrder="0" shrinkToFit="0" vertical="center" wrapText="0"/>
    </xf>
    <xf borderId="0" fillId="5" fontId="13" numFmtId="0" xfId="0" applyAlignment="1" applyFill="1" applyFont="1">
      <alignment horizontal="left" readingOrder="0" shrinkToFit="0" vertical="center" wrapText="0"/>
    </xf>
    <xf borderId="0" fillId="0" fontId="13" numFmtId="0" xfId="0" applyAlignment="1" applyFont="1">
      <alignment horizontal="left" shrinkToFit="0" vertical="center" wrapText="0"/>
    </xf>
    <xf borderId="0" fillId="0" fontId="13" numFmtId="0" xfId="0" applyAlignment="1" applyFont="1">
      <alignment horizontal="left" readingOrder="0" shrinkToFit="0" vertical="center" wrapText="0"/>
    </xf>
    <xf borderId="0" fillId="6" fontId="13" numFmtId="0" xfId="0" applyAlignment="1" applyFill="1" applyFont="1">
      <alignment horizontal="left" readingOrder="0" shrinkToFit="0" vertical="center" wrapText="0"/>
    </xf>
    <xf borderId="0" fillId="0" fontId="13" numFmtId="14" xfId="0" applyAlignment="1" applyFont="1" applyNumberFormat="1">
      <alignment horizontal="left" shrinkToFit="0" vertical="center" wrapText="0"/>
    </xf>
    <xf borderId="0" fillId="0" fontId="13" numFmtId="165" xfId="0" applyAlignment="1" applyFont="1" applyNumberFormat="1">
      <alignment horizontal="left" readingOrder="0" shrinkToFit="0" vertical="center" wrapText="0"/>
    </xf>
    <xf borderId="0" fillId="5" fontId="13" numFmtId="0" xfId="0" applyAlignment="1" applyFont="1">
      <alignment horizontal="left" shrinkToFit="0" vertical="center" wrapText="0"/>
    </xf>
    <xf borderId="0" fillId="0" fontId="1" numFmtId="0" xfId="0" applyFont="1"/>
    <xf borderId="0" fillId="0" fontId="13" numFmtId="0" xfId="0" applyAlignment="1" applyFont="1">
      <alignment horizontal="left" shrinkToFit="0" vertical="center" wrapText="0"/>
    </xf>
    <xf borderId="0" fillId="0" fontId="13" numFmtId="9" xfId="0" applyAlignment="1" applyFont="1" applyNumberFormat="1">
      <alignment horizontal="left" readingOrder="0" shrinkToFit="0" vertical="center" wrapText="0"/>
    </xf>
    <xf borderId="0" fillId="7" fontId="13" numFmtId="0" xfId="0" applyAlignment="1" applyFill="1" applyFont="1">
      <alignment horizontal="left" shrinkToFit="0" vertical="center" wrapText="0"/>
    </xf>
    <xf borderId="0" fillId="2" fontId="13" numFmtId="0" xfId="0" applyAlignment="1" applyFont="1">
      <alignment horizontal="left" shrinkToFit="0" vertical="center" wrapText="0"/>
    </xf>
    <xf borderId="0" fillId="8" fontId="13" numFmtId="0" xfId="0" applyAlignment="1" applyFill="1" applyFont="1">
      <alignment horizontal="left" shrinkToFit="0" vertical="center" wrapText="0"/>
    </xf>
    <xf borderId="0" fillId="0" fontId="14" numFmtId="0" xfId="0" applyAlignment="1" applyFont="1">
      <alignment horizontal="left" readingOrder="0" shrinkToFit="0" vertical="center" wrapText="0"/>
    </xf>
    <xf borderId="0" fillId="0" fontId="14" numFmtId="0" xfId="0" applyAlignment="1" applyFont="1">
      <alignment horizontal="left" shrinkToFit="0" vertical="center" wrapText="0"/>
    </xf>
    <xf borderId="0" fillId="6" fontId="13" numFmtId="0" xfId="0" applyAlignment="1" applyFont="1">
      <alignment horizontal="left" shrinkToFit="0" vertical="center" wrapText="0"/>
    </xf>
    <xf borderId="0" fillId="5" fontId="1" numFmtId="0" xfId="0" applyFont="1"/>
    <xf borderId="0" fillId="0" fontId="14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left"/>
    </xf>
    <xf borderId="0" fillId="2" fontId="0" numFmtId="0" xfId="0" applyAlignment="1" applyFont="1">
      <alignment horizontal="left" shrinkToFit="0" vertical="center" wrapText="0"/>
    </xf>
    <xf borderId="0" fillId="0" fontId="13" numFmtId="0" xfId="0" applyAlignment="1" applyFont="1">
      <alignment horizontal="right" shrinkToFit="0" vertical="center" wrapText="0"/>
    </xf>
    <xf borderId="0" fillId="0" fontId="2" numFmtId="0" xfId="0" applyFont="1"/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shrinkToFit="0" wrapText="0"/>
    </xf>
    <xf borderId="11" fillId="0" fontId="2" numFmtId="0" xfId="0" applyBorder="1" applyFont="1"/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shrinkToFit="0" wrapText="0"/>
    </xf>
    <xf borderId="4" fillId="0" fontId="2" numFmtId="0" xfId="0" applyBorder="1" applyFont="1"/>
    <xf borderId="5" fillId="0" fontId="2" numFmtId="0" xfId="0" applyBorder="1" applyFont="1"/>
    <xf borderId="13" fillId="0" fontId="2" numFmtId="0" xfId="0" applyAlignment="1" applyBorder="1" applyFont="1">
      <alignment shrinkToFit="0" wrapText="0"/>
    </xf>
    <xf borderId="12" fillId="0" fontId="2" numFmtId="0" xfId="0" applyBorder="1" applyFont="1"/>
    <xf borderId="0" fillId="0" fontId="2" numFmtId="0" xfId="0" applyAlignment="1" applyFont="1">
      <alignment horizontal="right" shrinkToFit="0" wrapText="0"/>
    </xf>
    <xf borderId="2" fillId="0" fontId="2" numFmtId="0" xfId="0" applyBorder="1" applyFont="1"/>
    <xf borderId="0" fillId="0" fontId="2" numFmtId="0" xfId="0" applyAlignment="1" applyFont="1">
      <alignment horizontal="right" shrinkToFit="0" wrapText="0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shrinkToFit="0" wrapText="0"/>
    </xf>
    <xf borderId="1" fillId="0" fontId="2" numFmtId="0" xfId="0" applyBorder="1" applyFont="1"/>
    <xf borderId="1" fillId="0" fontId="2" numFmtId="0" xfId="0" applyAlignment="1" applyBorder="1" applyFont="1">
      <alignment vertical="bottom"/>
    </xf>
    <xf borderId="10" fillId="0" fontId="2" numFmtId="0" xfId="0" applyBorder="1" applyFont="1"/>
    <xf borderId="11" fillId="0" fontId="2" numFmtId="0" xfId="0" applyAlignment="1" applyBorder="1" applyFont="1">
      <alignment readingOrder="0"/>
    </xf>
    <xf borderId="12" fillId="0" fontId="2" numFmtId="0" xfId="0" applyAlignment="1" applyBorder="1" applyFont="1">
      <alignment shrinkToFit="0" wrapText="0"/>
    </xf>
    <xf borderId="14" fillId="0" fontId="1" numFmtId="0" xfId="0" applyAlignment="1" applyBorder="1" applyFont="1">
      <alignment readingOrder="0"/>
    </xf>
    <xf borderId="6" fillId="0" fontId="2" numFmtId="0" xfId="0" applyBorder="1" applyFont="1"/>
    <xf borderId="8" fillId="0" fontId="2" numFmtId="0" xfId="0" applyBorder="1" applyFont="1"/>
    <xf borderId="3" fillId="0" fontId="2" numFmtId="0" xfId="0" applyAlignment="1" applyBorder="1" applyFont="1">
      <alignment vertical="bottom"/>
    </xf>
    <xf borderId="3" fillId="0" fontId="2" numFmtId="0" xfId="0" applyBorder="1" applyFont="1"/>
    <xf borderId="13" fillId="0" fontId="2" numFmtId="0" xfId="0" applyAlignment="1" applyBorder="1" applyFont="1">
      <alignment vertical="bottom"/>
    </xf>
    <xf borderId="13" fillId="0" fontId="2" numFmtId="0" xfId="0" applyBorder="1" applyFont="1"/>
    <xf borderId="15" fillId="0" fontId="2" numFmtId="0" xfId="0" applyAlignment="1" applyBorder="1" applyFont="1">
      <alignment shrinkToFit="0" wrapText="0"/>
    </xf>
    <xf borderId="15" fillId="0" fontId="2" numFmtId="0" xfId="0" applyBorder="1" applyFont="1"/>
    <xf borderId="9" fillId="0" fontId="2" numFmtId="0" xfId="0" applyAlignment="1" applyBorder="1" applyFont="1">
      <alignment vertical="bottom"/>
    </xf>
    <xf borderId="9" fillId="0" fontId="2" numFmtId="0" xfId="0" applyBorder="1" applyFont="1"/>
    <xf borderId="11" fillId="0" fontId="2" numFmtId="0" xfId="0" applyAlignment="1" applyBorder="1" applyFont="1">
      <alignment vertical="bottom"/>
    </xf>
    <xf borderId="15" fillId="0" fontId="2" numFmtId="0" xfId="0" applyAlignment="1" applyBorder="1" applyFont="1">
      <alignment vertical="bottom"/>
    </xf>
    <xf borderId="0" fillId="9" fontId="15" numFmtId="0" xfId="0" applyAlignment="1" applyFill="1" applyFont="1">
      <alignment readingOrder="0" shrinkToFit="0" wrapText="0"/>
    </xf>
    <xf borderId="0" fillId="9" fontId="15" numFmtId="0" xfId="0" applyAlignment="1" applyFont="1">
      <alignment horizontal="center" readingOrder="0" shrinkToFit="0" wrapText="0"/>
    </xf>
    <xf borderId="0" fillId="9" fontId="15" numFmtId="0" xfId="0" applyAlignment="1" applyFont="1">
      <alignment horizontal="center" shrinkToFit="0" wrapText="0"/>
    </xf>
    <xf borderId="0" fillId="9" fontId="15" numFmtId="0" xfId="0" applyAlignment="1" applyFont="1">
      <alignment shrinkToFit="0" wrapText="0"/>
    </xf>
    <xf borderId="0" fillId="9" fontId="15" numFmtId="166" xfId="0" applyAlignment="1" applyFont="1" applyNumberFormat="1">
      <alignment horizontal="center" shrinkToFit="0" wrapText="0"/>
    </xf>
    <xf borderId="0" fillId="9" fontId="16" numFmtId="0" xfId="0" applyFont="1"/>
    <xf borderId="0" fillId="9" fontId="17" numFmtId="0" xfId="0" applyFont="1"/>
    <xf borderId="0" fillId="9" fontId="18" numFmtId="0" xfId="0" applyAlignment="1" applyFont="1">
      <alignment readingOrder="0" shrinkToFit="0" wrapText="0"/>
    </xf>
    <xf borderId="0" fillId="9" fontId="15" numFmtId="10" xfId="0" applyAlignment="1" applyFont="1" applyNumberFormat="1">
      <alignment shrinkToFit="0" wrapText="0"/>
    </xf>
    <xf borderId="0" fillId="9" fontId="19" numFmtId="0" xfId="0" applyAlignment="1" applyFont="1">
      <alignment readingOrder="0"/>
    </xf>
    <xf borderId="0" fillId="9" fontId="18" numFmtId="0" xfId="0" applyAlignment="1" applyFont="1">
      <alignment horizontal="center" readingOrder="0" shrinkToFit="0" wrapText="0"/>
    </xf>
    <xf borderId="0" fillId="9" fontId="15" numFmtId="0" xfId="0" applyAlignment="1" applyFont="1">
      <alignment horizontal="left" readingOrder="0" shrinkToFit="0" vertical="center" wrapText="0"/>
    </xf>
    <xf borderId="0" fillId="9" fontId="19" numFmtId="0" xfId="0" applyFont="1"/>
    <xf borderId="0" fillId="9" fontId="15" numFmtId="167" xfId="0" applyAlignment="1" applyFont="1" applyNumberFormat="1">
      <alignment shrinkToFit="0" wrapText="0"/>
    </xf>
    <xf borderId="0" fillId="9" fontId="18" numFmtId="0" xfId="0" applyAlignment="1" applyFont="1">
      <alignment shrinkToFit="0" wrapText="0"/>
    </xf>
    <xf borderId="0" fillId="9" fontId="17" numFmtId="0" xfId="0" applyAlignment="1" applyFont="1">
      <alignment readingOrder="0"/>
    </xf>
    <xf borderId="0" fillId="9" fontId="15" numFmtId="10" xfId="0" applyAlignment="1" applyFont="1" applyNumberFormat="1">
      <alignment horizontal="center" shrinkToFit="0" wrapText="0"/>
    </xf>
    <xf borderId="0" fillId="9" fontId="18" numFmtId="3" xfId="0" applyAlignment="1" applyFont="1" applyNumberFormat="1">
      <alignment shrinkToFit="0" wrapText="0"/>
    </xf>
    <xf borderId="0" fillId="9" fontId="15" numFmtId="0" xfId="0" applyAlignment="1" applyFont="1">
      <alignment shrinkToFit="0" vertical="bottom" wrapText="0"/>
    </xf>
    <xf borderId="0" fillId="9" fontId="18" numFmtId="10" xfId="0" applyAlignment="1" applyFont="1" applyNumberFormat="1">
      <alignment shrinkToFit="0" wrapText="0"/>
    </xf>
    <xf borderId="0" fillId="9" fontId="15" numFmtId="0" xfId="0" applyAlignment="1" applyFont="1">
      <alignment shrinkToFit="0" vertical="bottom" wrapText="0"/>
    </xf>
    <xf borderId="0" fillId="9" fontId="15" numFmtId="0" xfId="0" applyAlignment="1" applyFont="1">
      <alignment readingOrder="0" shrinkToFit="0" vertical="bottom" wrapText="0"/>
    </xf>
    <xf borderId="0" fillId="9" fontId="15" numFmtId="0" xfId="0" applyAlignment="1" applyFont="1">
      <alignment readingOrder="0" shrinkToFit="0" vertical="bottom" wrapText="0"/>
    </xf>
    <xf borderId="0" fillId="9" fontId="20" numFmtId="0" xfId="0" applyAlignment="1" applyFont="1">
      <alignment readingOrder="0"/>
    </xf>
    <xf borderId="0" fillId="9" fontId="21" numFmtId="0" xfId="0" applyAlignment="1" applyFont="1">
      <alignment vertical="bottom"/>
    </xf>
    <xf borderId="0" fillId="9" fontId="15" numFmtId="0" xfId="0" applyAlignment="1" applyFont="1">
      <alignment horizontal="center" vertical="bottom"/>
    </xf>
    <xf borderId="0" fillId="9" fontId="15" numFmtId="0" xfId="0" applyAlignment="1" applyFont="1">
      <alignment horizontal="center" shrinkToFit="0" vertical="bottom" wrapText="0"/>
    </xf>
    <xf borderId="0" fillId="9" fontId="15" numFmtId="0" xfId="0" applyAlignment="1" applyFont="1">
      <alignment horizontal="right" shrinkToFit="0" vertical="bottom" wrapText="0"/>
    </xf>
    <xf borderId="0" fillId="9" fontId="15" numFmtId="4" xfId="0" applyAlignment="1" applyFont="1" applyNumberFormat="1">
      <alignment horizontal="center" shrinkToFit="0" vertical="bottom" wrapText="0"/>
    </xf>
    <xf borderId="0" fillId="9" fontId="18" numFmtId="0" xfId="0" applyAlignment="1" applyFont="1">
      <alignment shrinkToFit="0" vertical="bottom" wrapText="0"/>
    </xf>
    <xf borderId="0" fillId="9" fontId="22" numFmtId="0" xfId="0" applyAlignment="1" applyFont="1">
      <alignment readingOrder="0" shrinkToFit="0" wrapText="0"/>
    </xf>
    <xf borderId="0" fillId="9" fontId="22" numFmtId="0" xfId="0" applyAlignment="1" applyFont="1">
      <alignment horizontal="center" readingOrder="0" shrinkToFit="0" wrapText="0"/>
    </xf>
    <xf borderId="0" fillId="9" fontId="22" numFmtId="0" xfId="0" applyAlignment="1" applyFont="1">
      <alignment horizontal="center" shrinkToFit="0" wrapText="0"/>
    </xf>
    <xf borderId="0" fillId="9" fontId="22" numFmtId="0" xfId="0" applyAlignment="1" applyFont="1">
      <alignment shrinkToFit="0" wrapText="0"/>
    </xf>
    <xf borderId="0" fillId="9" fontId="22" numFmtId="0" xfId="0" applyAlignment="1" applyFont="1">
      <alignment horizontal="center" shrinkToFit="0" wrapText="0"/>
    </xf>
    <xf borderId="0" fillId="9" fontId="23" numFmtId="0" xfId="0" applyFont="1"/>
    <xf borderId="0" fillId="9" fontId="23" numFmtId="0" xfId="0" applyAlignment="1" applyFont="1">
      <alignment readingOrder="0"/>
    </xf>
    <xf borderId="0" fillId="9" fontId="24" numFmtId="0" xfId="0" applyAlignment="1" applyFont="1">
      <alignment readingOrder="0" shrinkToFit="0" wrapText="0"/>
    </xf>
    <xf borderId="0" fillId="9" fontId="25" numFmtId="0" xfId="0" applyAlignment="1" applyFont="1">
      <alignment readingOrder="0"/>
    </xf>
    <xf borderId="0" fillId="9" fontId="26" numFmtId="0" xfId="0" applyFont="1"/>
    <xf borderId="0" fillId="9" fontId="24" numFmtId="0" xfId="0" applyAlignment="1" applyFont="1">
      <alignment horizontal="center" readingOrder="0" shrinkToFit="0" wrapText="0"/>
    </xf>
    <xf borderId="0" fillId="9" fontId="22" numFmtId="0" xfId="0" applyAlignment="1" applyFont="1">
      <alignment horizontal="left" readingOrder="0" shrinkToFit="0" vertical="center" wrapText="0"/>
    </xf>
    <xf borderId="0" fillId="9" fontId="25" numFmtId="0" xfId="0" applyFont="1"/>
    <xf borderId="0" fillId="9" fontId="24" numFmtId="0" xfId="0" applyAlignment="1" applyFont="1">
      <alignment shrinkToFit="0" wrapText="0"/>
    </xf>
    <xf borderId="0" fillId="9" fontId="22" numFmtId="10" xfId="0" applyAlignment="1" applyFont="1" applyNumberFormat="1">
      <alignment horizontal="center" shrinkToFit="0" wrapText="0"/>
    </xf>
    <xf borderId="0" fillId="9" fontId="24" numFmtId="3" xfId="0" applyAlignment="1" applyFont="1" applyNumberFormat="1">
      <alignment shrinkToFit="0" wrapText="0"/>
    </xf>
    <xf borderId="0" fillId="9" fontId="24" numFmtId="10" xfId="0" applyAlignment="1" applyFont="1" applyNumberFormat="1">
      <alignment shrinkToFit="0" wrapText="0"/>
    </xf>
    <xf borderId="0" fillId="9" fontId="22" numFmtId="0" xfId="0" applyAlignment="1" applyFont="1">
      <alignment shrinkToFit="0" vertical="bottom" wrapText="0"/>
    </xf>
    <xf borderId="0" fillId="9" fontId="22" numFmtId="0" xfId="0" applyAlignment="1" applyFont="1">
      <alignment readingOrder="0" shrinkToFit="0" vertical="bottom" wrapText="0"/>
    </xf>
    <xf borderId="0" fillId="9" fontId="27" numFmtId="0" xfId="0" applyAlignment="1" applyFont="1">
      <alignment readingOrder="0"/>
    </xf>
    <xf borderId="0" fillId="9" fontId="24" numFmtId="0" xfId="0" applyAlignment="1" applyFont="1">
      <alignment horizontal="center" shrinkToFit="0" wrapText="0"/>
    </xf>
    <xf borderId="0" fillId="9" fontId="28" numFmtId="0" xfId="0" applyAlignment="1" applyFont="1">
      <alignment vertical="bottom"/>
    </xf>
    <xf borderId="0" fillId="9" fontId="22" numFmtId="0" xfId="0" applyAlignment="1" applyFont="1">
      <alignment horizontal="center" vertical="bottom"/>
    </xf>
    <xf borderId="0" fillId="9" fontId="22" numFmtId="0" xfId="0" applyAlignment="1" applyFont="1">
      <alignment horizontal="center" shrinkToFit="0" vertical="bottom" wrapText="0"/>
    </xf>
    <xf borderId="0" fillId="9" fontId="22" numFmtId="0" xfId="0" applyAlignment="1" applyFont="1">
      <alignment horizontal="right" shrinkToFit="0" vertical="bottom" wrapText="0"/>
    </xf>
    <xf borderId="0" fillId="9" fontId="22" numFmtId="4" xfId="0" applyAlignment="1" applyFont="1" applyNumberFormat="1">
      <alignment horizontal="center" shrinkToFit="0" vertical="bottom" wrapText="0"/>
    </xf>
    <xf borderId="0" fillId="9" fontId="24" numFmtId="0" xfId="0" applyAlignment="1" applyFont="1">
      <alignment shrinkToFit="0" vertical="bottom" wrapText="0"/>
    </xf>
    <xf borderId="0" fillId="9" fontId="22" numFmtId="0" xfId="0" applyAlignment="1" applyFont="1">
      <alignment shrinkToFit="0" vertical="bottom" wrapText="0"/>
    </xf>
    <xf borderId="0" fillId="9" fontId="22" numFmtId="0" xfId="0" applyAlignment="1" applyFont="1">
      <alignment horizontal="center" shrinkToFit="0" vertical="bottom" wrapText="0"/>
    </xf>
    <xf borderId="0" fillId="2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30" numFmtId="0" xfId="0" applyFont="1"/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13" numFmtId="0" xfId="0" applyAlignment="1" applyFont="1">
      <alignment readingOrder="0"/>
    </xf>
    <xf borderId="0" fillId="2" fontId="0" numFmtId="0" xfId="0" applyAlignment="1" applyFont="1">
      <alignment readingOrder="0"/>
    </xf>
    <xf borderId="0" fillId="10" fontId="0" numFmtId="0" xfId="0" applyAlignment="1" applyFill="1" applyFont="1">
      <alignment readingOrder="0"/>
    </xf>
    <xf borderId="0" fillId="10" fontId="3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9" xfId="0" applyAlignment="1" applyFont="1" applyNumberFormat="1">
      <alignment horizontal="left" readingOrder="0"/>
    </xf>
    <xf borderId="0" fillId="10" fontId="1" numFmtId="0" xfId="0" applyAlignment="1" applyFont="1">
      <alignment horizontal="left" readingOrder="0"/>
    </xf>
    <xf borderId="0" fillId="10" fontId="1" numFmtId="0" xfId="0" applyAlignment="1" applyFont="1">
      <alignment horizontal="center" readingOrder="0"/>
    </xf>
    <xf borderId="3" fillId="0" fontId="1" numFmtId="0" xfId="0" applyAlignment="1" applyBorder="1" applyFont="1">
      <alignment horizontal="left" readingOrder="0" shrinkToFit="0" wrapText="0"/>
    </xf>
    <xf borderId="5" fillId="0" fontId="1" numFmtId="0" xfId="0" applyAlignment="1" applyBorder="1" applyFont="1">
      <alignment horizontal="left" shrinkToFit="0" wrapText="0"/>
    </xf>
    <xf borderId="0" fillId="0" fontId="1" numFmtId="0" xfId="0" applyAlignment="1" applyFont="1">
      <alignment horizontal="left" readingOrder="0" shrinkToFit="0" wrapText="0"/>
    </xf>
    <xf borderId="9" fillId="0" fontId="1" numFmtId="0" xfId="0" applyAlignment="1" applyBorder="1" applyFont="1">
      <alignment horizontal="left" shrinkToFit="0" wrapText="0"/>
    </xf>
    <xf borderId="10" fillId="0" fontId="1" numFmtId="0" xfId="0" applyAlignment="1" applyBorder="1" applyFont="1">
      <alignment horizontal="left" shrinkToFit="0" wrapText="0"/>
    </xf>
    <xf borderId="0" fillId="0" fontId="1" numFmtId="0" xfId="0" applyAlignment="1" applyFont="1">
      <alignment horizontal="left" shrinkToFit="0" wrapText="0"/>
    </xf>
    <xf borderId="11" fillId="0" fontId="1" numFmtId="0" xfId="0" applyAlignment="1" applyBorder="1" applyFont="1">
      <alignment horizontal="left" shrinkToFit="0" wrapText="0"/>
    </xf>
    <xf borderId="3" fillId="0" fontId="1" numFmtId="0" xfId="0" applyAlignment="1" applyBorder="1" applyFont="1">
      <alignment horizontal="left" shrinkToFit="0" wrapText="0"/>
    </xf>
    <xf borderId="0" fillId="0" fontId="2" numFmtId="0" xfId="0" applyAlignment="1" applyFont="1">
      <alignment horizontal="left" shrinkToFit="0" vertical="bottom" wrapText="0"/>
    </xf>
    <xf borderId="12" fillId="0" fontId="1" numFmtId="0" xfId="0" applyAlignment="1" applyBorder="1" applyFont="1">
      <alignment horizontal="left" shrinkToFit="0" wrapText="0"/>
    </xf>
    <xf borderId="13" fillId="0" fontId="1" numFmtId="0" xfId="0" applyAlignment="1" applyBorder="1" applyFont="1">
      <alignment horizontal="left" shrinkToFit="0" wrapText="0"/>
    </xf>
    <xf borderId="2" fillId="0" fontId="1" numFmtId="0" xfId="0" applyAlignment="1" applyBorder="1" applyFont="1">
      <alignment horizontal="left" shrinkToFit="0" wrapText="0"/>
    </xf>
    <xf borderId="15" fillId="0" fontId="1" numFmtId="0" xfId="0" applyAlignment="1" applyBorder="1" applyFont="1">
      <alignment horizontal="left" shrinkToFit="0" wrapText="0"/>
    </xf>
    <xf borderId="0" fillId="11" fontId="27" numFmtId="0" xfId="0" applyAlignment="1" applyFill="1" applyFont="1">
      <alignment readingOrder="0"/>
    </xf>
    <xf borderId="0" fillId="11" fontId="23" numFmtId="168" xfId="0" applyAlignment="1" applyFont="1" applyNumberFormat="1">
      <alignment readingOrder="0"/>
    </xf>
    <xf borderId="0" fillId="11" fontId="23" numFmtId="0" xfId="0" applyAlignment="1" applyFont="1">
      <alignment readingOrder="0"/>
    </xf>
    <xf borderId="0" fillId="11" fontId="23" numFmtId="0" xfId="0" applyFont="1"/>
    <xf borderId="2" fillId="0" fontId="9" numFmtId="0" xfId="0" applyAlignment="1" applyBorder="1" applyFont="1">
      <alignment horizontal="left" readingOrder="0" shrinkToFit="0" wrapText="0"/>
    </xf>
    <xf borderId="13" fillId="0" fontId="9" numFmtId="0" xfId="0" applyAlignment="1" applyBorder="1" applyFont="1">
      <alignment horizontal="left" readingOrder="0"/>
    </xf>
    <xf borderId="0" fillId="0" fontId="9" numFmtId="0" xfId="0" applyAlignment="1" applyFont="1">
      <alignment horizontal="left" readingOrder="0"/>
    </xf>
    <xf borderId="2" fillId="0" fontId="9" numFmtId="0" xfId="0" applyAlignment="1" applyBorder="1" applyFont="1">
      <alignment horizontal="left" readingOrder="0"/>
    </xf>
    <xf borderId="13" fillId="0" fontId="9" numFmtId="0" xfId="0" applyAlignment="1" applyBorder="1" applyFont="1">
      <alignment horizontal="right" readingOrder="0"/>
    </xf>
    <xf borderId="0" fillId="0" fontId="9" numFmtId="0" xfId="0" applyAlignment="1" applyFont="1">
      <alignment horizontal="right" readingOrder="0"/>
    </xf>
    <xf borderId="2" fillId="0" fontId="9" numFmtId="0" xfId="0" applyAlignment="1" applyBorder="1" applyFont="1">
      <alignment horizontal="right" readingOrder="0"/>
    </xf>
    <xf borderId="2" fillId="0" fontId="9" numFmtId="0" xfId="0" applyAlignment="1" applyBorder="1" applyFont="1">
      <alignment horizontal="right"/>
    </xf>
    <xf borderId="13" fillId="0" fontId="9" numFmtId="0" xfId="0" applyAlignment="1" applyBorder="1" applyFont="1">
      <alignment horizontal="right"/>
    </xf>
    <xf borderId="0" fillId="0" fontId="9" numFmtId="0" xfId="0" applyAlignment="1" applyFont="1">
      <alignment horizontal="right"/>
    </xf>
    <xf borderId="13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13" fillId="0" fontId="9" numFmtId="0" xfId="0" applyAlignment="1" applyBorder="1" applyFont="1">
      <alignment horizontal="right" vertical="bottom"/>
    </xf>
    <xf borderId="0" fillId="0" fontId="9" numFmtId="0" xfId="0" applyAlignment="1" applyFont="1">
      <alignment horizontal="right" vertical="bottom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right" vertical="bottom"/>
    </xf>
    <xf borderId="13" fillId="0" fontId="3" numFmtId="0" xfId="0" applyAlignment="1" applyBorder="1" applyFont="1">
      <alignment horizontal="right" readingOrder="0" vertical="bottom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2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horizontal="right" readingOrder="0" vertical="bottom"/>
    </xf>
    <xf borderId="13" fillId="0" fontId="2" numFmtId="0" xfId="0" applyAlignment="1" applyBorder="1" applyFont="1">
      <alignment vertical="bottom"/>
    </xf>
    <xf borderId="13" fillId="0" fontId="3" numFmtId="0" xfId="0" applyAlignment="1" applyBorder="1" applyFont="1">
      <alignment vertical="bottom"/>
    </xf>
    <xf borderId="2" fillId="10" fontId="9" numFmtId="0" xfId="0" applyAlignment="1" applyBorder="1" applyFont="1">
      <alignment horizontal="left" readingOrder="0" shrinkToFit="0" wrapText="0"/>
    </xf>
    <xf borderId="13" fillId="10" fontId="9" numFmtId="0" xfId="0" applyAlignment="1" applyBorder="1" applyFont="1">
      <alignment horizontal="right" readingOrder="0"/>
    </xf>
    <xf borderId="0" fillId="10" fontId="9" numFmtId="0" xfId="0" applyAlignment="1" applyFont="1">
      <alignment horizontal="right" readingOrder="0"/>
    </xf>
    <xf borderId="2" fillId="10" fontId="9" numFmtId="0" xfId="0" applyAlignment="1" applyBorder="1" applyFont="1">
      <alignment horizontal="right" readingOrder="0"/>
    </xf>
    <xf borderId="2" fillId="10" fontId="9" numFmtId="0" xfId="0" applyAlignment="1" applyBorder="1" applyFont="1">
      <alignment horizontal="right"/>
    </xf>
    <xf borderId="13" fillId="10" fontId="9" numFmtId="0" xfId="0" applyAlignment="1" applyBorder="1" applyFont="1">
      <alignment horizontal="right"/>
    </xf>
    <xf borderId="2" fillId="0" fontId="32" numFmtId="0" xfId="0" applyAlignment="1" applyBorder="1" applyFont="1">
      <alignment horizontal="left" readingOrder="0" shrinkToFit="0" wrapText="0"/>
    </xf>
    <xf borderId="0" fillId="10" fontId="9" numFmtId="0" xfId="0" applyAlignment="1" applyFont="1">
      <alignment horizontal="right"/>
    </xf>
    <xf borderId="2" fillId="0" fontId="33" numFmtId="0" xfId="0" applyAlignment="1" applyBorder="1" applyFont="1">
      <alignment horizontal="left" readingOrder="0" shrinkToFit="0" wrapText="0"/>
    </xf>
    <xf borderId="2" fillId="10" fontId="32" numFmtId="0" xfId="0" applyAlignment="1" applyBorder="1" applyFont="1">
      <alignment horizontal="left" readingOrder="0" shrinkToFit="0" wrapText="0"/>
    </xf>
    <xf borderId="13" fillId="0" fontId="32" numFmtId="0" xfId="0" applyAlignment="1" applyBorder="1" applyFont="1">
      <alignment horizontal="right"/>
    </xf>
    <xf borderId="0" fillId="0" fontId="32" numFmtId="0" xfId="0" applyAlignment="1" applyFont="1">
      <alignment horizontal="right"/>
    </xf>
    <xf borderId="2" fillId="0" fontId="32" numFmtId="0" xfId="0" applyAlignment="1" applyBorder="1" applyFont="1">
      <alignment horizontal="right"/>
    </xf>
    <xf borderId="13" fillId="0" fontId="32" numFmtId="0" xfId="0" applyAlignment="1" applyBorder="1" applyFont="1">
      <alignment horizontal="right" readingOrder="0"/>
    </xf>
    <xf borderId="2" fillId="10" fontId="9" numFmtId="0" xfId="0" applyAlignment="1" applyBorder="1" applyFont="1">
      <alignment horizontal="left" shrinkToFit="0" wrapText="0"/>
    </xf>
    <xf borderId="2" fillId="0" fontId="3" numFmtId="0" xfId="0" applyAlignment="1" applyBorder="1" applyFont="1">
      <alignment readingOrder="0" vertical="bottom"/>
    </xf>
    <xf borderId="3" fillId="0" fontId="1" numFmtId="0" xfId="0" applyBorder="1" applyFont="1"/>
    <xf borderId="14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13" fillId="0" fontId="1" numFmtId="0" xfId="0" applyBorder="1" applyFont="1"/>
    <xf borderId="14" fillId="0" fontId="1" numFmtId="0" xfId="0" applyAlignment="1" applyBorder="1" applyFont="1">
      <alignment horizontal="left"/>
    </xf>
    <xf borderId="13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left"/>
    </xf>
    <xf borderId="13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left" readingOrder="0"/>
    </xf>
    <xf borderId="13" fillId="0" fontId="1" numFmtId="0" xfId="0" applyAlignment="1" applyBorder="1" applyFont="1">
      <alignment horizontal="left"/>
    </xf>
    <xf borderId="9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left" readingOrder="0"/>
    </xf>
    <xf borderId="13" fillId="0" fontId="13" numFmtId="0" xfId="0" applyAlignment="1" applyBorder="1" applyFont="1">
      <alignment horizontal="left" readingOrder="0" shrinkToFit="0" vertical="center" wrapText="0"/>
    </xf>
    <xf borderId="13" fillId="0" fontId="1" numFmtId="0" xfId="0" applyAlignment="1" applyBorder="1" applyFont="1">
      <alignment readingOrder="0"/>
    </xf>
    <xf borderId="9" fillId="0" fontId="13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9" fillId="0" fontId="9" numFmtId="0" xfId="0" applyAlignment="1" applyBorder="1" applyFont="1">
      <alignment horizontal="left"/>
    </xf>
    <xf borderId="1" fillId="0" fontId="1" numFmtId="19" xfId="0" applyAlignment="1" applyBorder="1" applyFont="1" applyNumberFormat="1">
      <alignment horizontal="left"/>
    </xf>
    <xf borderId="10" fillId="0" fontId="1" numFmtId="19" xfId="0" applyAlignment="1" applyBorder="1" applyFont="1" applyNumberFormat="1">
      <alignment horizontal="left"/>
    </xf>
    <xf borderId="9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0" fillId="0" fontId="9" numFmtId="0" xfId="0" applyAlignment="1" applyFont="1">
      <alignment horizontal="center" readingOrder="0" shrinkToFit="0" vertical="center" wrapText="0"/>
    </xf>
    <xf borderId="0" fillId="0" fontId="9" numFmtId="10" xfId="0" applyAlignment="1" applyFont="1" applyNumberFormat="1">
      <alignment horizontal="center" readingOrder="0" shrinkToFit="0" vertical="center" wrapText="0"/>
    </xf>
    <xf borderId="13" fillId="0" fontId="9" numFmtId="0" xfId="0" applyAlignment="1" applyBorder="1" applyFont="1">
      <alignment horizontal="center" readingOrder="0" shrinkToFit="0" vertical="center" wrapText="0"/>
    </xf>
    <xf borderId="0" fillId="0" fontId="9" numFmtId="0" xfId="0" applyAlignment="1" applyFont="1">
      <alignment horizontal="left" readingOrder="0" shrinkToFit="0" vertical="center" wrapText="1"/>
    </xf>
    <xf borderId="13" fillId="0" fontId="9" numFmtId="0" xfId="0" applyAlignment="1" applyBorder="1" applyFont="1">
      <alignment horizontal="left" readingOrder="0" shrinkToFit="0" vertical="center" wrapText="1"/>
    </xf>
    <xf borderId="2" fillId="0" fontId="9" numFmtId="0" xfId="0" applyAlignment="1" applyBorder="1" applyFont="1">
      <alignment horizontal="left" readingOrder="0" shrinkToFit="0" vertical="center" wrapText="1"/>
    </xf>
    <xf borderId="1" fillId="0" fontId="9" numFmtId="10" xfId="0" applyAlignment="1" applyBorder="1" applyFont="1" applyNumberFormat="1">
      <alignment horizontal="center"/>
    </xf>
    <xf borderId="13" fillId="0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0" fillId="0" fontId="9" numFmtId="10" xfId="0" applyAlignment="1" applyFont="1" applyNumberFormat="1">
      <alignment horizontal="center"/>
    </xf>
    <xf borderId="0" fillId="0" fontId="9" numFmtId="0" xfId="0" applyAlignment="1" applyFont="1">
      <alignment horizontal="center"/>
    </xf>
    <xf borderId="2" fillId="0" fontId="9" numFmtId="0" xfId="0" applyAlignment="1" applyBorder="1" applyFont="1">
      <alignment horizontal="center"/>
    </xf>
    <xf borderId="13" fillId="0" fontId="9" numFmtId="0" xfId="0" applyAlignment="1" applyBorder="1" applyFont="1">
      <alignment horizontal="center"/>
    </xf>
    <xf borderId="13" fillId="0" fontId="9" numFmtId="0" xfId="0" applyAlignment="1" applyBorder="1" applyFont="1">
      <alignment horizontal="left"/>
    </xf>
    <xf borderId="0" fillId="0" fontId="9" numFmtId="0" xfId="0" applyAlignment="1" applyFont="1">
      <alignment horizontal="left"/>
    </xf>
    <xf borderId="1" fillId="0" fontId="9" numFmtId="0" xfId="0" applyAlignment="1" applyBorder="1" applyFont="1">
      <alignment horizontal="left" readingOrder="0"/>
    </xf>
    <xf borderId="9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/>
    </xf>
    <xf borderId="10" fillId="0" fontId="9" numFmtId="0" xfId="0" applyAlignment="1" applyBorder="1" applyFont="1">
      <alignment horizontal="center"/>
    </xf>
    <xf borderId="10" fillId="0" fontId="9" numFmtId="0" xfId="0" applyAlignment="1" applyBorder="1" applyFont="1">
      <alignment horizontal="center" readingOrder="0"/>
    </xf>
    <xf borderId="9" fillId="0" fontId="9" numFmtId="0" xfId="0" applyAlignment="1" applyBorder="1" applyFont="1">
      <alignment horizontal="center"/>
    </xf>
    <xf borderId="9" fillId="0" fontId="9" numFmtId="0" xfId="0" applyAlignment="1" applyBorder="1" applyFont="1">
      <alignment horizontal="left"/>
    </xf>
    <xf borderId="1" fillId="0" fontId="9" numFmtId="0" xfId="0" applyAlignment="1" applyBorder="1" applyFont="1">
      <alignment horizontal="left"/>
    </xf>
    <xf borderId="0" fillId="12" fontId="9" numFmtId="0" xfId="0" applyAlignment="1" applyFill="1" applyFont="1">
      <alignment horizontal="left" readingOrder="0"/>
    </xf>
    <xf borderId="0" fillId="12" fontId="9" numFmtId="10" xfId="0" applyAlignment="1" applyFont="1" applyNumberFormat="1">
      <alignment horizontal="center"/>
    </xf>
    <xf borderId="13" fillId="12" fontId="9" numFmtId="0" xfId="0" applyAlignment="1" applyBorder="1" applyFont="1">
      <alignment horizontal="center" readingOrder="0"/>
    </xf>
    <xf borderId="0" fillId="12" fontId="9" numFmtId="0" xfId="0" applyAlignment="1" applyFont="1">
      <alignment horizontal="center" readingOrder="0"/>
    </xf>
    <xf borderId="2" fillId="12" fontId="9" numFmtId="0" xfId="0" applyAlignment="1" applyBorder="1" applyFont="1">
      <alignment horizontal="center" readingOrder="0"/>
    </xf>
    <xf borderId="13" fillId="12" fontId="9" numFmtId="0" xfId="0" applyAlignment="1" applyBorder="1" applyFont="1">
      <alignment horizontal="left" readingOrder="0"/>
    </xf>
    <xf borderId="0" fillId="0" fontId="3" numFmtId="0" xfId="0" applyAlignment="1" applyFont="1">
      <alignment vertical="bottom"/>
    </xf>
    <xf borderId="2" fillId="0" fontId="3" numFmtId="10" xfId="0" applyAlignment="1" applyBorder="1" applyFont="1" applyNumberFormat="1">
      <alignment horizontal="center" vertical="bottom"/>
    </xf>
    <xf borderId="13" fillId="0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0" fillId="2" fontId="34" numFmtId="0" xfId="0" applyAlignment="1" applyFont="1">
      <alignment readingOrder="0"/>
    </xf>
    <xf borderId="13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2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13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0" fillId="0" fontId="34" numFmtId="0" xfId="0" applyAlignment="1" applyFont="1">
      <alignment readingOrder="0"/>
    </xf>
    <xf borderId="13" fillId="12" fontId="9" numFmtId="0" xfId="0" applyAlignment="1" applyBorder="1" applyFont="1">
      <alignment horizontal="center"/>
    </xf>
    <xf borderId="0" fillId="12" fontId="9" numFmtId="0" xfId="0" applyAlignment="1" applyFont="1">
      <alignment horizontal="center"/>
    </xf>
    <xf borderId="2" fillId="12" fontId="9" numFmtId="0" xfId="0" applyAlignment="1" applyBorder="1" applyFont="1">
      <alignment horizontal="center"/>
    </xf>
    <xf borderId="0" fillId="12" fontId="34" numFmtId="0" xfId="0" applyAlignment="1" applyFont="1">
      <alignment readingOrder="0"/>
    </xf>
    <xf borderId="0" fillId="0" fontId="9" numFmtId="0" xfId="0" applyAlignment="1" applyFont="1">
      <alignment readingOrder="0"/>
    </xf>
    <xf borderId="13" fillId="0" fontId="9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0" fillId="12" fontId="9" numFmtId="0" xfId="0" applyAlignment="1" applyFont="1">
      <alignment readingOrder="0"/>
    </xf>
    <xf borderId="0" fillId="12" fontId="9" numFmtId="10" xfId="0" applyAlignment="1" applyFont="1" applyNumberFormat="1">
      <alignment horizontal="center" readingOrder="0"/>
    </xf>
    <xf borderId="0" fillId="12" fontId="9" numFmtId="169" xfId="0" applyAlignment="1" applyFont="1" applyNumberFormat="1">
      <alignment horizontal="left" readingOrder="0"/>
    </xf>
    <xf borderId="3" fillId="0" fontId="13" numFmtId="0" xfId="0" applyBorder="1" applyFont="1"/>
    <xf borderId="4" fillId="0" fontId="13" numFmtId="0" xfId="0" applyBorder="1" applyFont="1"/>
    <xf borderId="4" fillId="0" fontId="13" numFmtId="0" xfId="0" applyAlignment="1" applyBorder="1" applyFont="1">
      <alignment readingOrder="0"/>
    </xf>
    <xf borderId="11" fillId="0" fontId="13" numFmtId="0" xfId="0" applyAlignment="1" applyBorder="1" applyFont="1">
      <alignment readingOrder="0"/>
    </xf>
    <xf borderId="5" fillId="0" fontId="13" numFmtId="0" xfId="0" applyAlignment="1" applyBorder="1" applyFont="1">
      <alignment readingOrder="0"/>
    </xf>
    <xf borderId="0" fillId="0" fontId="13" numFmtId="0" xfId="0" applyFont="1"/>
    <xf borderId="13" fillId="0" fontId="13" numFmtId="0" xfId="0" applyAlignment="1" applyBorder="1" applyFont="1">
      <alignment horizontal="center" shrinkToFit="0" vertical="center" wrapText="0"/>
    </xf>
    <xf borderId="12" fillId="0" fontId="13" numFmtId="0" xfId="0" applyBorder="1" applyFont="1"/>
    <xf borderId="2" fillId="0" fontId="13" numFmtId="0" xfId="0" applyBorder="1" applyFont="1"/>
    <xf borderId="0" fillId="0" fontId="13" numFmtId="0" xfId="0" applyAlignment="1" applyFont="1">
      <alignment readingOrder="0"/>
    </xf>
    <xf borderId="13" fillId="0" fontId="0" numFmtId="0" xfId="0" applyAlignment="1" applyBorder="1" applyFont="1">
      <alignment horizontal="center" shrinkToFit="0" vertical="center" wrapText="0"/>
    </xf>
    <xf borderId="9" fillId="0" fontId="13" numFmtId="0" xfId="0" applyAlignment="1" applyBorder="1" applyFont="1">
      <alignment horizontal="center" shrinkToFit="0" vertical="center" wrapText="0"/>
    </xf>
    <xf borderId="1" fillId="0" fontId="13" numFmtId="0" xfId="0" applyAlignment="1" applyBorder="1" applyFont="1">
      <alignment horizontal="left" readingOrder="0" shrinkToFit="0" vertical="center" wrapText="0"/>
    </xf>
    <xf borderId="1" fillId="0" fontId="13" numFmtId="0" xfId="0" applyBorder="1" applyFont="1"/>
    <xf borderId="15" fillId="0" fontId="13" numFmtId="0" xfId="0" applyBorder="1" applyFont="1"/>
    <xf borderId="10" fillId="0" fontId="13" numFmtId="0" xfId="0" applyBorder="1" applyFont="1"/>
    <xf borderId="0" fillId="0" fontId="1" numFmtId="170" xfId="0" applyFont="1" applyNumberFormat="1"/>
    <xf borderId="0" fillId="0" fontId="2" numFmtId="170" xfId="0" applyAlignment="1" applyFont="1" applyNumberFormat="1">
      <alignment vertical="bottom"/>
    </xf>
    <xf borderId="0" fillId="0" fontId="2" numFmtId="170" xfId="0" applyAlignment="1" applyFont="1" applyNumberFormat="1">
      <alignment horizontal="right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shrinkToFit="0" wrapText="0"/>
    </xf>
    <xf borderId="0" fillId="0" fontId="30" numFmtId="0" xfId="0" applyAlignment="1" applyFont="1">
      <alignment readingOrder="0" shrinkToFit="0" wrapText="0"/>
    </xf>
    <xf borderId="0" fillId="0" fontId="30" numFmtId="170" xfId="0" applyFont="1" applyNumberFormat="1"/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1" fillId="0" fontId="30" numFmtId="0" xfId="0" applyAlignment="1" applyBorder="1" applyFont="1">
      <alignment horizontal="center" readingOrder="0" shrinkToFit="0" wrapText="0"/>
    </xf>
    <xf borderId="0" fillId="0" fontId="30" numFmtId="0" xfId="0" applyAlignment="1" applyFont="1">
      <alignment horizontal="center" readingOrder="0" shrinkToFit="0" wrapText="0"/>
    </xf>
    <xf borderId="2" fillId="0" fontId="1" numFmtId="0" xfId="0" applyAlignment="1" applyBorder="1" applyFont="1">
      <alignment readingOrder="0" shrinkToFit="0" wrapText="0"/>
    </xf>
    <xf borderId="0" fillId="0" fontId="1" numFmtId="3" xfId="0" applyAlignment="1" applyFont="1" applyNumberFormat="1">
      <alignment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171" xfId="0" applyAlignment="1" applyFont="1" applyNumberFormat="1">
      <alignment horizontal="right" readingOrder="0" shrinkToFit="0" wrapText="0"/>
    </xf>
    <xf borderId="0" fillId="0" fontId="1" numFmtId="3" xfId="0" applyAlignment="1" applyFont="1" applyNumberFormat="1">
      <alignment horizontal="right" readingOrder="0" shrinkToFit="0" wrapText="0"/>
    </xf>
    <xf borderId="14" fillId="0" fontId="30" numFmtId="0" xfId="0" applyAlignment="1" applyBorder="1" applyFont="1">
      <alignment readingOrder="0" shrinkToFit="0" wrapText="0"/>
    </xf>
    <xf borderId="7" fillId="0" fontId="30" numFmtId="0" xfId="0" applyAlignment="1" applyBorder="1" applyFont="1">
      <alignment readingOrder="0" shrinkToFit="0" wrapText="0"/>
    </xf>
    <xf borderId="7" fillId="0" fontId="30" numFmtId="0" xfId="0" applyAlignment="1" applyBorder="1" applyFont="1">
      <alignment shrinkToFit="0" wrapText="0"/>
    </xf>
    <xf borderId="6" fillId="0" fontId="30" numFmtId="3" xfId="0" applyAlignment="1" applyBorder="1" applyFont="1" applyNumberFormat="1">
      <alignment readingOrder="0" shrinkToFit="0" wrapText="0"/>
    </xf>
    <xf borderId="14" fillId="0" fontId="30" numFmtId="3" xfId="0" applyAlignment="1" applyBorder="1" applyFont="1" applyNumberFormat="1">
      <alignment shrinkToFit="0" wrapText="0"/>
    </xf>
    <xf borderId="0" fillId="0" fontId="30" numFmtId="3" xfId="0" applyAlignment="1" applyFont="1" applyNumberFormat="1">
      <alignment shrinkToFit="0" wrapText="0"/>
    </xf>
    <xf borderId="12" fillId="0" fontId="1" numFmtId="0" xfId="0" applyAlignment="1" applyBorder="1" applyFont="1">
      <alignment readingOrder="0" shrinkToFit="0" wrapText="0"/>
    </xf>
    <xf borderId="0" fillId="4" fontId="1" numFmtId="0" xfId="0" applyAlignment="1" applyFont="1">
      <alignment horizontal="center" readingOrder="0" shrinkToFit="0" wrapText="0"/>
    </xf>
    <xf borderId="12" fillId="0" fontId="1" numFmtId="3" xfId="0" applyAlignment="1" applyBorder="1" applyFont="1" applyNumberFormat="1">
      <alignment shrinkToFit="0" wrapText="0"/>
    </xf>
    <xf borderId="2" fillId="0" fontId="1" numFmtId="3" xfId="0" applyAlignment="1" applyBorder="1" applyFont="1" applyNumberFormat="1">
      <alignment shrinkToFit="0" wrapText="0"/>
    </xf>
    <xf borderId="15" fillId="0" fontId="1" numFmtId="0" xfId="0" applyAlignment="1" applyBorder="1" applyFont="1">
      <alignment readingOrder="0" shrinkToFit="0" wrapText="0"/>
    </xf>
    <xf borderId="1" fillId="4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shrinkToFit="0" wrapText="0"/>
    </xf>
    <xf borderId="15" fillId="0" fontId="1" numFmtId="3" xfId="0" applyAlignment="1" applyBorder="1" applyFont="1" applyNumberFormat="1">
      <alignment shrinkToFit="0" wrapText="0"/>
    </xf>
    <xf borderId="10" fillId="0" fontId="1" numFmtId="3" xfId="0" applyAlignment="1" applyBorder="1" applyFont="1" applyNumberFormat="1">
      <alignment shrinkToFit="0" wrapText="0"/>
    </xf>
    <xf borderId="0" fillId="13" fontId="1" numFmtId="0" xfId="0" applyAlignment="1" applyFill="1" applyFont="1">
      <alignment readingOrder="0"/>
    </xf>
    <xf borderId="0" fillId="13" fontId="1" numFmtId="0" xfId="0" applyAlignment="1" applyFont="1">
      <alignment horizontal="center" readingOrder="0"/>
    </xf>
    <xf borderId="0" fillId="13" fontId="1" numFmtId="0" xfId="0" applyAlignment="1" applyFont="1">
      <alignment horizontal="right"/>
    </xf>
    <xf borderId="0" fillId="13" fontId="1" numFmtId="0" xfId="0" applyFont="1"/>
    <xf borderId="11" fillId="13" fontId="1" numFmtId="0" xfId="0" applyAlignment="1" applyBorder="1" applyFont="1">
      <alignment horizontal="center" readingOrder="0"/>
    </xf>
    <xf borderId="11" fillId="13" fontId="1" numFmtId="0" xfId="0" applyAlignment="1" applyBorder="1" applyFont="1">
      <alignment readingOrder="0"/>
    </xf>
    <xf borderId="12" fillId="13" fontId="1" numFmtId="0" xfId="0" applyAlignment="1" applyBorder="1" applyFont="1">
      <alignment readingOrder="0"/>
    </xf>
    <xf borderId="12" fillId="13" fontId="1" numFmtId="0" xfId="0" applyBorder="1" applyFont="1"/>
    <xf borderId="15" fillId="13" fontId="1" numFmtId="0" xfId="0" applyAlignment="1" applyBorder="1" applyFont="1">
      <alignment readingOrder="0"/>
    </xf>
    <xf borderId="15" fillId="13" fontId="1" numFmtId="0" xfId="0" applyBorder="1" applyFont="1"/>
    <xf borderId="14" fillId="13" fontId="1" numFmtId="0" xfId="0" applyBorder="1" applyFont="1"/>
    <xf borderId="6" fillId="13" fontId="1" numFmtId="0" xfId="0" applyBorder="1" applyFont="1"/>
    <xf borderId="8" fillId="13" fontId="1" numFmtId="0" xfId="0" applyBorder="1" applyFont="1"/>
    <xf borderId="7" fillId="13" fontId="1" numFmtId="0" xfId="0" applyAlignment="1" applyBorder="1" applyFont="1">
      <alignment horizontal="right"/>
    </xf>
    <xf borderId="7" fillId="13" fontId="1" numFmtId="0" xfId="0" applyBorder="1" applyFont="1"/>
    <xf borderId="13" fillId="13" fontId="1" numFmtId="0" xfId="0" applyBorder="1" applyFont="1"/>
    <xf borderId="2" fillId="13" fontId="1" numFmtId="0" xfId="0" applyBorder="1" applyFont="1"/>
    <xf borderId="9" fillId="13" fontId="1" numFmtId="0" xfId="0" applyBorder="1" applyFont="1"/>
    <xf borderId="10" fillId="13" fontId="1" numFmtId="0" xfId="0" applyBorder="1" applyFont="1"/>
    <xf borderId="0" fillId="13" fontId="30" numFmtId="0" xfId="0" applyFont="1"/>
    <xf borderId="6" fillId="13" fontId="30" numFmtId="0" xfId="0" applyBorder="1" applyFont="1"/>
    <xf borderId="8" fillId="13" fontId="30" numFmtId="0" xfId="0" applyBorder="1" applyFont="1"/>
    <xf borderId="7" fillId="13" fontId="30" numFmtId="0" xfId="0" applyAlignment="1" applyBorder="1" applyFont="1">
      <alignment horizontal="right"/>
    </xf>
    <xf borderId="7" fillId="13" fontId="30" numFmtId="0" xfId="0" applyBorder="1" applyFont="1"/>
    <xf borderId="14" fillId="13" fontId="30" numFmtId="0" xfId="0" applyBorder="1" applyFont="1"/>
    <xf borderId="0" fillId="13" fontId="1" numFmtId="0" xfId="0" applyAlignment="1" applyFont="1">
      <alignment horizontal="right" readingOrder="0"/>
    </xf>
    <xf borderId="0" fillId="13" fontId="30" numFmtId="0" xfId="0" applyAlignment="1" applyFont="1">
      <alignment readingOrder="0"/>
    </xf>
    <xf borderId="0" fillId="13" fontId="30" numFmtId="0" xfId="0" applyAlignment="1" applyFont="1">
      <alignment horizontal="right"/>
    </xf>
    <xf borderId="0" fillId="13" fontId="2" numFmtId="0" xfId="0" applyAlignment="1" applyFont="1">
      <alignment vertical="bottom"/>
    </xf>
    <xf borderId="0" fillId="13" fontId="2" numFmtId="0" xfId="0" applyAlignment="1" applyFont="1">
      <alignment vertical="bottom"/>
    </xf>
    <xf borderId="0" fillId="14" fontId="35" numFmtId="0" xfId="0" applyAlignment="1" applyFill="1" applyFont="1">
      <alignment readingOrder="0"/>
    </xf>
    <xf borderId="0" fillId="14" fontId="36" numFmtId="0" xfId="0" applyAlignment="1" applyFont="1">
      <alignment readingOrder="0"/>
    </xf>
    <xf borderId="0" fillId="14" fontId="36" numFmtId="0" xfId="0" applyFont="1"/>
    <xf borderId="0" fillId="14" fontId="1" numFmtId="0" xfId="0" applyFont="1"/>
    <xf borderId="0" fillId="14" fontId="36" numFmtId="10" xfId="0" applyAlignment="1" applyFont="1" applyNumberFormat="1">
      <alignment readingOrder="0"/>
    </xf>
    <xf borderId="0" fillId="14" fontId="36" numFmtId="10" xfId="0" applyFont="1" applyNumberFormat="1"/>
    <xf borderId="0" fillId="0" fontId="32" numFmtId="0" xfId="0" applyAlignment="1" applyFont="1">
      <alignment readingOrder="0"/>
    </xf>
    <xf borderId="0" fillId="0" fontId="9" numFmtId="0" xfId="0" applyFont="1"/>
    <xf borderId="0" fillId="2" fontId="12" numFmtId="0" xfId="0" applyFont="1"/>
  </cellXfs>
  <cellStyles count="1">
    <cellStyle xfId="0" name="Normal" builtinId="0"/>
  </cellStyles>
  <dxfs count="9">
    <dxf>
      <font>
        <b/>
        <color rgb="FFFFFFFF"/>
      </font>
      <fill>
        <patternFill patternType="solid">
          <fgColor rgb="FF2F3136"/>
          <bgColor rgb="FF2F3136"/>
        </patternFill>
      </fill>
      <border/>
    </dxf>
    <dxf>
      <font>
        <b/>
      </font>
      <fill>
        <patternFill patternType="none"/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FFFFFF"/>
      </font>
      <fill>
        <patternFill patternType="solid">
          <fgColor rgb="FF393C43"/>
          <bgColor rgb="FF393C43"/>
        </patternFill>
      </fill>
      <border/>
    </dxf>
    <dxf>
      <font>
        <color rgb="FFFFFFFF"/>
      </font>
      <fill>
        <patternFill patternType="solid">
          <fgColor rgb="FF2F3136"/>
          <bgColor rgb="FF2F3136"/>
        </patternFill>
      </fill>
      <border/>
    </dxf>
    <dxf>
      <font>
        <color rgb="FFFFFFFF"/>
      </font>
      <fill>
        <patternFill patternType="solid">
          <fgColor rgb="FF202225"/>
          <bgColor rgb="FF202225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services.runescape.com/m=hiscore_oldschool/hiscorepersonal.ws?user1=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5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6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7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8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9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10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11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12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22.xml"/><Relationship Id="rId3" Type="http://schemas.openxmlformats.org/officeDocument/2006/relationships/vmlDrawing" Target="../drawings/vmlDrawing13.v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23.xml"/><Relationship Id="rId3" Type="http://schemas.openxmlformats.org/officeDocument/2006/relationships/vmlDrawing" Target="../drawings/vmlDrawing14.v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15.v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25.xml"/><Relationship Id="rId3" Type="http://schemas.openxmlformats.org/officeDocument/2006/relationships/vmlDrawing" Target="../drawings/vmlDrawing16.v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drawing" Target="../drawings/drawing26.xml"/><Relationship Id="rId3" Type="http://schemas.openxmlformats.org/officeDocument/2006/relationships/vmlDrawing" Target="../drawings/vmlDrawing17.v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drawing" Target="../drawings/drawing27.xml"/><Relationship Id="rId3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tr">
        <f>Input!E19</f>
        <v>Harmonised nightmare staff</v>
      </c>
      <c r="C1" s="2"/>
      <c r="D1" s="3"/>
      <c r="E1" s="3"/>
      <c r="F1" s="2"/>
    </row>
    <row r="2">
      <c r="A2" s="4" t="s">
        <v>1</v>
      </c>
      <c r="B2" s="2">
        <f>Input!T10</f>
        <v>2000</v>
      </c>
      <c r="C2" s="2"/>
      <c r="D2" s="2"/>
      <c r="E2" s="2"/>
      <c r="F2" s="2"/>
    </row>
    <row r="3">
      <c r="A3" s="4" t="s">
        <v>2</v>
      </c>
      <c r="B3" s="3">
        <f>Input!M9</f>
        <v>49</v>
      </c>
      <c r="C3" s="2"/>
      <c r="D3" s="2"/>
      <c r="E3" s="3"/>
      <c r="F3" s="2"/>
    </row>
    <row r="4">
      <c r="A4" s="5" t="s">
        <v>3</v>
      </c>
      <c r="B4" s="6">
        <f>Input!M11</f>
        <v>0.2005544926</v>
      </c>
      <c r="C4" s="2"/>
      <c r="D4" s="2"/>
      <c r="E4" s="3"/>
      <c r="F4" s="2"/>
    </row>
    <row r="5">
      <c r="A5" s="1" t="s">
        <v>4</v>
      </c>
      <c r="B5" t="str">
        <f>Input!AC16</f>
        <v>3x3</v>
      </c>
      <c r="C5" s="7"/>
      <c r="D5" s="2"/>
      <c r="E5" s="2"/>
      <c r="F5" s="2"/>
    </row>
    <row r="6">
      <c r="C6" s="7"/>
      <c r="D6" s="2"/>
      <c r="E6" s="2"/>
      <c r="F6" s="8"/>
    </row>
    <row r="7">
      <c r="A7" s="2"/>
      <c r="B7" s="2"/>
      <c r="C7" s="7"/>
      <c r="D7" s="2"/>
      <c r="E7" s="2" t="s">
        <v>5</v>
      </c>
      <c r="F7" s="9">
        <f>Input!M9</f>
        <v>49</v>
      </c>
    </row>
    <row r="8">
      <c r="A8" s="2"/>
      <c r="B8" s="2"/>
      <c r="C8" s="7"/>
      <c r="D8" s="2"/>
      <c r="E8" s="2" t="s">
        <v>6</v>
      </c>
      <c r="F8" s="3">
        <f>Input!T10</f>
        <v>2000</v>
      </c>
    </row>
    <row r="9">
      <c r="A9" s="2"/>
      <c r="B9" s="2"/>
      <c r="C9" s="7"/>
      <c r="D9" s="2"/>
      <c r="E9" s="2"/>
      <c r="F9" s="2"/>
    </row>
    <row r="10">
      <c r="A10" s="2"/>
      <c r="B10" s="2"/>
      <c r="C10" s="7"/>
      <c r="D10" s="2"/>
      <c r="E10" s="2" t="s">
        <v>7</v>
      </c>
      <c r="F10" s="3">
        <f>if(B1="Scythe of Vitur",ttk(scythedist(B3,B4,B5),B2),expttk(B2,B3,B4))</f>
        <v>410.2910547</v>
      </c>
    </row>
    <row r="11">
      <c r="A11" s="2"/>
      <c r="B11" s="2"/>
      <c r="C11" s="7"/>
      <c r="D11" s="2"/>
      <c r="E11" s="10" t="s">
        <v>8</v>
      </c>
      <c r="F11" s="5">
        <f>'Dps p1'!C134</f>
        <v>2.4</v>
      </c>
    </row>
    <row r="12">
      <c r="A12" s="2"/>
      <c r="B12" s="2"/>
      <c r="C12" s="7"/>
      <c r="D12" s="2"/>
      <c r="E12" s="4" t="s">
        <v>9</v>
      </c>
      <c r="F12" s="11">
        <f>F11*F10</f>
        <v>984.6985314</v>
      </c>
    </row>
    <row r="13">
      <c r="A13" s="2"/>
      <c r="B13" s="2"/>
      <c r="C13" s="7"/>
      <c r="D13" s="2"/>
      <c r="E13" s="2" t="s">
        <v>10</v>
      </c>
      <c r="F13" s="3">
        <f>F8/F12</f>
        <v>2.031078484</v>
      </c>
    </row>
    <row r="14">
      <c r="A14" s="2"/>
      <c r="B14" s="2"/>
      <c r="C14" s="7"/>
      <c r="D14" s="2"/>
    </row>
    <row r="15">
      <c r="A15" s="2"/>
      <c r="B15" s="2"/>
      <c r="C15" s="7"/>
      <c r="D15" s="2"/>
      <c r="E15" s="2"/>
      <c r="F15" s="12"/>
    </row>
    <row r="16">
      <c r="F16" s="13"/>
    </row>
    <row r="17">
      <c r="F17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tr">
        <f>Input!M19</f>
        <v/>
      </c>
      <c r="C1" s="2"/>
      <c r="D1" s="3"/>
      <c r="E1" s="3"/>
      <c r="F1" s="2"/>
    </row>
    <row r="2">
      <c r="A2" s="4" t="s">
        <v>1</v>
      </c>
      <c r="B2" s="2">
        <f>Input!T10</f>
        <v>2000</v>
      </c>
      <c r="C2" s="2"/>
      <c r="D2" s="2"/>
      <c r="E2" s="2"/>
      <c r="F2" s="2"/>
    </row>
    <row r="3">
      <c r="A3" s="4" t="s">
        <v>2</v>
      </c>
      <c r="B3" s="3">
        <f>Input!N9</f>
        <v>7</v>
      </c>
      <c r="C3" s="2"/>
      <c r="D3" s="2"/>
      <c r="E3" s="3"/>
      <c r="F3" s="2"/>
    </row>
    <row r="4">
      <c r="A4" s="5" t="s">
        <v>3</v>
      </c>
      <c r="B4" s="6">
        <f>Input!N11</f>
        <v>0.0911367242</v>
      </c>
      <c r="C4" s="2"/>
      <c r="D4" s="2"/>
      <c r="E4" s="3"/>
      <c r="F4" s="2"/>
    </row>
    <row r="5">
      <c r="A5" s="1" t="s">
        <v>4</v>
      </c>
      <c r="B5" t="str">
        <f>Input!AC16</f>
        <v>3x3</v>
      </c>
      <c r="C5" s="7"/>
      <c r="D5" s="2"/>
      <c r="E5" s="2"/>
      <c r="F5" s="2"/>
    </row>
    <row r="6">
      <c r="C6" s="7"/>
      <c r="D6" s="2"/>
      <c r="E6" s="2"/>
      <c r="F6" s="8"/>
    </row>
    <row r="7">
      <c r="A7" s="2"/>
      <c r="B7" s="2"/>
      <c r="C7" s="7"/>
      <c r="D7" s="2"/>
      <c r="E7" s="2"/>
      <c r="F7" s="9"/>
    </row>
    <row r="8">
      <c r="A8" s="2"/>
      <c r="B8" s="2"/>
      <c r="C8" s="7"/>
      <c r="D8" s="2"/>
      <c r="E8" s="2" t="s">
        <v>6</v>
      </c>
      <c r="F8" s="3">
        <f>Input!T10</f>
        <v>2000</v>
      </c>
    </row>
    <row r="9">
      <c r="A9" s="2"/>
      <c r="B9" s="2"/>
      <c r="C9" s="7"/>
      <c r="D9" s="2"/>
      <c r="E9" s="2"/>
      <c r="F9" s="2"/>
    </row>
    <row r="10">
      <c r="A10" s="2"/>
      <c r="B10" s="2"/>
      <c r="C10" s="7"/>
      <c r="D10" s="2"/>
      <c r="E10" s="2" t="s">
        <v>7</v>
      </c>
      <c r="F10" s="3">
        <f>if(B1="Scythe of Vitur",ttk(scythedist(B3,B4,B5),B2),expttk(B2,B3,B4))</f>
        <v>6276.284396</v>
      </c>
    </row>
    <row r="11">
      <c r="A11" s="2"/>
      <c r="B11" s="2"/>
      <c r="C11" s="7"/>
      <c r="D11" s="2"/>
      <c r="E11" s="10" t="s">
        <v>8</v>
      </c>
      <c r="F11" s="5">
        <f>'Dps p2'!C134</f>
        <v>2.4</v>
      </c>
    </row>
    <row r="12">
      <c r="A12" s="2"/>
      <c r="B12" s="2"/>
      <c r="C12" s="7"/>
      <c r="D12" s="2"/>
      <c r="E12" s="4" t="s">
        <v>9</v>
      </c>
      <c r="F12" s="11">
        <f>F11*F10</f>
        <v>15063.08255</v>
      </c>
    </row>
    <row r="13">
      <c r="A13" s="2"/>
      <c r="B13" s="2"/>
      <c r="C13" s="7"/>
      <c r="D13" s="2"/>
      <c r="E13" s="2" t="s">
        <v>10</v>
      </c>
      <c r="F13" s="3">
        <f>F8/F12</f>
        <v>0.1327749478</v>
      </c>
    </row>
    <row r="14">
      <c r="A14" s="2"/>
      <c r="B14" s="2"/>
      <c r="C14" s="7"/>
      <c r="D14" s="2"/>
    </row>
    <row r="15">
      <c r="A15" s="2"/>
      <c r="B15" s="2"/>
      <c r="C15" s="7"/>
      <c r="D15" s="2"/>
      <c r="E15" s="2"/>
      <c r="F15" s="12"/>
    </row>
    <row r="16">
      <c r="F16" s="13"/>
    </row>
    <row r="17">
      <c r="F17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0"/>
    <col customWidth="1" min="2" max="2" width="3.71"/>
    <col customWidth="1" min="3" max="3" width="11.57"/>
    <col customWidth="1" hidden="1" min="4" max="4" width="2.29"/>
    <col customWidth="1" min="7" max="7" width="8.0"/>
    <col customWidth="1" min="8" max="8" width="7.29"/>
    <col customWidth="1" min="9" max="9" width="3.0"/>
    <col customWidth="1" min="10" max="10" width="3.71"/>
    <col customWidth="1" min="11" max="11" width="11.57"/>
    <col customWidth="1" hidden="1" min="12" max="12" width="2.29"/>
    <col customWidth="1" min="15" max="16" width="7.29"/>
    <col customWidth="1" min="17" max="18" width="3.71"/>
    <col customWidth="1" hidden="1" min="19" max="19" width="3.71"/>
    <col customWidth="1" min="20" max="26" width="3.71"/>
    <col customWidth="1" hidden="1" min="27" max="27" width="3.71"/>
    <col customWidth="1" min="28" max="33" width="3.71"/>
    <col customWidth="1" min="34" max="34" width="4.0"/>
    <col customWidth="1" min="35" max="52" width="3.71"/>
  </cols>
  <sheetData>
    <row r="1" ht="7.5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>
      <c r="A2" s="14"/>
      <c r="B2" s="15" t="s">
        <v>11</v>
      </c>
      <c r="C2" s="16"/>
      <c r="D2" s="16"/>
      <c r="E2" s="16"/>
      <c r="F2" s="16"/>
      <c r="G2" s="16"/>
      <c r="H2" s="17"/>
      <c r="I2" s="14"/>
      <c r="J2" s="18" t="str">
        <f>"Current version last updated: "&amp;'Sheet 1'!M2&amp;" day"&amp;if('Sheet 1'!M2=1,"","s")&amp;" ago"</f>
        <v>Current version last updated: 39 days ago</v>
      </c>
      <c r="K2" s="16"/>
      <c r="L2" s="16"/>
      <c r="M2" s="16"/>
      <c r="N2" s="16"/>
      <c r="O2" s="19" t="str">
        <f>HYPERLINK("https://docs.google.com/spreadsheets/d/1wBXIlvAmqoQpu5u9XBfD4B0PW7D8owyO_CnRDiTHBKQ","Link to online version")</f>
        <v>Link to online version</v>
      </c>
      <c r="P2" s="17"/>
      <c r="Q2" s="14"/>
      <c r="R2" s="20" t="str">
        <f>HYPERLINK("http://services.runescape.com/m=forum/forums.ws?317,318,712,65587452","Runescape Forums")</f>
        <v>Runescape Forums</v>
      </c>
      <c r="S2" s="16"/>
      <c r="T2" s="16"/>
      <c r="U2" s="16"/>
      <c r="V2" s="16"/>
      <c r="W2" s="16"/>
      <c r="X2" s="16"/>
      <c r="Y2" s="16"/>
      <c r="Z2" s="17"/>
      <c r="AA2" s="14"/>
      <c r="AB2" s="14"/>
      <c r="AC2" s="21" t="s">
        <v>12</v>
      </c>
      <c r="AD2" s="22"/>
      <c r="AE2" s="22"/>
      <c r="AF2" s="22"/>
      <c r="AG2" s="2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>
      <c r="A3" s="14"/>
      <c r="B3" s="24" t="s">
        <v>13</v>
      </c>
      <c r="C3" s="25"/>
      <c r="D3" s="25"/>
      <c r="E3" s="25"/>
      <c r="F3" s="25"/>
      <c r="G3" s="25"/>
      <c r="H3" s="26"/>
      <c r="I3" s="14"/>
      <c r="J3" s="27" t="str">
        <f>IFERROR(__xludf.DUMMYFUNCTION("""Online version last updated: ""&amp;importrange(""https://docs.google.com/spreadsheets/d/1wBXIlvAmqoQpu5u9XBfD4B0PW7D8owyO_CnRDiTHBKQ"",""'Sheet 1'!M2"")&amp;"" day""&amp;if(importrange(""https://docs.google.com/spreadsheets/d/1wBXIlvAmqoQpu5u9XBfD4B0PW7D8owyO_CnRD"&amp;"iTHBKQ"",""'Sheet 1'!M2"")=1,"""",""s"")&amp;"" ago"""),"Online version last updated: 39 days ago")</f>
        <v>Online version last updated: 39 days ago</v>
      </c>
      <c r="K3" s="25"/>
      <c r="L3" s="25"/>
      <c r="M3" s="25"/>
      <c r="N3" s="25"/>
      <c r="O3" s="25"/>
      <c r="P3" s="26"/>
      <c r="Q3" s="14"/>
      <c r="R3" s="28" t="str">
        <f>HYPERLINK("https://twitter.com/bitterkoekjers","Twitter: @BitterkoekjeRS")</f>
        <v>Twitter: @BitterkoekjeRS</v>
      </c>
      <c r="S3" s="25"/>
      <c r="T3" s="25"/>
      <c r="U3" s="25"/>
      <c r="V3" s="25"/>
      <c r="W3" s="25"/>
      <c r="X3" s="25"/>
      <c r="Y3" s="25"/>
      <c r="Z3" s="26"/>
      <c r="AA3" s="14"/>
      <c r="AB3" s="14"/>
      <c r="AC3" s="29" t="b">
        <v>1</v>
      </c>
      <c r="AD3" s="25"/>
      <c r="AE3" s="25"/>
      <c r="AF3" s="25"/>
      <c r="AG3" s="26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>
      <c r="A5" s="14"/>
      <c r="B5" s="30" t="str">
        <f>IMAGE("http://www.runescape.com/img/rsp777/title2/hiscore.gif")</f>
        <v/>
      </c>
      <c r="C5" s="31" t="s">
        <v>14</v>
      </c>
      <c r="D5" s="31"/>
      <c r="E5" s="32"/>
      <c r="F5" s="22"/>
      <c r="G5" s="33" t="str">
        <f>'Sheet 1'!C2</f>
        <v>Level: 126.1</v>
      </c>
      <c r="H5" s="23"/>
      <c r="I5" s="14"/>
      <c r="J5" s="34" t="s">
        <v>15</v>
      </c>
      <c r="K5" s="16"/>
      <c r="L5" s="16"/>
      <c r="M5" s="16"/>
      <c r="N5" s="17"/>
      <c r="O5" s="18" t="str">
        <f>'Sheet 1'!F75</f>
        <v>Level: 785</v>
      </c>
      <c r="P5" s="17"/>
      <c r="Q5" s="14"/>
      <c r="R5" s="35" t="str">
        <f t="array" ref="R5:R10">'Sheet 1'!C87:C92</f>
        <v/>
      </c>
      <c r="S5" s="14" t="str">
        <f t="array" ref="S5:T5">'Sheet 1'!D87:E87</f>
        <v/>
      </c>
      <c r="T5" s="36">
        <v>320.0</v>
      </c>
      <c r="U5" s="17"/>
      <c r="V5" s="37" t="str">
        <f t="array" ref="V5:V10">'Sheet 1'!G87:G92</f>
        <v>320/320</v>
      </c>
      <c r="W5" s="16"/>
      <c r="X5" s="17"/>
      <c r="Y5" s="14"/>
      <c r="Z5" s="35" t="str">
        <f t="array" ref="Z5:Z9">'Sheet 1'!I87:I91</f>
        <v/>
      </c>
      <c r="AA5" s="14" t="str">
        <f t="array" ref="AA5:AB5">'Sheet 1'!J87:K87</f>
        <v/>
      </c>
      <c r="AB5" s="36">
        <v>25.0</v>
      </c>
      <c r="AC5" s="17"/>
      <c r="AD5" s="14"/>
      <c r="AE5" s="14"/>
      <c r="AF5" s="14"/>
      <c r="AG5" s="14"/>
      <c r="AH5" s="14"/>
      <c r="AI5" s="14"/>
      <c r="AJ5" s="33" t="str">
        <f>G7</f>
        <v/>
      </c>
      <c r="AK5" s="38" t="s">
        <v>16</v>
      </c>
      <c r="AL5" s="22"/>
      <c r="AM5" s="22"/>
      <c r="AN5" s="22"/>
      <c r="AO5" s="22"/>
      <c r="AP5" s="22"/>
      <c r="AQ5" s="22"/>
      <c r="AR5" s="22"/>
      <c r="AS5" s="23"/>
      <c r="AT5" s="14"/>
      <c r="AU5" s="14"/>
      <c r="AV5" s="14"/>
      <c r="AW5" s="14"/>
      <c r="AX5" s="14"/>
      <c r="AY5" s="14"/>
      <c r="AZ5" s="14"/>
    </row>
    <row r="6">
      <c r="A6" s="14"/>
      <c r="B6" s="14"/>
      <c r="C6" s="14"/>
      <c r="D6" s="14"/>
      <c r="E6" s="39"/>
      <c r="F6" s="14"/>
      <c r="G6" s="14"/>
      <c r="H6" s="14"/>
      <c r="I6" s="14"/>
      <c r="J6" s="40"/>
      <c r="K6" s="25"/>
      <c r="L6" s="25"/>
      <c r="M6" s="25"/>
      <c r="N6" s="26"/>
      <c r="O6" s="40"/>
      <c r="P6" s="26"/>
      <c r="Q6" s="14"/>
      <c r="R6" s="41"/>
      <c r="S6" s="14" t="str">
        <f t="array" ref="S6:T6">'Sheet 1'!D88:E88</f>
        <v/>
      </c>
      <c r="T6" s="42">
        <v>320.0</v>
      </c>
      <c r="U6" s="43"/>
      <c r="V6" s="44" t="s">
        <v>17</v>
      </c>
      <c r="X6" s="43"/>
      <c r="Y6" s="14"/>
      <c r="Z6" s="41"/>
      <c r="AA6" s="14" t="str">
        <f t="array" ref="AA6:AB6">'Sheet 1'!J88:K88</f>
        <v/>
      </c>
      <c r="AB6" s="42">
        <v>200.0</v>
      </c>
      <c r="AC6" s="43"/>
      <c r="AD6" s="14"/>
      <c r="AE6" s="14"/>
      <c r="AF6" s="14"/>
      <c r="AG6" s="14"/>
      <c r="AH6" s="14"/>
      <c r="AI6" s="14"/>
      <c r="AJ6" s="45" t="str">
        <f>'Prayer drain'!G20</f>
        <v>Prayer bonus</v>
      </c>
      <c r="AM6" s="43"/>
      <c r="AN6" s="46" t="str">
        <f>"+"&amp;'Sheet 1'!P51</f>
        <v>+4</v>
      </c>
      <c r="AO6" s="22"/>
      <c r="AP6" s="22"/>
      <c r="AQ6" s="46" t="str">
        <f>"+"&amp;'Sheet 1'!P71</f>
        <v>+0</v>
      </c>
      <c r="AR6" s="22"/>
      <c r="AS6" s="23"/>
      <c r="AT6" s="14"/>
      <c r="AU6" s="14"/>
      <c r="AV6" s="14"/>
      <c r="AW6" s="14"/>
      <c r="AX6" s="14"/>
      <c r="AY6" s="14"/>
      <c r="AZ6" s="14"/>
    </row>
    <row r="7">
      <c r="A7" s="14"/>
      <c r="B7" s="21" t="s">
        <v>18</v>
      </c>
      <c r="C7" s="23"/>
      <c r="D7" s="47"/>
      <c r="E7" s="48" t="str">
        <f>IMAGE("https://vignette.wikia.nocookie.net/2007scape/images/b/bd/Stats_icon.png/revision/latest?cb=20160515204513")</f>
        <v/>
      </c>
      <c r="F7" s="48" t="str">
        <f>IMAGE("http://vignette2.wikia.nocookie.net/2007scape/images/c/c3/Strength_potion%284%29.png/revision/latest?cb=20140707233657")</f>
        <v/>
      </c>
      <c r="G7" s="48" t="str">
        <f>IMAGE("https://vignette.wikia.nocookie.net/2007scape/images/f/f2/Prayer_icon.png/revision/latest?cb=20180424010757")</f>
        <v/>
      </c>
      <c r="H7" s="49"/>
      <c r="I7" s="14"/>
      <c r="J7" s="14"/>
      <c r="K7" s="14"/>
      <c r="L7" s="14"/>
      <c r="M7" s="14"/>
      <c r="N7" s="14"/>
      <c r="O7" s="14"/>
      <c r="P7" s="14"/>
      <c r="Q7" s="14"/>
      <c r="R7" s="41"/>
      <c r="S7" s="14" t="str">
        <f t="array" ref="S7:T7">'Sheet 1'!D89:E89</f>
        <v/>
      </c>
      <c r="T7" s="42">
        <v>310.0</v>
      </c>
      <c r="U7" s="43"/>
      <c r="V7" s="44" t="s">
        <v>19</v>
      </c>
      <c r="X7" s="43"/>
      <c r="Y7" s="14"/>
      <c r="Z7" s="41"/>
      <c r="AA7" s="14" t="str">
        <f t="array" ref="AA7:AB7">'Sheet 1'!J89:K89</f>
        <v/>
      </c>
      <c r="AB7" s="42">
        <v>100.0</v>
      </c>
      <c r="AC7" s="43"/>
      <c r="AD7" s="14"/>
      <c r="AE7" s="14"/>
      <c r="AF7" s="14"/>
      <c r="AG7" s="14"/>
      <c r="AH7" s="14"/>
      <c r="AI7" s="14"/>
      <c r="AJ7" s="45" t="str">
        <f>'Prayer drain'!G15</f>
        <v>Overhead</v>
      </c>
      <c r="AM7" s="43"/>
      <c r="AN7" s="50" t="s">
        <v>20</v>
      </c>
      <c r="AQ7" s="51" t="s">
        <v>20</v>
      </c>
      <c r="AS7" s="43"/>
      <c r="AT7" s="14"/>
      <c r="AU7" s="14"/>
      <c r="AV7" s="14"/>
      <c r="AW7" s="14"/>
      <c r="AX7" s="14"/>
      <c r="AY7" s="14"/>
      <c r="AZ7" s="14"/>
    </row>
    <row r="8">
      <c r="A8" s="14"/>
      <c r="B8" s="18" t="str">
        <f>IMAGE("https://vignette.wikia.nocookie.net/2007scape/images/f/fe/Attack_icon.png/revision/latest?cb=20180424002328")</f>
        <v/>
      </c>
      <c r="C8" s="52" t="s">
        <v>21</v>
      </c>
      <c r="D8" s="53" t="str">
        <f t="array" ref="D8:E8">IF(ISBLANK(E$5),{"",99},'Combat level'!C5:D5)</f>
        <v/>
      </c>
      <c r="E8" s="54">
        <v>99.0</v>
      </c>
      <c r="F8" s="55" t="s">
        <v>22</v>
      </c>
      <c r="G8" s="55" t="s">
        <v>23</v>
      </c>
      <c r="H8" s="56" t="str">
        <f>'Sheet 1'!M6&amp;"/"&amp;'Sheet 1'!D6</f>
        <v>141/99</v>
      </c>
      <c r="I8" s="14"/>
      <c r="J8" s="14"/>
      <c r="L8" s="14"/>
      <c r="M8" s="57" t="str">
        <f>"Set 1"&amp;" ("&amp;'Sheet 1'!E18&amp;")"</f>
        <v>Set 1 (magic)</v>
      </c>
      <c r="N8" s="57" t="str">
        <f>"Set 2"&amp;" ("&amp;'Sheet 1'!E28&amp;")"</f>
        <v>Set 2 ()</v>
      </c>
      <c r="O8" s="58" t="s">
        <v>24</v>
      </c>
      <c r="P8" s="14"/>
      <c r="Q8" s="14"/>
      <c r="R8" s="41"/>
      <c r="S8" s="14" t="str">
        <f t="array" ref="S8:T8">'Sheet 1'!D90:E90</f>
        <v/>
      </c>
      <c r="T8" s="42">
        <v>350.0</v>
      </c>
      <c r="U8" s="43"/>
      <c r="V8" s="44" t="s">
        <v>25</v>
      </c>
      <c r="X8" s="43"/>
      <c r="Y8" s="14"/>
      <c r="Z8" s="41"/>
      <c r="AA8" s="14" t="str">
        <f t="array" ref="AA8:AB8">'Sheet 1'!J90:K90</f>
        <v/>
      </c>
      <c r="AB8" s="42">
        <v>150.0</v>
      </c>
      <c r="AC8" s="43"/>
      <c r="AD8" s="14"/>
      <c r="AE8" s="14"/>
      <c r="AF8" s="14"/>
      <c r="AG8" s="14"/>
      <c r="AH8" s="14"/>
      <c r="AI8" s="14"/>
      <c r="AJ8" s="45" t="str">
        <f>'Prayer drain'!G16</f>
        <v>Rapid restore</v>
      </c>
      <c r="AM8" s="43"/>
      <c r="AN8" s="50" t="s">
        <v>26</v>
      </c>
      <c r="AQ8" s="59"/>
      <c r="AS8" s="43"/>
      <c r="AT8" s="14"/>
      <c r="AU8" s="14"/>
      <c r="AV8" s="14"/>
      <c r="AW8" s="14"/>
      <c r="AX8" s="14"/>
      <c r="AY8" s="14"/>
      <c r="AZ8" s="14"/>
    </row>
    <row r="9">
      <c r="A9" s="14"/>
      <c r="B9" s="60" t="str">
        <f>IMAGE("https://vignette.wikia.nocookie.net/2007scape/images/1/1b/Strength_icon.png/revision/latest?cb=20180424005746")</f>
        <v/>
      </c>
      <c r="C9" s="61" t="s">
        <v>27</v>
      </c>
      <c r="D9" s="53" t="str">
        <f t="array" ref="D9:E9">IF(ISBLANK(E$5),{"",99},'Combat level'!C6:D6)</f>
        <v/>
      </c>
      <c r="E9" s="62">
        <v>99.0</v>
      </c>
      <c r="F9" s="63" t="s">
        <v>28</v>
      </c>
      <c r="G9" s="63" t="s">
        <v>23</v>
      </c>
      <c r="H9" s="56" t="str">
        <f>'Sheet 1'!M7&amp;"/"&amp;'Sheet 1'!D7</f>
        <v>145/99</v>
      </c>
      <c r="I9" s="14"/>
      <c r="J9" s="64" t="s">
        <v>29</v>
      </c>
      <c r="K9" s="16"/>
      <c r="L9" s="64"/>
      <c r="M9" s="65">
        <f>IF(ISERROR('Dps p1'!D107),,'Dps p1'!D107)</f>
        <v>49</v>
      </c>
      <c r="N9" s="66">
        <f>IF(ISERROR('Dps p2'!D107),,'Dps p2'!D107)</f>
        <v>7</v>
      </c>
      <c r="O9" s="67">
        <f t="shared" ref="O9:O14" si="1">iferror(max(M9,N9)/min(M9,N9)-1,"")</f>
        <v>6</v>
      </c>
      <c r="P9" s="14"/>
      <c r="Q9" s="14"/>
      <c r="R9" s="41"/>
      <c r="S9" s="14" t="str">
        <f t="array" ref="S9:T9">'Sheet 1'!D91:E91</f>
        <v/>
      </c>
      <c r="T9" s="42">
        <v>150.0</v>
      </c>
      <c r="U9" s="43"/>
      <c r="V9" s="44" t="s">
        <v>30</v>
      </c>
      <c r="X9" s="43"/>
      <c r="Y9" s="14"/>
      <c r="Z9" s="68"/>
      <c r="AA9" s="14" t="str">
        <f t="array" ref="AA9:AB9">'Sheet 1'!J91:K91</f>
        <v/>
      </c>
      <c r="AB9" s="69">
        <v>230.0</v>
      </c>
      <c r="AC9" s="26"/>
      <c r="AD9" s="14"/>
      <c r="AE9" s="14"/>
      <c r="AF9" s="14"/>
      <c r="AG9" s="14"/>
      <c r="AH9" s="14"/>
      <c r="AI9" s="14"/>
      <c r="AJ9" s="45" t="str">
        <f>'Prayer drain'!G17</f>
        <v>Rapid heal</v>
      </c>
      <c r="AM9" s="43"/>
      <c r="AN9" s="50" t="s">
        <v>26</v>
      </c>
      <c r="AQ9" s="59"/>
      <c r="AS9" s="43"/>
      <c r="AT9" s="14"/>
      <c r="AU9" s="14"/>
      <c r="AV9" s="14"/>
      <c r="AW9" s="14"/>
      <c r="AX9" s="14"/>
      <c r="AY9" s="14"/>
      <c r="AZ9" s="14"/>
    </row>
    <row r="10">
      <c r="A10" s="14"/>
      <c r="B10" s="60" t="str">
        <f>IMAGE("https://vignette.wikia.nocookie.net/2007scape/images/b/b7/Defence_icon.png/revision/latest?cb=20180424010737")</f>
        <v/>
      </c>
      <c r="C10" s="61" t="s">
        <v>31</v>
      </c>
      <c r="D10" s="53" t="str">
        <f t="array" ref="D10:E10">IF(ISBLANK(E$5),{"",99},'Combat level'!C3:D3)</f>
        <v/>
      </c>
      <c r="E10" s="62">
        <v>99.0</v>
      </c>
      <c r="F10" s="63" t="s">
        <v>32</v>
      </c>
      <c r="G10" s="63" t="s">
        <v>23</v>
      </c>
      <c r="H10" s="56" t="str">
        <f>'Sheet 1'!M8&amp;"/"&amp;'Sheet 1'!D8</f>
        <v>147/99</v>
      </c>
      <c r="I10" s="14"/>
      <c r="J10" s="70" t="s">
        <v>33</v>
      </c>
      <c r="L10" s="70"/>
      <c r="M10" s="56" t="str">
        <f>IF(ISERROR('Dps p1'!D108),,'Dps p1'!D108)</f>
        <v/>
      </c>
      <c r="N10" s="71" t="str">
        <f>IF(ISERROR('Dps p2'!D108),,'Dps p2'!D108)</f>
        <v/>
      </c>
      <c r="O10" s="67" t="str">
        <f t="shared" si="1"/>
        <v/>
      </c>
      <c r="P10" s="14"/>
      <c r="Q10" s="14"/>
      <c r="R10" s="68"/>
      <c r="S10" s="72" t="str">
        <f t="array" ref="S10:T10">'Sheet 1'!D92:E92</f>
        <v/>
      </c>
      <c r="T10" s="73">
        <v>2000.0</v>
      </c>
      <c r="U10" s="26"/>
      <c r="V10" s="44" t="s">
        <v>34</v>
      </c>
      <c r="X10" s="43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45" t="str">
        <f>'Prayer drain'!G18</f>
        <v>Protect item</v>
      </c>
      <c r="AM10" s="43"/>
      <c r="AN10" s="50" t="s">
        <v>26</v>
      </c>
      <c r="AQ10" s="59"/>
      <c r="AS10" s="43"/>
      <c r="AT10" s="14"/>
      <c r="AU10" s="14"/>
      <c r="AV10" s="14"/>
      <c r="AW10" s="14"/>
      <c r="AX10" s="14"/>
      <c r="AY10" s="14"/>
      <c r="AZ10" s="14"/>
    </row>
    <row r="11">
      <c r="A11" s="14"/>
      <c r="B11" s="60" t="str">
        <f>IMAGE("https://vignette.wikia.nocookie.net/2007scape/images/5/5c/Magic_icon.png/revision/latest?cb=20180424010803")</f>
        <v/>
      </c>
      <c r="C11" s="61" t="s">
        <v>35</v>
      </c>
      <c r="D11" s="53" t="str">
        <f t="array" ref="D11:E11">IF(ISBLANK(E$5),{"",99},'Combat level'!C8:D8)</f>
        <v/>
      </c>
      <c r="E11" s="62">
        <v>99.0</v>
      </c>
      <c r="F11" s="63" t="s">
        <v>36</v>
      </c>
      <c r="G11" s="63" t="s">
        <v>37</v>
      </c>
      <c r="H11" s="56" t="str">
        <f>'Sheet 1'!M9&amp;"/"&amp;'Sheet 1'!D9</f>
        <v>136/99</v>
      </c>
      <c r="I11" s="14"/>
      <c r="J11" s="70" t="s">
        <v>38</v>
      </c>
      <c r="L11" s="70"/>
      <c r="M11" s="74">
        <f>IF(ISERROR('Dps p1'!D27),,'Dps p1'!D27)</f>
        <v>0.2005544926</v>
      </c>
      <c r="N11" s="75">
        <f>IF(ISERROR('Dps p2'!D27),,'Dps p2'!D27)</f>
        <v>0.0911367242</v>
      </c>
      <c r="O11" s="67">
        <f t="shared" si="1"/>
        <v>1.200589217</v>
      </c>
      <c r="P11" s="14"/>
      <c r="Q11" s="14"/>
      <c r="R11" s="41" t="str">
        <f t="array" ref="R11:R16">'Sheet 1'!C93:C98</f>
        <v/>
      </c>
      <c r="S11" s="76"/>
      <c r="T11" s="42"/>
      <c r="U11" s="43"/>
      <c r="V11" s="35" t="str">
        <f t="array" ref="V11:V12">'Sheet 1'!C100:C101</f>
        <v/>
      </c>
      <c r="W11" s="36"/>
      <c r="X11" s="17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45" t="str">
        <f>'Prayer drain'!G19</f>
        <v>Preserve</v>
      </c>
      <c r="AM11" s="43"/>
      <c r="AN11" s="50" t="s">
        <v>26</v>
      </c>
      <c r="AQ11" s="59"/>
      <c r="AS11" s="43"/>
      <c r="AT11" s="14"/>
      <c r="AU11" s="14"/>
      <c r="AV11" s="14"/>
      <c r="AW11" s="14"/>
      <c r="AX11" s="14"/>
      <c r="AY11" s="14"/>
      <c r="AZ11" s="14"/>
    </row>
    <row r="12">
      <c r="A12" s="14"/>
      <c r="B12" s="60" t="str">
        <f>IMAGE("https://vignette.wikia.nocookie.net/2007scape/images/1/19/Ranged_icon.png/revision/latest?cb=20180424010745")</f>
        <v/>
      </c>
      <c r="C12" s="61" t="s">
        <v>39</v>
      </c>
      <c r="D12" s="53" t="str">
        <f t="array" ref="D12:E12">IF(ISBLANK(E$5),{"",99},'Combat level'!C7:D7)</f>
        <v/>
      </c>
      <c r="E12" s="62">
        <v>99.0</v>
      </c>
      <c r="F12" s="77" t="s">
        <v>40</v>
      </c>
      <c r="G12" s="77" t="s">
        <v>41</v>
      </c>
      <c r="H12" s="56" t="str">
        <f>'Sheet 1'!M10&amp;"/"&amp;'Sheet 1'!D10</f>
        <v>134/99</v>
      </c>
      <c r="I12" s="14"/>
      <c r="J12" s="70" t="s">
        <v>42</v>
      </c>
      <c r="L12" s="70"/>
      <c r="M12" s="74" t="str">
        <f>IF(ISERROR('Dps p1'!D32),,'Dps p1'!D32)</f>
        <v/>
      </c>
      <c r="N12" s="75" t="str">
        <f>IF(ISERROR('Dps p2'!D32),,'Dps p2'!D32)</f>
        <v/>
      </c>
      <c r="O12" s="67" t="str">
        <f t="shared" si="1"/>
        <v/>
      </c>
      <c r="P12" s="14"/>
      <c r="Q12" s="14"/>
      <c r="R12" s="41"/>
      <c r="S12" s="14"/>
      <c r="T12" s="78"/>
      <c r="U12" s="43"/>
      <c r="V12" s="68"/>
      <c r="W12" s="29" t="b">
        <v>0</v>
      </c>
      <c r="X12" s="26"/>
      <c r="Y12" s="14"/>
      <c r="Z12" s="14"/>
      <c r="AA12" s="14"/>
      <c r="AB12" s="79" t="s">
        <v>43</v>
      </c>
      <c r="AC12" s="80" t="b">
        <v>1</v>
      </c>
      <c r="AD12" s="17"/>
      <c r="AE12" s="14"/>
      <c r="AF12" s="81" t="s">
        <v>44</v>
      </c>
      <c r="AG12" s="80"/>
      <c r="AH12" s="17"/>
      <c r="AI12" s="14"/>
      <c r="AJ12" s="82" t="str">
        <f>'Prayer drain'!G24</f>
        <v>Usage / minute:</v>
      </c>
      <c r="AK12" s="16"/>
      <c r="AL12" s="16"/>
      <c r="AM12" s="17"/>
      <c r="AN12" s="83" t="str">
        <f>'Prayer drain'!H24</f>
        <v>52.94 points</v>
      </c>
      <c r="AO12" s="16"/>
      <c r="AP12" s="16"/>
      <c r="AQ12" s="84" t="str">
        <f>'Prayer drain'!I24</f>
        <v>60 points</v>
      </c>
      <c r="AR12" s="16"/>
      <c r="AS12" s="17"/>
      <c r="AT12" s="14"/>
      <c r="AU12" s="14"/>
      <c r="AV12" s="14"/>
      <c r="AW12" s="14"/>
      <c r="AX12" s="14"/>
      <c r="AY12" s="14"/>
      <c r="AZ12" s="14"/>
    </row>
    <row r="13">
      <c r="A13" s="14"/>
      <c r="B13" s="60" t="str">
        <f>IMAGE("https://vignette.wikia.nocookie.net/2007scape/images/9/96/Hitpoints_icon.png/revision/latest?cb=20180424005312")</f>
        <v/>
      </c>
      <c r="C13" s="61" t="s">
        <v>45</v>
      </c>
      <c r="D13" s="53" t="str">
        <f t="array" ref="D13:E13">IF(ISBLANK(E$5),{"",99},'Combat level'!C2:D2)</f>
        <v/>
      </c>
      <c r="E13" s="62">
        <v>99.0</v>
      </c>
      <c r="F13" s="14"/>
      <c r="G13" s="14"/>
      <c r="H13" s="56" t="str">
        <f>'Sheet 1'!E96&amp;"/"&amp;'Sheet 1'!D12</f>
        <v>99/99</v>
      </c>
      <c r="I13" s="14"/>
      <c r="J13" s="70" t="s">
        <v>46</v>
      </c>
      <c r="L13" s="70"/>
      <c r="M13" s="85" t="str">
        <f>iferror(Costh!C2,"")</f>
        <v/>
      </c>
      <c r="N13" s="86">
        <f>iferror(Costh!D2,"")</f>
        <v>0</v>
      </c>
      <c r="O13" s="67" t="str">
        <f t="shared" si="1"/>
        <v/>
      </c>
      <c r="P13" s="14"/>
      <c r="Q13" s="14"/>
      <c r="R13" s="41"/>
      <c r="S13" s="14"/>
      <c r="T13" s="87"/>
      <c r="U13" s="43"/>
      <c r="V13" s="14"/>
      <c r="W13" s="14"/>
      <c r="X13" s="14"/>
      <c r="Y13" s="14"/>
      <c r="Z13" s="14"/>
      <c r="AA13" s="14"/>
      <c r="AB13" s="88" t="s">
        <v>47</v>
      </c>
      <c r="AC13" s="89"/>
      <c r="AD13" s="43"/>
      <c r="AE13" s="14"/>
      <c r="AF13" s="81" t="s">
        <v>48</v>
      </c>
      <c r="AG13" s="90"/>
      <c r="AH13" s="43"/>
      <c r="AI13" s="14"/>
      <c r="AJ13" s="45" t="str">
        <f>'Prayer drain'!G25</f>
        <v>1 pp used every:</v>
      </c>
      <c r="AM13" s="43"/>
      <c r="AN13" s="91" t="str">
        <f>'Prayer drain'!H25</f>
        <v>1.13 sec</v>
      </c>
      <c r="AQ13" s="92" t="str">
        <f>'Prayer drain'!I25</f>
        <v>1 sec</v>
      </c>
      <c r="AS13" s="43"/>
      <c r="AT13" s="14"/>
      <c r="AU13" s="14"/>
      <c r="AV13" s="14"/>
      <c r="AW13" s="14"/>
      <c r="AX13" s="14"/>
      <c r="AY13" s="14"/>
      <c r="AZ13" s="14"/>
    </row>
    <row r="14">
      <c r="A14" s="14"/>
      <c r="B14" s="27" t="str">
        <f>IMAGE("https://vignette.wikia.nocookie.net/2007scape/images/f/f2/Prayer_icon.png/revision/latest?cb=20180424010757")</f>
        <v/>
      </c>
      <c r="C14" s="93" t="s">
        <v>49</v>
      </c>
      <c r="D14" s="53" t="str">
        <f t="array" ref="D14:E14">IF(ISBLANK(E$5),{"",99},'Combat level'!C4:D4)</f>
        <v/>
      </c>
      <c r="E14" s="94">
        <v>99.0</v>
      </c>
      <c r="F14" s="14"/>
      <c r="G14" s="14"/>
      <c r="H14" s="95" t="str">
        <f>'Sheet 1'!E97&amp;"/"&amp;'Sheet 1'!D13</f>
        <v>99/99</v>
      </c>
      <c r="I14" s="14"/>
      <c r="J14" s="96" t="str">
        <f>"DPS"&amp;if(AC14," (15/16)","")&amp;":"</f>
        <v>DPS:</v>
      </c>
      <c r="K14" s="25"/>
      <c r="L14" s="96"/>
      <c r="M14" s="97">
        <f>'Dps p1'!D135*if(AC14,15/16,1)</f>
        <v>2.047327112</v>
      </c>
      <c r="N14" s="98">
        <f>'Dps p2'!D135*if(AC14,15/16,1)</f>
        <v>0.1329077228</v>
      </c>
      <c r="O14" s="99">
        <f t="shared" si="1"/>
        <v>14.40412452</v>
      </c>
      <c r="P14" s="14"/>
      <c r="Q14" s="14"/>
      <c r="R14" s="41"/>
      <c r="S14" s="14"/>
      <c r="T14" s="78"/>
      <c r="U14" s="43"/>
      <c r="V14" s="14"/>
      <c r="W14" s="14"/>
      <c r="X14" s="14"/>
      <c r="Y14" s="14"/>
      <c r="Z14" s="14"/>
      <c r="AA14" s="14"/>
      <c r="AB14" s="88" t="s">
        <v>50</v>
      </c>
      <c r="AC14" s="100" t="b">
        <v>0</v>
      </c>
      <c r="AD14" s="43"/>
      <c r="AE14" s="14"/>
      <c r="AF14" s="81" t="s">
        <v>51</v>
      </c>
      <c r="AG14" s="29" t="b">
        <v>0</v>
      </c>
      <c r="AH14" s="26"/>
      <c r="AI14" s="14"/>
      <c r="AJ14" s="101" t="str">
        <f>'Prayer drain'!G26</f>
        <v>99 pp used in:</v>
      </c>
      <c r="AK14" s="25"/>
      <c r="AL14" s="25"/>
      <c r="AM14" s="26"/>
      <c r="AN14" s="102">
        <f>'Prayer drain'!H26</f>
        <v>0.001296296296</v>
      </c>
      <c r="AO14" s="25"/>
      <c r="AP14" s="25"/>
      <c r="AQ14" s="103">
        <f>'Prayer drain'!I26</f>
        <v>0.001145833333</v>
      </c>
      <c r="AR14" s="25"/>
      <c r="AS14" s="26"/>
      <c r="AT14" s="14"/>
      <c r="AU14" s="14"/>
      <c r="AV14" s="14"/>
      <c r="AW14" s="14"/>
      <c r="AX14" s="14"/>
      <c r="AY14" s="14"/>
      <c r="AZ14" s="14"/>
    </row>
    <row r="15">
      <c r="A15" s="14"/>
      <c r="B15" s="27" t="str">
        <f>image("https://oldschool.runescape.wiki/images/4/4a/Mining_icon.png?08512")</f>
        <v/>
      </c>
      <c r="C15" s="93" t="s">
        <v>52</v>
      </c>
      <c r="D15" s="53" t="str">
        <f t="array" ref="D15:E15">IF(ISBLANK(E$5),{"",99},'Combat level'!C9:D9)</f>
        <v/>
      </c>
      <c r="E15" s="94">
        <v>99.0</v>
      </c>
      <c r="F15" s="104"/>
      <c r="G15" s="39"/>
      <c r="H15" s="105" t="str">
        <f>'Sheet 1'!M14&amp;"/"&amp;'Sheet 1'!D14</f>
        <v>99/99</v>
      </c>
      <c r="I15" s="14"/>
      <c r="J15" s="106" t="s">
        <v>53</v>
      </c>
      <c r="K15" s="17"/>
      <c r="L15" s="14"/>
      <c r="M15" s="107">
        <f>Iferror(OverkillP1!F13)</f>
        <v>2.031078484</v>
      </c>
      <c r="N15" s="107">
        <f>iferror(OverkillP2!F13)</f>
        <v>0.1327749478</v>
      </c>
      <c r="O15" s="39"/>
      <c r="P15" s="39"/>
      <c r="Q15" s="14"/>
      <c r="R15" s="41"/>
      <c r="S15" s="14"/>
      <c r="T15" s="78"/>
      <c r="U15" s="43"/>
      <c r="V15" s="14"/>
      <c r="W15" s="14"/>
      <c r="X15" s="14"/>
      <c r="Y15" s="14"/>
      <c r="Z15" s="14"/>
      <c r="AA15" s="14"/>
      <c r="AB15" s="108" t="s">
        <v>4</v>
      </c>
      <c r="AC15" s="42">
        <v>1.0</v>
      </c>
      <c r="AD15" s="43"/>
      <c r="AE15" s="14"/>
      <c r="AF15" s="14"/>
      <c r="AG15" s="14"/>
      <c r="AH15" s="14"/>
      <c r="AI15" s="14"/>
      <c r="AJ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>
      <c r="A16" s="14"/>
      <c r="J16" s="109" t="s">
        <v>54</v>
      </c>
      <c r="K16" s="43"/>
      <c r="M16" s="110">
        <f>Iferror(OverkillP1!F12,0)</f>
        <v>984.6985314</v>
      </c>
      <c r="N16" s="110">
        <f>iferror(OverkillP2!F12,0)</f>
        <v>15063.08255</v>
      </c>
      <c r="Q16" s="14"/>
      <c r="R16" s="68"/>
      <c r="S16" s="72"/>
      <c r="T16" s="111"/>
      <c r="U16" s="26"/>
      <c r="V16" s="14"/>
      <c r="W16" s="14"/>
      <c r="X16" s="14"/>
      <c r="Y16" s="14"/>
      <c r="Z16" s="14"/>
      <c r="AA16" s="14"/>
      <c r="AB16" s="112" t="s">
        <v>4</v>
      </c>
      <c r="AC16" s="73" t="s">
        <v>55</v>
      </c>
      <c r="AD16" s="26"/>
      <c r="AE16" s="14"/>
      <c r="AF16" s="14"/>
      <c r="AG16" s="14"/>
      <c r="AH16" s="14"/>
      <c r="AI16" s="14"/>
      <c r="AJ16" s="21" t="s">
        <v>56</v>
      </c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3"/>
      <c r="AW16" s="14"/>
      <c r="AX16" s="14"/>
      <c r="AY16" s="14"/>
      <c r="AZ16" s="14"/>
    </row>
    <row r="17">
      <c r="A17" s="14"/>
      <c r="J17" s="113" t="s">
        <v>57</v>
      </c>
      <c r="K17" s="26"/>
      <c r="M17" s="114">
        <f>'Dps p1'!D22</f>
        <v>30816</v>
      </c>
      <c r="N17" s="114">
        <f>'Dps p2'!D22</f>
        <v>9536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82" t="str">
        <f t="array" ref="AJ17:AJ25">'NPC dps'!B10:B18</f>
        <v>Corporeal beast</v>
      </c>
      <c r="AK17" s="16"/>
      <c r="AL17" s="16"/>
      <c r="AM17" s="17"/>
      <c r="AN17" s="82" t="str">
        <f t="array" ref="AN17:AN25">'NPC dps'!Q10:Q18</f>
        <v>Dps vs. set 1</v>
      </c>
      <c r="AO17" s="16"/>
      <c r="AP17" s="17"/>
      <c r="AQ17" s="82" t="str">
        <f t="array" ref="AQ17:AQ25">'NPC dps'!R10:R18</f>
        <v>Dps vs. set 2</v>
      </c>
      <c r="AR17" s="16"/>
      <c r="AS17" s="17"/>
      <c r="AT17" s="115" t="s">
        <v>58</v>
      </c>
      <c r="AU17" s="16"/>
      <c r="AV17" s="17"/>
      <c r="AW17" s="14"/>
      <c r="AX17" s="14"/>
      <c r="AY17" s="14"/>
      <c r="AZ17" s="14"/>
    </row>
    <row r="18">
      <c r="A18" s="14"/>
      <c r="B18" s="21" t="s">
        <v>59</v>
      </c>
      <c r="C18" s="23"/>
      <c r="D18" s="47"/>
      <c r="E18" s="21" t="s">
        <v>60</v>
      </c>
      <c r="F18" s="23"/>
      <c r="G18" s="58" t="s">
        <v>21</v>
      </c>
      <c r="H18" s="58" t="s">
        <v>27</v>
      </c>
      <c r="I18" s="14"/>
      <c r="J18" s="21" t="s">
        <v>59</v>
      </c>
      <c r="K18" s="23"/>
      <c r="L18" s="47"/>
      <c r="M18" s="21" t="s">
        <v>61</v>
      </c>
      <c r="N18" s="23"/>
      <c r="O18" s="116" t="s">
        <v>21</v>
      </c>
      <c r="P18" s="116" t="s">
        <v>27</v>
      </c>
      <c r="Q18" s="14"/>
      <c r="R18" s="117" t="s">
        <v>62</v>
      </c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3"/>
      <c r="AI18" s="14"/>
      <c r="AJ18" s="82" t="s">
        <v>63</v>
      </c>
      <c r="AK18" s="16"/>
      <c r="AL18" s="16"/>
      <c r="AM18" s="17"/>
      <c r="AN18" s="82">
        <v>0.0</v>
      </c>
      <c r="AO18" s="16"/>
      <c r="AP18" s="17"/>
      <c r="AQ18" s="82">
        <v>0.0</v>
      </c>
      <c r="AR18" s="16"/>
      <c r="AS18" s="17"/>
      <c r="AT18" s="82">
        <f t="array" ref="AT18:AT24">'NPC dps'!M11:M17</f>
        <v>33</v>
      </c>
      <c r="AU18" s="16"/>
      <c r="AV18" s="17"/>
      <c r="AW18" s="14"/>
      <c r="AX18" s="14"/>
      <c r="AY18" s="14"/>
      <c r="AZ18" s="14"/>
    </row>
    <row r="19">
      <c r="A19" s="118"/>
      <c r="B19" s="60" t="str">
        <f>IMAGE("http://vignette1.wikia.nocookie.net/2007scape/images/d/d1/Weapon_slot.png/revision/latest?cb=20130227121007")</f>
        <v/>
      </c>
      <c r="C19" s="61" t="s">
        <v>64</v>
      </c>
      <c r="D19" s="61" t="str">
        <f t="array" ref="D19:E19">IF(ISBLANK(E$18),,Sets!C2:D2)</f>
        <v/>
      </c>
      <c r="E19" s="119" t="s">
        <v>65</v>
      </c>
      <c r="F19" s="17"/>
      <c r="G19" s="120">
        <f t="array" ref="G19">IF(ISBLANK(E19),,INDEX(Items!$A$1:$V$698,MATCH(E19,Items!$A$1:$A$698,0),MATCH('Sheet 1'!$E$18&amp;" "&amp;G$18,Items!$A$1:$V$1,0)))</f>
        <v>16</v>
      </c>
      <c r="H19" s="121">
        <f t="array" ref="H19">IF(ISBLANK(E19),,INDEX(Items!$A$1:$V$698,MATCH(E19,Items!$A$1:$A$698,0),MATCH(IF('Sheet 1'!$E$18="Ranged",Items!$M$1,IF('Sheet 1'!$E$18="MAGIC",Items!$N$1,Items!$L$1)),Items!$A$1:$V$1,0)))</f>
        <v>0.15</v>
      </c>
      <c r="I19" s="14"/>
      <c r="J19" s="60" t="str">
        <f>IMAGE("http://vignette1.wikia.nocookie.net/2007scape/images/d/d1/Weapon_slot.png/revision/latest?cb=20130227121007")</f>
        <v/>
      </c>
      <c r="K19" s="61" t="s">
        <v>64</v>
      </c>
      <c r="L19" s="61" t="str">
        <f t="array" ref="L19:M19">IF(ISBLANK(M$18),,Sets!E2:F2)</f>
        <v/>
      </c>
      <c r="M19" s="122"/>
      <c r="N19" s="17"/>
      <c r="O19" s="123" t="str">
        <f t="array" ref="O19">IF(ISBLANK(M19),,INDEX(Items!$A$1:$V$698,MATCH(M19,Items!$A$1:$A$698,0),MATCH('Sheet 1'!$E$28&amp;" "&amp;O$18,Items!$A$1:$V$1,0)))</f>
        <v/>
      </c>
      <c r="P19" s="124" t="str">
        <f t="array" ref="P19">IF(ISBLANK(M19),,INDEX(Items!$A$1:$V$698,MATCH(M19,Items!$A$1:$A$698,0),MATCH(IF('Sheet 1'!$E$28="Ranged",Items!$M$1,IF('Sheet 1'!$E$28="MAGIC",Items!$N$1,Items!$L$1)),Items!$A$1:$V$1,0)))</f>
        <v/>
      </c>
      <c r="Q19" s="14"/>
      <c r="R19" s="125" t="s">
        <v>66</v>
      </c>
      <c r="S19" s="22"/>
      <c r="T19" s="22"/>
      <c r="U19" s="22"/>
      <c r="V19" s="22"/>
      <c r="W19" s="22"/>
      <c r="X19" s="22"/>
      <c r="Y19" s="22"/>
      <c r="Z19" s="126"/>
      <c r="AA19" s="126"/>
      <c r="AB19" s="127" t="s">
        <v>61</v>
      </c>
      <c r="AC19" s="22"/>
      <c r="AD19" s="22"/>
      <c r="AE19" s="22"/>
      <c r="AF19" s="22"/>
      <c r="AG19" s="22"/>
      <c r="AH19" s="23"/>
      <c r="AI19" s="14"/>
      <c r="AJ19" s="45" t="s">
        <v>67</v>
      </c>
      <c r="AM19" s="43"/>
      <c r="AN19" s="45">
        <v>0.0</v>
      </c>
      <c r="AP19" s="43"/>
      <c r="AQ19" s="45">
        <v>0.0</v>
      </c>
      <c r="AS19" s="43"/>
      <c r="AT19" s="45">
        <v>33.0</v>
      </c>
      <c r="AV19" s="43"/>
      <c r="AW19" s="14"/>
      <c r="AX19" s="14"/>
      <c r="AY19" s="14"/>
      <c r="AZ19" s="14"/>
    </row>
    <row r="20">
      <c r="A20" s="14"/>
      <c r="B20" s="60" t="str">
        <f>IMAGE("https://vignette.wikia.nocookie.net/2007scape/images/8/8f/Combat_icon.png/revision/latest?cb=20180424020420")</f>
        <v/>
      </c>
      <c r="C20" s="61" t="s">
        <v>68</v>
      </c>
      <c r="D20" s="61" t="str">
        <f t="array" ref="D20:E20">IF(ISBLANK(E$18),,Sets!C3:D3)</f>
        <v/>
      </c>
      <c r="E20" s="128" t="s">
        <v>69</v>
      </c>
      <c r="F20" s="43"/>
      <c r="G20" s="120"/>
      <c r="H20" s="121"/>
      <c r="I20" s="14"/>
      <c r="J20" s="60" t="str">
        <f>IMAGE("https://vignette.wikia.nocookie.net/2007scape/images/8/8f/Combat_icon.png/revision/latest?cb=20180424020420")</f>
        <v/>
      </c>
      <c r="K20" s="61" t="s">
        <v>68</v>
      </c>
      <c r="L20" s="61" t="str">
        <f t="array" ref="L20:M20">IF(ISBLANK(M$18),,Sets!E3:F3)</f>
        <v/>
      </c>
      <c r="M20" s="87"/>
      <c r="N20" s="43"/>
      <c r="O20" s="129"/>
      <c r="P20" s="121"/>
      <c r="Q20" s="14"/>
      <c r="R20" s="130" t="str">
        <f t="array" ref="R20:R42">TRANSPOSE('Dps p1'!C2:Y2)</f>
        <v>Magic</v>
      </c>
      <c r="S20" s="16"/>
      <c r="T20" s="17"/>
      <c r="U20" s="130" t="str">
        <f t="array" ref="U20:U42">TRANSPOSE('Dps p1'!C35:Y35)</f>
        <v>Magic</v>
      </c>
      <c r="V20" s="17"/>
      <c r="W20" s="130" t="str">
        <f t="array" ref="W20:W42">IF(R18="Show damage per second",TRANSPOSE('Dps p1'!C135:Y135),IF(R18="Show damage per second average",TRANSPOSE('Dps p1'!C136:Y136),IF(R18="Show max hits",TRANSPOSE('Dps p1'!C107:Y107),IF(R18="Show accuracy",TRANSPOSE('Dps p1'!C27:Y27),IF(R18="Show special accuracy",TRANSPOSE('Dps p1'!C32:Y32),IF(R18="Show cannon accuracy",TRANSPOSE('Dps p1'!C158:Y158),IF(R18="Show special max hits",TRANSPOSE('Dps p1'!C108:Y108),IF(R18="Show EXP rate",TRANSPOSE('Dps p1'!C141:Y141),IF(R18="Show EXP rate average",TRANSPOSE('Dps p1'!C142:Y142),IF(R18="Show special attack DPS",TRANSPOSE('Dps p1'!C174:Y174)))))))))))</f>
        <v>Spec DPS</v>
      </c>
      <c r="X20" s="16"/>
      <c r="Y20" s="17"/>
      <c r="Z20" s="131"/>
      <c r="AB20" s="130" t="str">
        <f t="array" ref="AB20:AB42">IF(R18="Show damage per second",TRANSPOSE('Dps p2'!C135:Y135),IF(R18="Show damage per second average",TRANSPOSE('Dps p2'!C136:Y136),IF(R18="Show max hits",TRANSPOSE('Dps p2'!C107:Y107),IF(R18="Show accuracy",TRANSPOSE('Dps p2'!C27:Y27),IF(R18="Show special accuracy",TRANSPOSE('Dps p2'!C32:Y32),IF(R18="Show cannon accuracy",TRANSPOSE('Dps p2'!C158:Y158),IF(R18="Show special max hits",TRANSPOSE('Dps p2'!C108:Y108),IF(R18="Show EXP rate",TRANSPOSE('Dps p2'!C141:Y141),IF(R18="Show EXP rate average",TRANSPOSE('Dps p2'!C142:Y142),IF(R18="Show special attack DPS",TRANSPOSE('Dps p2'!C174:AZ174)))))))))))</f>
        <v/>
      </c>
      <c r="AC20" s="16"/>
      <c r="AD20" s="17"/>
      <c r="AE20" s="130" t="str">
        <f t="array" ref="AE20:AE42">TRANSPOSE('Dps p2'!C2:Y2)</f>
        <v>Attack</v>
      </c>
      <c r="AF20" s="17"/>
      <c r="AG20" s="130" t="str">
        <f t="array" ref="AG20:AG42">TRANSPOSE('Dps p2'!C35:Y35)</f>
        <v>Strength</v>
      </c>
      <c r="AH20" s="17"/>
      <c r="AI20" s="14"/>
      <c r="AJ20" s="45" t="s">
        <v>70</v>
      </c>
      <c r="AM20" s="43"/>
      <c r="AN20" s="45">
        <v>0.0</v>
      </c>
      <c r="AP20" s="43"/>
      <c r="AQ20" s="45">
        <v>0.0</v>
      </c>
      <c r="AS20" s="43"/>
      <c r="AT20" s="45">
        <v>33.0</v>
      </c>
      <c r="AV20" s="43"/>
      <c r="AW20" s="14"/>
      <c r="AX20" s="14"/>
      <c r="AY20" s="14"/>
      <c r="AZ20" s="14"/>
    </row>
    <row r="21">
      <c r="A21" s="14"/>
      <c r="B21" s="132" t="str">
        <f>IMAGE("http://vignette1.wikia.nocookie.net/2007scape/images/0/0d/Spellbook.png/revision/latest?cb=20150606082306")</f>
        <v/>
      </c>
      <c r="C21" s="61" t="s">
        <v>71</v>
      </c>
      <c r="D21" s="61" t="str">
        <f t="array" ref="D21:E21">IF(ISBLANK(E$18),,Sets!C4:D4)</f>
        <v/>
      </c>
      <c r="E21" s="128" t="s">
        <v>72</v>
      </c>
      <c r="F21" s="43"/>
      <c r="G21" s="120"/>
      <c r="H21" s="121"/>
      <c r="I21" s="118"/>
      <c r="J21" s="132" t="str">
        <f>IMAGE("http://vignette1.wikia.nocookie.net/2007scape/images/0/0d/Spellbook.png/revision/latest?cb=20150606082306")</f>
        <v/>
      </c>
      <c r="K21" s="61" t="s">
        <v>71</v>
      </c>
      <c r="L21" s="61" t="str">
        <f t="array" ref="L21:M21">IF(ISBLANK(M$18),,Sets!E4:F4)</f>
        <v/>
      </c>
      <c r="M21" s="87"/>
      <c r="N21" s="43"/>
      <c r="O21" s="129"/>
      <c r="P21" s="121"/>
      <c r="Q21" s="14"/>
      <c r="R21" s="133" t="s">
        <v>73</v>
      </c>
      <c r="S21" s="16"/>
      <c r="T21" s="17"/>
      <c r="U21" s="133" t="s">
        <v>73</v>
      </c>
      <c r="V21" s="17"/>
      <c r="W21" s="133">
        <v>0.0</v>
      </c>
      <c r="X21" s="16"/>
      <c r="Y21" s="17"/>
      <c r="Z21" s="134"/>
      <c r="AA21" s="43"/>
      <c r="AB21" s="133">
        <v>0.0</v>
      </c>
      <c r="AC21" s="16"/>
      <c r="AD21" s="17"/>
      <c r="AE21" s="135" t="s">
        <v>74</v>
      </c>
      <c r="AF21" s="17"/>
      <c r="AG21" s="133" t="s">
        <v>74</v>
      </c>
      <c r="AH21" s="17"/>
      <c r="AI21" s="14"/>
      <c r="AJ21" s="45"/>
      <c r="AM21" s="43"/>
      <c r="AN21" s="45"/>
      <c r="AP21" s="43"/>
      <c r="AQ21" s="45"/>
      <c r="AS21" s="43"/>
      <c r="AT21" s="45"/>
      <c r="AV21" s="43"/>
      <c r="AW21" s="14"/>
      <c r="AX21" s="14"/>
      <c r="AY21" s="14"/>
      <c r="AZ21" s="14"/>
    </row>
    <row r="22">
      <c r="A22" s="14"/>
      <c r="B22" s="60" t="str">
        <f>IMAGE("http://vignette2.wikia.nocookie.net/2007scape/images/6/64/Ammo_slot.png/revision/latest?cb=20130227122436")</f>
        <v/>
      </c>
      <c r="C22" s="61" t="s">
        <v>75</v>
      </c>
      <c r="D22" s="61" t="str">
        <f t="array" ref="D22:E22">IF(ISBLANK(E$18),,Sets!C5:D5)</f>
        <v/>
      </c>
      <c r="E22" s="128"/>
      <c r="F22" s="43"/>
      <c r="G22" s="120" t="str">
        <f t="array" ref="G22">IF(ISBLANK(E22),,INDEX(Items!$A$1:$V$698,MATCH(E22,Items!$A$1:$A$698,0),MATCH('Sheet 1'!$E$18&amp;" "&amp;G$18,Items!$A$1:$V$1,0)))</f>
        <v/>
      </c>
      <c r="H22" s="121" t="str">
        <f t="array" ref="H22">IF(ISBLANK(E22),,INDEX(Items!$A$1:$V$698,MATCH(E22,Items!$A$1:$A$698,0),MATCH(IF('Sheet 1'!$E$18="Ranged",Items!$M$1,IF('Sheet 1'!$E$18="MAGIC",Items!$N$1,Items!$L$1)),Items!$A$1:$V$1,0)))</f>
        <v/>
      </c>
      <c r="I22" s="14"/>
      <c r="J22" s="60" t="str">
        <f>IMAGE("http://vignette2.wikia.nocookie.net/2007scape/images/6/64/Ammo_slot.png/revision/latest?cb=20130227122436")</f>
        <v/>
      </c>
      <c r="K22" s="61" t="s">
        <v>75</v>
      </c>
      <c r="L22" s="61" t="str">
        <f t="array" ref="L22:M22">IF(ISBLANK(M$18),,Sets!E5:F5)</f>
        <v/>
      </c>
      <c r="M22" s="87"/>
      <c r="N22" s="43"/>
      <c r="O22" s="129" t="str">
        <f t="array" ref="O22">IF(ISBLANK(M22),,INDEX(Items!$A$1:$V$698,MATCH(M22,Items!$A$1:$A$698,0),MATCH('Sheet 1'!$E$28&amp;" "&amp;O$18,Items!$A$1:$V$1,0)))</f>
        <v/>
      </c>
      <c r="P22" s="121" t="str">
        <f t="array" ref="P22">IF(ISBLANK(M22),,INDEX(Items!$A$1:$V$698,MATCH(M22,Items!$A$1:$A$698,0),MATCH(IF('Sheet 1'!$E$28="Ranged",Items!$M$1,IF('Sheet 1'!$E$28="MAGIC",Items!$N$1,Items!$L$1)),Items!$A$1:$V$1,0)))</f>
        <v/>
      </c>
      <c r="Q22" s="14"/>
      <c r="R22" s="136" t="s">
        <v>76</v>
      </c>
      <c r="T22" s="43"/>
      <c r="U22" s="136" t="s">
        <v>76</v>
      </c>
      <c r="V22" s="43"/>
      <c r="W22" s="136">
        <v>0.0</v>
      </c>
      <c r="Y22" s="43"/>
      <c r="Z22" s="134"/>
      <c r="AA22" s="43"/>
      <c r="AB22" s="136">
        <v>0.0</v>
      </c>
      <c r="AD22" s="43"/>
      <c r="AE22" s="134" t="s">
        <v>77</v>
      </c>
      <c r="AF22" s="43"/>
      <c r="AG22" s="136" t="s">
        <v>77</v>
      </c>
      <c r="AH22" s="43"/>
      <c r="AI22" s="14"/>
      <c r="AJ22" s="45" t="s">
        <v>35</v>
      </c>
      <c r="AM22" s="43"/>
      <c r="AN22" s="45">
        <v>0.0</v>
      </c>
      <c r="AP22" s="43"/>
      <c r="AQ22" s="45">
        <v>0.0</v>
      </c>
      <c r="AS22" s="43"/>
      <c r="AT22" s="45">
        <v>36.0</v>
      </c>
      <c r="AV22" s="43"/>
      <c r="AW22" s="14"/>
      <c r="AX22" s="14"/>
      <c r="AY22" s="14"/>
      <c r="AZ22" s="14"/>
    </row>
    <row r="23">
      <c r="A23" s="14"/>
      <c r="B23" s="60" t="str">
        <f>IMAGE("http://vignette1.wikia.nocookie.net/2007scape/images/3/35/Head_slot.png/revision/latest?cb=20130227123039")</f>
        <v/>
      </c>
      <c r="C23" s="61" t="s">
        <v>78</v>
      </c>
      <c r="D23" s="61" t="str">
        <f t="array" ref="D23:E23">IF(ISBLANK(E$18),,Sets!C6:D6)</f>
        <v/>
      </c>
      <c r="E23" s="128" t="s">
        <v>79</v>
      </c>
      <c r="F23" s="43"/>
      <c r="G23" s="120">
        <f t="array" ref="G23">IF(ISBLANK(E23),,INDEX(Items!$A$1:$V$698,MATCH(E23,Items!$A$1:$A$698,0),MATCH('Sheet 1'!$E$18&amp;" "&amp;G$18,Items!$A$1:$V$1,0)))</f>
        <v>8</v>
      </c>
      <c r="H23" s="121">
        <f t="array" ref="H23">IF(ISBLANK(E23),,INDEX(Items!$A$1:$V$698,MATCH(E23,Items!$A$1:$A$698,0),MATCH(IF('Sheet 1'!$E$18="Ranged",Items!$M$1,IF('Sheet 1'!$E$18="MAGIC",Items!$N$1,Items!$L$1)),Items!$A$1:$V$1,0)))</f>
        <v>0.02</v>
      </c>
      <c r="I23" s="14"/>
      <c r="J23" s="60" t="str">
        <f>IMAGE("http://vignette1.wikia.nocookie.net/2007scape/images/3/35/Head_slot.png/revision/latest?cb=20130227123039")</f>
        <v/>
      </c>
      <c r="K23" s="61" t="s">
        <v>78</v>
      </c>
      <c r="L23" s="61" t="str">
        <f t="array" ref="L23:M23">IF(ISBLANK(M$18),,Sets!E6:F6)</f>
        <v/>
      </c>
      <c r="M23" s="87"/>
      <c r="N23" s="43"/>
      <c r="O23" s="129" t="str">
        <f t="array" ref="O23">IF(ISBLANK(M23),,INDEX(Items!$A$1:$V$698,MATCH(M23,Items!$A$1:$A$698,0),MATCH('Sheet 1'!$E$28&amp;" "&amp;O$18,Items!$A$1:$V$1,0)))</f>
        <v/>
      </c>
      <c r="P23" s="121" t="str">
        <f t="array" ref="P23">IF(ISBLANK(M23),,INDEX(Items!$A$1:$V$698,MATCH(M23,Items!$A$1:$A$698,0),MATCH(IF('Sheet 1'!$E$28="Ranged",Items!$M$1,IF('Sheet 1'!$E$28="MAGIC",Items!$N$1,Items!$L$1)),Items!$A$1:$V$1,0)))</f>
        <v/>
      </c>
      <c r="Q23" s="14"/>
      <c r="R23" s="136" t="s">
        <v>80</v>
      </c>
      <c r="T23" s="43"/>
      <c r="U23" s="136" t="s">
        <v>80</v>
      </c>
      <c r="V23" s="43"/>
      <c r="W23" s="136">
        <v>0.0</v>
      </c>
      <c r="Y23" s="43"/>
      <c r="Z23" s="134"/>
      <c r="AA23" s="43"/>
      <c r="AB23" s="136">
        <v>0.0</v>
      </c>
      <c r="AD23" s="43"/>
      <c r="AE23" s="134" t="s">
        <v>81</v>
      </c>
      <c r="AF23" s="43"/>
      <c r="AG23" s="136" t="s">
        <v>81</v>
      </c>
      <c r="AH23" s="43"/>
      <c r="AI23" s="14"/>
      <c r="AJ23" s="45" t="s">
        <v>39</v>
      </c>
      <c r="AM23" s="43"/>
      <c r="AN23" s="45">
        <v>0.0</v>
      </c>
      <c r="AP23" s="43"/>
      <c r="AQ23" s="45">
        <v>0.0</v>
      </c>
      <c r="AS23" s="43"/>
      <c r="AT23" s="45">
        <v>16.0</v>
      </c>
      <c r="AV23" s="43"/>
      <c r="AW23" s="14"/>
      <c r="AX23" s="14"/>
      <c r="AY23" s="14"/>
      <c r="AZ23" s="14"/>
    </row>
    <row r="24">
      <c r="A24" s="14"/>
      <c r="B24" s="60" t="str">
        <f>IMAGE("http://vignette4.wikia.nocookie.net/2007scape/images/b/ba/Cape_slot.png/revision/latest?cb=20130227182819")</f>
        <v/>
      </c>
      <c r="C24" s="61" t="s">
        <v>82</v>
      </c>
      <c r="D24" s="61" t="str">
        <f t="array" ref="D24:E24">IF(ISBLANK(E$18),,Sets!C7:D7)</f>
        <v/>
      </c>
      <c r="E24" s="128" t="s">
        <v>83</v>
      </c>
      <c r="F24" s="43"/>
      <c r="G24" s="120">
        <f t="array" ref="G24">IF(ISBLANK(E24),,INDEX(Items!$A$1:$V$698,MATCH(E24,Items!$A$1:$A$698,0),MATCH('Sheet 1'!$E$18&amp;" "&amp;G$18,Items!$A$1:$V$1,0)))</f>
        <v>15</v>
      </c>
      <c r="H24" s="121">
        <f t="array" ref="H24">IF(ISBLANK(E24),,INDEX(Items!$A$1:$V$698,MATCH(E24,Items!$A$1:$A$698,0),MATCH(IF('Sheet 1'!$E$18="Ranged",Items!$M$1,IF('Sheet 1'!$E$18="MAGIC",Items!$N$1,Items!$L$1)),Items!$A$1:$V$1,0)))</f>
        <v>0.02</v>
      </c>
      <c r="I24" s="14"/>
      <c r="J24" s="60" t="str">
        <f>IMAGE("http://vignette4.wikia.nocookie.net/2007scape/images/b/ba/Cape_slot.png/revision/latest?cb=20130227182819")</f>
        <v/>
      </c>
      <c r="K24" s="61" t="s">
        <v>82</v>
      </c>
      <c r="L24" s="61" t="str">
        <f t="array" ref="L24:M24">IF(ISBLANK(M$18),,Sets!E7:F7)</f>
        <v/>
      </c>
      <c r="M24" s="87"/>
      <c r="N24" s="43"/>
      <c r="O24" s="129" t="str">
        <f t="array" ref="O24">IF(ISBLANK(M24),,INDEX(Items!$A$1:$V$698,MATCH(M24,Items!$A$1:$A$698,0),MATCH('Sheet 1'!$E$28&amp;" "&amp;O$18,Items!$A$1:$V$1,0)))</f>
        <v/>
      </c>
      <c r="P24" s="121" t="str">
        <f t="array" ref="P24">IF(ISBLANK(M24),,INDEX(Items!$A$1:$V$698,MATCH(M24,Items!$A$1:$A$698,0),MATCH(IF('Sheet 1'!$E$28="Ranged",Items!$M$1,IF('Sheet 1'!$E$28="MAGIC",Items!$N$1,Items!$L$1)),Items!$A$1:$V$1,0)))</f>
        <v/>
      </c>
      <c r="Q24" s="14"/>
      <c r="R24" s="136" t="s">
        <v>84</v>
      </c>
      <c r="T24" s="43"/>
      <c r="U24" s="136" t="s">
        <v>84</v>
      </c>
      <c r="V24" s="43"/>
      <c r="W24" s="136">
        <v>0.0</v>
      </c>
      <c r="Y24" s="43"/>
      <c r="Z24" s="134"/>
      <c r="AA24" s="43"/>
      <c r="AB24" s="136">
        <v>0.0</v>
      </c>
      <c r="AD24" s="43"/>
      <c r="AE24" s="134" t="s">
        <v>85</v>
      </c>
      <c r="AF24" s="43"/>
      <c r="AG24" s="136" t="s">
        <v>85</v>
      </c>
      <c r="AH24" s="43"/>
      <c r="AI24" s="14"/>
      <c r="AJ24" s="45"/>
      <c r="AM24" s="43"/>
      <c r="AN24" s="45"/>
      <c r="AP24" s="43"/>
      <c r="AQ24" s="45"/>
      <c r="AS24" s="43"/>
      <c r="AT24" s="101"/>
      <c r="AU24" s="25"/>
      <c r="AV24" s="26"/>
      <c r="AW24" s="14"/>
      <c r="AX24" s="14"/>
      <c r="AY24" s="14"/>
      <c r="AZ24" s="14"/>
    </row>
    <row r="25">
      <c r="A25" s="14"/>
      <c r="B25" s="60" t="str">
        <f>IMAGE("http://vignette2.wikia.nocookie.net/2007scape/images/b/b4/Neck_slot.png/revision/latest?cb=20130227122801")</f>
        <v/>
      </c>
      <c r="C25" s="61" t="s">
        <v>86</v>
      </c>
      <c r="D25" s="61" t="str">
        <f t="array" ref="D25:E25">IF(ISBLANK(E$18),,Sets!C8:D8)</f>
        <v/>
      </c>
      <c r="E25" s="128" t="s">
        <v>87</v>
      </c>
      <c r="F25" s="43"/>
      <c r="G25" s="120">
        <f t="array" ref="G25">IF(ISBLANK(E25),,INDEX(Items!$A$1:$V$698,MATCH(E25,Items!$A$1:$A$698,0),MATCH('Sheet 1'!$E$18&amp;" "&amp;G$18,Items!$A$1:$V$1,0)))</f>
        <v>12</v>
      </c>
      <c r="H25" s="121">
        <f t="array" ref="H25">IF(ISBLANK(E25),,INDEX(Items!$A$1:$V$698,MATCH(E25,Items!$A$1:$A$698,0),MATCH(IF('Sheet 1'!$E$18="Ranged",Items!$M$1,IF('Sheet 1'!$E$18="MAGIC",Items!$N$1,Items!$L$1)),Items!$A$1:$V$1,0)))</f>
        <v>0.1</v>
      </c>
      <c r="I25" s="14"/>
      <c r="J25" s="60" t="str">
        <f>IMAGE("http://vignette2.wikia.nocookie.net/2007scape/images/b/b4/Neck_slot.png/revision/latest?cb=20130227122801")</f>
        <v/>
      </c>
      <c r="K25" s="61" t="s">
        <v>86</v>
      </c>
      <c r="L25" s="61" t="str">
        <f t="array" ref="L25:M25">IF(ISBLANK(M$18),,Sets!E8:F8)</f>
        <v/>
      </c>
      <c r="M25" s="87"/>
      <c r="N25" s="43"/>
      <c r="O25" s="129" t="str">
        <f t="array" ref="O25">IF(ISBLANK(M25),,INDEX(Items!$A$1:$V$698,MATCH(M25,Items!$A$1:$A$698,0),MATCH('Sheet 1'!$E$28&amp;" "&amp;O$18,Items!$A$1:$V$1,0)))</f>
        <v/>
      </c>
      <c r="P25" s="121" t="str">
        <f t="array" ref="P25">IF(ISBLANK(M25),,INDEX(Items!$A$1:$V$698,MATCH(M25,Items!$A$1:$A$698,0),MATCH(IF('Sheet 1'!$E$28="Ranged",Items!$M$1,IF('Sheet 1'!$E$28="MAGIC",Items!$N$1,Items!$L$1)),Items!$A$1:$V$1,0)))</f>
        <v/>
      </c>
      <c r="Q25" s="14"/>
      <c r="R25" s="136" t="s">
        <v>88</v>
      </c>
      <c r="T25" s="43"/>
      <c r="U25" s="136" t="s">
        <v>88</v>
      </c>
      <c r="V25" s="43"/>
      <c r="W25" s="136">
        <v>0.0</v>
      </c>
      <c r="Y25" s="43"/>
      <c r="Z25" s="134"/>
      <c r="AA25" s="43"/>
      <c r="AB25" s="136">
        <v>0.0</v>
      </c>
      <c r="AD25" s="43"/>
      <c r="AE25" s="134" t="s">
        <v>89</v>
      </c>
      <c r="AF25" s="43"/>
      <c r="AG25" s="136" t="s">
        <v>89</v>
      </c>
      <c r="AH25" s="43"/>
      <c r="AI25" s="14"/>
      <c r="AJ25" s="137"/>
      <c r="AK25" s="22"/>
      <c r="AL25" s="22"/>
      <c r="AM25" s="23"/>
      <c r="AN25" s="137"/>
      <c r="AO25" s="22"/>
      <c r="AP25" s="23"/>
      <c r="AQ25" s="137"/>
      <c r="AR25" s="22"/>
      <c r="AS25" s="23"/>
      <c r="AT25" s="101"/>
      <c r="AU25" s="25"/>
      <c r="AV25" s="26"/>
      <c r="AW25" s="14"/>
      <c r="AX25" s="14"/>
      <c r="AY25" s="14"/>
      <c r="AZ25" s="14"/>
    </row>
    <row r="26">
      <c r="A26" s="14"/>
      <c r="B26" s="60" t="str">
        <f>IMAGE("http://vignette1.wikia.nocookie.net/2007scape/images/3/33/Torso_slot.png/revision/latest?cb=20130227120231")</f>
        <v/>
      </c>
      <c r="C26" s="61" t="s">
        <v>90</v>
      </c>
      <c r="D26" s="61" t="str">
        <f t="array" ref="D26:E26">IF(ISBLANK(E$18),,Sets!C9:D9)</f>
        <v/>
      </c>
      <c r="E26" s="128" t="s">
        <v>91</v>
      </c>
      <c r="F26" s="43"/>
      <c r="G26" s="120">
        <f t="array" ref="G26">IF(ISBLANK(E26),,INDEX(Items!$A$1:$V$698,MATCH(E26,Items!$A$1:$A$698,0),MATCH('Sheet 1'!$E$18&amp;" "&amp;G$18,Items!$A$1:$V$1,0)))</f>
        <v>35</v>
      </c>
      <c r="H26" s="121">
        <f t="array" ref="H26">IF(ISBLANK(E26),,INDEX(Items!$A$1:$V$698,MATCH(E26,Items!$A$1:$A$698,0),MATCH(IF('Sheet 1'!$E$18="Ranged",Items!$M$1,IF('Sheet 1'!$E$18="MAGIC",Items!$N$1,Items!$L$1)),Items!$A$1:$V$1,0)))</f>
        <v>0.02</v>
      </c>
      <c r="I26" s="14"/>
      <c r="J26" s="60" t="str">
        <f>IMAGE("http://vignette1.wikia.nocookie.net/2007scape/images/3/33/Torso_slot.png/revision/latest?cb=20130227120231")</f>
        <v/>
      </c>
      <c r="K26" s="61" t="s">
        <v>90</v>
      </c>
      <c r="L26" s="61" t="str">
        <f t="array" ref="L26:M26">IF(ISBLANK(M$18),,Sets!E9:F9)</f>
        <v/>
      </c>
      <c r="M26" s="87"/>
      <c r="N26" s="43"/>
      <c r="O26" s="129" t="str">
        <f t="array" ref="O26">IF(ISBLANK(M26),,INDEX(Items!$A$1:$V$698,MATCH(M26,Items!$A$1:$A$698,0),MATCH('Sheet 1'!$E$28&amp;" "&amp;O$18,Items!$A$1:$V$1,0)))</f>
        <v/>
      </c>
      <c r="P26" s="121" t="str">
        <f t="array" ref="P26">IF(ISBLANK(M26),,INDEX(Items!$A$1:$V$698,MATCH(M26,Items!$A$1:$A$698,0),MATCH(IF('Sheet 1'!$E$28="Ranged",Items!$M$1,IF('Sheet 1'!$E$28="MAGIC",Items!$N$1,Items!$L$1)),Items!$A$1:$V$1,0)))</f>
        <v/>
      </c>
      <c r="Q26" s="14"/>
      <c r="R26" s="136" t="s">
        <v>92</v>
      </c>
      <c r="T26" s="43"/>
      <c r="U26" s="136" t="s">
        <v>92</v>
      </c>
      <c r="V26" s="43"/>
      <c r="W26" s="136">
        <v>0.0</v>
      </c>
      <c r="Y26" s="43"/>
      <c r="Z26" s="134"/>
      <c r="AA26" s="43"/>
      <c r="AB26" s="136">
        <v>0.0</v>
      </c>
      <c r="AD26" s="43"/>
      <c r="AE26" s="134" t="s">
        <v>93</v>
      </c>
      <c r="AF26" s="43"/>
      <c r="AG26" s="136" t="s">
        <v>93</v>
      </c>
      <c r="AH26" s="43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>
      <c r="A27" s="14"/>
      <c r="B27" s="60" t="str">
        <f>IMAGE("http://vignette3.wikia.nocookie.net/2007scape/images/2/25/Legs_slot.png/revision/latest?cb=20130227123853")</f>
        <v/>
      </c>
      <c r="C27" s="61" t="s">
        <v>94</v>
      </c>
      <c r="D27" s="61" t="str">
        <f t="array" ref="D27:E27">IF(ISBLANK(E$18),,Sets!C10:D10)</f>
        <v/>
      </c>
      <c r="E27" s="128" t="s">
        <v>95</v>
      </c>
      <c r="F27" s="43"/>
      <c r="G27" s="120">
        <f t="array" ref="G27">IF(ISBLANK(E27),,INDEX(Items!$A$1:$V$698,MATCH(E27,Items!$A$1:$A$698,0),MATCH('Sheet 1'!$E$18&amp;" "&amp;G$18,Items!$A$1:$V$1,0)))</f>
        <v>26</v>
      </c>
      <c r="H27" s="121">
        <f t="array" ref="H27">IF(ISBLANK(E27),,INDEX(Items!$A$1:$V$698,MATCH(E27,Items!$A$1:$A$698,0),MATCH(IF('Sheet 1'!$E$18="Ranged",Items!$M$1,IF('Sheet 1'!$E$18="MAGIC",Items!$N$1,Items!$L$1)),Items!$A$1:$V$1,0)))</f>
        <v>0.02</v>
      </c>
      <c r="I27" s="14"/>
      <c r="J27" s="60" t="str">
        <f>IMAGE("http://vignette3.wikia.nocookie.net/2007scape/images/2/25/Legs_slot.png/revision/latest?cb=20130227123853")</f>
        <v/>
      </c>
      <c r="K27" s="61" t="s">
        <v>94</v>
      </c>
      <c r="L27" s="61" t="str">
        <f t="array" ref="L27:M27">IF(ISBLANK(M$18),,Sets!E10:F10)</f>
        <v/>
      </c>
      <c r="M27" s="87"/>
      <c r="N27" s="43"/>
      <c r="O27" s="129" t="str">
        <f t="array" ref="O27">IF(ISBLANK(M27),,INDEX(Items!$A$1:$V$698,MATCH(M27,Items!$A$1:$A$698,0),MATCH('Sheet 1'!$E$28&amp;" "&amp;O$18,Items!$A$1:$V$1,0)))</f>
        <v/>
      </c>
      <c r="P27" s="121" t="str">
        <f t="array" ref="P27">IF(ISBLANK(M27),,INDEX(Items!$A$1:$V$698,MATCH(M27,Items!$A$1:$A$698,0),MATCH(IF('Sheet 1'!$E$28="Ranged",Items!$M$1,IF('Sheet 1'!$E$28="MAGIC",Items!$N$1,Items!$L$1)),Items!$A$1:$V$1,0)))</f>
        <v/>
      </c>
      <c r="Q27" s="14"/>
      <c r="R27" s="136" t="s">
        <v>96</v>
      </c>
      <c r="T27" s="43"/>
      <c r="U27" s="136" t="s">
        <v>96</v>
      </c>
      <c r="V27" s="43"/>
      <c r="W27" s="136">
        <v>0.0</v>
      </c>
      <c r="Y27" s="43"/>
      <c r="Z27" s="134"/>
      <c r="AA27" s="43"/>
      <c r="AB27" s="136">
        <v>0.0</v>
      </c>
      <c r="AD27" s="43"/>
      <c r="AE27" s="134" t="s">
        <v>97</v>
      </c>
      <c r="AF27" s="43"/>
      <c r="AG27" s="136" t="s">
        <v>97</v>
      </c>
      <c r="AH27" s="43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>
      <c r="A28" s="14"/>
      <c r="B28" s="60" t="str">
        <f>IMAGE("http://vignette3.wikia.nocookie.net/2007scape/images/d/d9/Shield_slot.png/revision/latest?cb=20130227123309")</f>
        <v/>
      </c>
      <c r="C28" s="61" t="s">
        <v>98</v>
      </c>
      <c r="D28" s="61" t="str">
        <f t="array" ref="D28:E28">IF(ISBLANK(E$18),,Sets!C11:D11)</f>
        <v/>
      </c>
      <c r="E28" s="128" t="s">
        <v>99</v>
      </c>
      <c r="F28" s="43"/>
      <c r="G28" s="120">
        <f t="array" ref="G28">IF(ISBLANK(E28),,INDEX(Items!$A$1:$V$698,MATCH(E28,Items!$A$1:$A$698,0),MATCH('Sheet 1'!$E$18&amp;" "&amp;G$18,Items!$A$1:$V$1,0)))</f>
        <v>8</v>
      </c>
      <c r="H28" s="121" t="str">
        <f t="array" ref="H28">IF(ISBLANK(E28),,INDEX(Items!$A$1:$V$698,MATCH(E28,Items!$A$1:$A$698,0),MATCH(IF('Sheet 1'!$E$18="Ranged",Items!$M$1,IF('Sheet 1'!$E$18="MAGIC",Items!$N$1,Items!$L$1)),Items!$A$1:$V$1,0)))</f>
        <v/>
      </c>
      <c r="I28" s="14"/>
      <c r="J28" s="60" t="str">
        <f>IMAGE("http://vignette3.wikia.nocookie.net/2007scape/images/d/d9/Shield_slot.png/revision/latest?cb=20130227123309")</f>
        <v/>
      </c>
      <c r="K28" s="61" t="s">
        <v>98</v>
      </c>
      <c r="L28" s="61" t="str">
        <f t="array" ref="L28:M28">IF(ISBLANK(M$18),,Sets!E11:F11)</f>
        <v/>
      </c>
      <c r="M28" s="87"/>
      <c r="N28" s="43"/>
      <c r="O28" s="129" t="str">
        <f t="array" ref="O28">IF(ISBLANK(M28),,INDEX(Items!$A$1:$V$698,MATCH(M28,Items!$A$1:$A$698,0),MATCH('Sheet 1'!$E$28&amp;" "&amp;O$18,Items!$A$1:$V$1,0)))</f>
        <v/>
      </c>
      <c r="P28" s="121" t="str">
        <f t="array" ref="P28">IF(ISBLANK(M28),,INDEX(Items!$A$1:$V$698,MATCH(M28,Items!$A$1:$A$698,0),MATCH(IF('Sheet 1'!$E$28="Ranged",Items!$M$1,IF('Sheet 1'!$E$28="MAGIC",Items!$N$1,Items!$L$1)),Items!$A$1:$V$1,0)))</f>
        <v/>
      </c>
      <c r="Q28" s="14"/>
      <c r="R28" s="136" t="s">
        <v>100</v>
      </c>
      <c r="T28" s="43"/>
      <c r="U28" s="136" t="s">
        <v>100</v>
      </c>
      <c r="V28" s="43"/>
      <c r="W28" s="136">
        <v>0.0</v>
      </c>
      <c r="Y28" s="43"/>
      <c r="Z28" s="134"/>
      <c r="AA28" s="43"/>
      <c r="AB28" s="136">
        <v>0.0</v>
      </c>
      <c r="AD28" s="43"/>
      <c r="AE28" s="134" t="s">
        <v>101</v>
      </c>
      <c r="AF28" s="43"/>
      <c r="AG28" s="136" t="s">
        <v>101</v>
      </c>
      <c r="AH28" s="43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>
      <c r="A29" s="14"/>
      <c r="B29" s="60" t="str">
        <f>IMAGE("http://vignette1.wikia.nocookie.net/2007scape/images/6/69/Gloves_slot.png/revision/latest?cb=20130227123502")</f>
        <v/>
      </c>
      <c r="C29" s="61" t="s">
        <v>102</v>
      </c>
      <c r="D29" s="61" t="str">
        <f t="array" ref="D29:E29">IF(ISBLANK(E$18),,Sets!C12:D12)</f>
        <v/>
      </c>
      <c r="E29" s="128" t="s">
        <v>103</v>
      </c>
      <c r="F29" s="43"/>
      <c r="G29" s="120">
        <f t="array" ref="G29">IF(ISBLANK(E29),,INDEX(Items!$A$1:$V$698,MATCH(E29,Items!$A$1:$A$698,0),MATCH('Sheet 1'!$E$18&amp;" "&amp;G$18,Items!$A$1:$V$1,0)))</f>
        <v>10</v>
      </c>
      <c r="H29" s="121">
        <f t="array" ref="H29">IF(ISBLANK(E29),,INDEX(Items!$A$1:$V$698,MATCH(E29,Items!$A$1:$A$698,0),MATCH(IF('Sheet 1'!$E$18="Ranged",Items!$M$1,IF('Sheet 1'!$E$18="MAGIC",Items!$N$1,Items!$L$1)),Items!$A$1:$V$1,0)))</f>
        <v>0.05</v>
      </c>
      <c r="I29" s="14"/>
      <c r="J29" s="60" t="str">
        <f>IMAGE("http://vignette1.wikia.nocookie.net/2007scape/images/6/69/Gloves_slot.png/revision/latest?cb=20130227123502")</f>
        <v/>
      </c>
      <c r="K29" s="61" t="s">
        <v>102</v>
      </c>
      <c r="L29" s="61" t="str">
        <f t="array" ref="L29:M29">IF(ISBLANK(M$18),,Sets!E12:F12)</f>
        <v/>
      </c>
      <c r="M29" s="87"/>
      <c r="N29" s="43"/>
      <c r="O29" s="129" t="str">
        <f t="array" ref="O29">IF(ISBLANK(M29),,INDEX(Items!$A$1:$V$698,MATCH(M29,Items!$A$1:$A$698,0),MATCH('Sheet 1'!$E$28&amp;" "&amp;O$18,Items!$A$1:$V$1,0)))</f>
        <v/>
      </c>
      <c r="P29" s="121" t="str">
        <f t="array" ref="P29">IF(ISBLANK(M29),,INDEX(Items!$A$1:$V$698,MATCH(M29,Items!$A$1:$A$698,0),MATCH(IF('Sheet 1'!$E$28="Ranged",Items!$M$1,IF('Sheet 1'!$E$28="MAGIC",Items!$N$1,Items!$L$1)),Items!$A$1:$V$1,0)))</f>
        <v/>
      </c>
      <c r="Q29" s="14"/>
      <c r="R29" s="136" t="s">
        <v>104</v>
      </c>
      <c r="T29" s="43"/>
      <c r="U29" s="136" t="s">
        <v>104</v>
      </c>
      <c r="V29" s="43"/>
      <c r="W29" s="136">
        <v>0.0</v>
      </c>
      <c r="Y29" s="43"/>
      <c r="Z29" s="134"/>
      <c r="AA29" s="43"/>
      <c r="AB29" s="136">
        <v>0.0</v>
      </c>
      <c r="AD29" s="43"/>
      <c r="AE29" s="134" t="s">
        <v>105</v>
      </c>
      <c r="AF29" s="43"/>
      <c r="AG29" s="136" t="s">
        <v>105</v>
      </c>
      <c r="AH29" s="43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>
      <c r="A30" s="14"/>
      <c r="B30" s="60" t="str">
        <f>IMAGE("http://vignette2.wikia.nocookie.net/2007scape/images/b/b0/Boots_slot.png/revision/latest?cb=20130227123356")</f>
        <v/>
      </c>
      <c r="C30" s="61" t="s">
        <v>106</v>
      </c>
      <c r="D30" s="61" t="str">
        <f t="array" ref="D30:E30">IF(ISBLANK(E$18),,Sets!C13:D13)</f>
        <v/>
      </c>
      <c r="E30" s="128" t="s">
        <v>107</v>
      </c>
      <c r="F30" s="43"/>
      <c r="G30" s="120">
        <f t="array" ref="G30">IF(ISBLANK(E30),,INDEX(Items!$A$1:$V$698,MATCH(E30,Items!$A$1:$A$698,0),MATCH('Sheet 1'!$E$18&amp;" "&amp;G$18,Items!$A$1:$V$1,0)))</f>
        <v>8</v>
      </c>
      <c r="H30" s="121" t="str">
        <f t="array" ref="H30">IF(ISBLANK(E30),,INDEX(Items!$A$1:$V$698,MATCH(E30,Items!$A$1:$A$698,0),MATCH(IF('Sheet 1'!$E$18="Ranged",Items!$M$1,IF('Sheet 1'!$E$18="MAGIC",Items!$N$1,Items!$L$1)),Items!$A$1:$V$1,0)))</f>
        <v/>
      </c>
      <c r="I30" s="14"/>
      <c r="J30" s="60" t="str">
        <f>IMAGE("http://vignette2.wikia.nocookie.net/2007scape/images/b/b0/Boots_slot.png/revision/latest?cb=20130227123356")</f>
        <v/>
      </c>
      <c r="K30" s="61" t="s">
        <v>106</v>
      </c>
      <c r="L30" s="61" t="str">
        <f t="array" ref="L30:M30">IF(ISBLANK(M$18),,Sets!E13:F13)</f>
        <v/>
      </c>
      <c r="M30" s="87"/>
      <c r="N30" s="43"/>
      <c r="O30" s="129" t="str">
        <f t="array" ref="O30">IF(ISBLANK(M30),,INDEX(Items!$A$1:$V$698,MATCH(M30,Items!$A$1:$A$698,0),MATCH('Sheet 1'!$E$28&amp;" "&amp;O$18,Items!$A$1:$V$1,0)))</f>
        <v/>
      </c>
      <c r="P30" s="121" t="str">
        <f t="array" ref="P30">IF(ISBLANK(M30),,INDEX(Items!$A$1:$V$698,MATCH(M30,Items!$A$1:$A$698,0),MATCH(IF('Sheet 1'!$E$28="Ranged",Items!$M$1,IF('Sheet 1'!$E$28="MAGIC",Items!$N$1,Items!$L$1)),Items!$A$1:$V$1,0)))</f>
        <v/>
      </c>
      <c r="Q30" s="14"/>
      <c r="R30" s="136" t="s">
        <v>108</v>
      </c>
      <c r="T30" s="43"/>
      <c r="U30" s="136" t="s">
        <v>108</v>
      </c>
      <c r="V30" s="43"/>
      <c r="W30" s="136">
        <v>0.0</v>
      </c>
      <c r="Y30" s="43"/>
      <c r="Z30" s="134"/>
      <c r="AA30" s="43"/>
      <c r="AB30" s="136">
        <v>0.0</v>
      </c>
      <c r="AD30" s="43"/>
      <c r="AE30" s="134" t="s">
        <v>73</v>
      </c>
      <c r="AF30" s="43"/>
      <c r="AG30" s="136" t="s">
        <v>73</v>
      </c>
      <c r="AH30" s="43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>
      <c r="A31" s="14"/>
      <c r="B31" s="60" t="str">
        <f>IMAGE("http://vignette3.wikia.nocookie.net/2007scape/images/9/9f/Ring_slot.png/revision/latest?cb=20130227123624")</f>
        <v/>
      </c>
      <c r="C31" s="61" t="s">
        <v>109</v>
      </c>
      <c r="D31" s="61" t="str">
        <f t="array" ref="D31:E31">IF(ISBLANK(E$18),,Sets!C14:D14)</f>
        <v/>
      </c>
      <c r="E31" s="138" t="s">
        <v>110</v>
      </c>
      <c r="F31" s="26"/>
      <c r="G31" s="120">
        <f t="array" ref="G31">IF(ISBLANK(E31),,INDEX(Items!$A$1:$V$698,MATCH(E31,Items!$A$1:$A$698,0),MATCH('Sheet 1'!$E$18&amp;" "&amp;G$18,Items!$A$1:$V$1,0)))</f>
        <v>12</v>
      </c>
      <c r="H31" s="121" t="str">
        <f t="array" ref="H31">IF(ISBLANK(E31),,INDEX(Items!$A$1:$V$698,MATCH(E31,Items!$A$1:$A$698,0),MATCH(IF('Sheet 1'!$E$18="Ranged",Items!$M$1,IF('Sheet 1'!$E$18="MAGIC",Items!$N$1,Items!$L$1)),Items!$A$1:$V$1,0)))</f>
        <v/>
      </c>
      <c r="I31" s="14"/>
      <c r="J31" s="60" t="str">
        <f>IMAGE("http://vignette3.wikia.nocookie.net/2007scape/images/9/9f/Ring_slot.png/revision/latest?cb=20130227123624")</f>
        <v/>
      </c>
      <c r="K31" s="61" t="s">
        <v>109</v>
      </c>
      <c r="L31" s="61" t="str">
        <f t="array" ref="L31:M31">IF(ISBLANK(M$18),,Sets!E14:F14)</f>
        <v/>
      </c>
      <c r="M31" s="111"/>
      <c r="N31" s="26"/>
      <c r="O31" s="139" t="str">
        <f t="array" ref="O31">IF(ISBLANK(M31),,INDEX(Items!$A$1:$V$698,MATCH(M31,Items!$A$1:$A$698,0),MATCH('Sheet 1'!$E$28&amp;" "&amp;O$18,Items!$A$1:$V$1,0)))</f>
        <v/>
      </c>
      <c r="P31" s="140" t="str">
        <f t="array" ref="P31">IF(ISBLANK(M31),,INDEX(Items!$A$1:$V$698,MATCH(M31,Items!$A$1:$A$698,0),MATCH(IF('Sheet 1'!$E$28="Ranged",Items!$M$1,IF('Sheet 1'!$E$28="MAGIC",Items!$N$1,Items!$L$1)),Items!$A$1:$V$1,0)))</f>
        <v/>
      </c>
      <c r="Q31" s="14"/>
      <c r="R31" s="136" t="s">
        <v>111</v>
      </c>
      <c r="T31" s="43"/>
      <c r="U31" s="136" t="s">
        <v>111</v>
      </c>
      <c r="V31" s="43"/>
      <c r="W31" s="136">
        <v>0.0</v>
      </c>
      <c r="Y31" s="43"/>
      <c r="Z31" s="134"/>
      <c r="AA31" s="43"/>
      <c r="AB31" s="136">
        <v>0.0</v>
      </c>
      <c r="AD31" s="43"/>
      <c r="AE31" s="134" t="s">
        <v>76</v>
      </c>
      <c r="AF31" s="43"/>
      <c r="AG31" s="136" t="s">
        <v>76</v>
      </c>
      <c r="AH31" s="43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>
      <c r="A32" s="14"/>
      <c r="B32" s="33"/>
      <c r="C32" s="141" t="s">
        <v>112</v>
      </c>
      <c r="D32" s="31"/>
      <c r="E32" s="31"/>
      <c r="F32" s="22"/>
      <c r="G32" s="142"/>
      <c r="H32" s="142"/>
      <c r="I32" s="14"/>
      <c r="J32" s="33"/>
      <c r="K32" s="141" t="s">
        <v>112</v>
      </c>
      <c r="L32" s="31"/>
      <c r="M32" s="31"/>
      <c r="N32" s="22"/>
      <c r="O32" s="73"/>
      <c r="P32" s="94"/>
      <c r="Q32" s="14"/>
      <c r="R32" s="136" t="s">
        <v>111</v>
      </c>
      <c r="T32" s="43"/>
      <c r="U32" s="136" t="s">
        <v>111</v>
      </c>
      <c r="V32" s="43"/>
      <c r="W32" s="136">
        <v>0.0</v>
      </c>
      <c r="Y32" s="43"/>
      <c r="Z32" s="134"/>
      <c r="AA32" s="43"/>
      <c r="AB32" s="136">
        <v>0.0</v>
      </c>
      <c r="AD32" s="43"/>
      <c r="AE32" s="134" t="s">
        <v>80</v>
      </c>
      <c r="AF32" s="43"/>
      <c r="AG32" s="136" t="s">
        <v>80</v>
      </c>
      <c r="AH32" s="43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>
      <c r="A33" s="14"/>
      <c r="B33" s="21"/>
      <c r="C33" s="31" t="s">
        <v>113</v>
      </c>
      <c r="D33" s="31"/>
      <c r="E33" s="33"/>
      <c r="F33" s="23"/>
      <c r="G33" s="143">
        <f t="shared" ref="G33:H33" si="2">SUM(G19:G32)</f>
        <v>150</v>
      </c>
      <c r="H33" s="105">
        <f t="shared" si="2"/>
        <v>0.38</v>
      </c>
      <c r="I33" s="14"/>
      <c r="J33" s="144"/>
      <c r="K33" s="31" t="s">
        <v>113</v>
      </c>
      <c r="L33" s="31"/>
      <c r="M33" s="33"/>
      <c r="N33" s="23"/>
      <c r="O33" s="145">
        <f t="shared" ref="O33:P33" si="3">SUM(O19:O32)</f>
        <v>0</v>
      </c>
      <c r="P33" s="105">
        <f t="shared" si="3"/>
        <v>0</v>
      </c>
      <c r="Q33" s="14"/>
      <c r="R33" s="136" t="s">
        <v>111</v>
      </c>
      <c r="T33" s="43"/>
      <c r="U33" s="136" t="s">
        <v>111</v>
      </c>
      <c r="V33" s="43"/>
      <c r="W33" s="136">
        <v>0.0</v>
      </c>
      <c r="Y33" s="43"/>
      <c r="Z33" s="134"/>
      <c r="AA33" s="43"/>
      <c r="AB33" s="136">
        <v>0.0</v>
      </c>
      <c r="AD33" s="43"/>
      <c r="AE33" s="134" t="s">
        <v>84</v>
      </c>
      <c r="AF33" s="43"/>
      <c r="AG33" s="136" t="s">
        <v>84</v>
      </c>
      <c r="AH33" s="43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>
      <c r="A34" s="14"/>
      <c r="B34" s="14"/>
      <c r="F34" s="146"/>
      <c r="G34" s="147"/>
      <c r="I34" s="39"/>
      <c r="J34" s="39"/>
      <c r="K34" s="39"/>
      <c r="L34" s="39"/>
      <c r="M34" s="39"/>
      <c r="N34" s="39"/>
      <c r="O34" s="39"/>
      <c r="P34" s="14"/>
      <c r="Q34" s="14"/>
      <c r="R34" s="136" t="s">
        <v>111</v>
      </c>
      <c r="T34" s="43"/>
      <c r="U34" s="136" t="s">
        <v>111</v>
      </c>
      <c r="V34" s="43"/>
      <c r="W34" s="136">
        <v>0.0</v>
      </c>
      <c r="Y34" s="43"/>
      <c r="Z34" s="134"/>
      <c r="AA34" s="43"/>
      <c r="AB34" s="136">
        <v>0.0</v>
      </c>
      <c r="AD34" s="43"/>
      <c r="AE34" s="134" t="s">
        <v>88</v>
      </c>
      <c r="AF34" s="43"/>
      <c r="AG34" s="136" t="s">
        <v>88</v>
      </c>
      <c r="AH34" s="43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>
      <c r="A35" s="14"/>
      <c r="B35" s="148" t="s">
        <v>114</v>
      </c>
      <c r="I35" s="39"/>
      <c r="J35" s="39"/>
      <c r="K35" s="39"/>
      <c r="L35" s="39"/>
      <c r="M35" s="39"/>
      <c r="N35" s="39"/>
      <c r="O35" s="39"/>
      <c r="P35" s="14"/>
      <c r="Q35" s="14"/>
      <c r="R35" s="136" t="s">
        <v>111</v>
      </c>
      <c r="T35" s="43"/>
      <c r="U35" s="136" t="s">
        <v>111</v>
      </c>
      <c r="V35" s="43"/>
      <c r="W35" s="136">
        <v>0.0</v>
      </c>
      <c r="Y35" s="43"/>
      <c r="Z35" s="134"/>
      <c r="AA35" s="43"/>
      <c r="AB35" s="136">
        <v>0.0</v>
      </c>
      <c r="AD35" s="43"/>
      <c r="AE35" s="134" t="s">
        <v>92</v>
      </c>
      <c r="AF35" s="43"/>
      <c r="AG35" s="136" t="s">
        <v>92</v>
      </c>
      <c r="AH35" s="43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>
      <c r="A36" s="14"/>
      <c r="B36" s="14"/>
      <c r="C36" s="39"/>
      <c r="D36" s="14"/>
      <c r="G36" s="149"/>
      <c r="I36" s="39"/>
      <c r="J36" s="39"/>
      <c r="K36" s="39"/>
      <c r="L36" s="39"/>
      <c r="M36" s="39"/>
      <c r="N36" s="39"/>
      <c r="O36" s="39"/>
      <c r="P36" s="14"/>
      <c r="Q36" s="14"/>
      <c r="R36" s="136" t="s">
        <v>111</v>
      </c>
      <c r="T36" s="43"/>
      <c r="U36" s="136" t="s">
        <v>111</v>
      </c>
      <c r="V36" s="43"/>
      <c r="W36" s="136">
        <v>0.0</v>
      </c>
      <c r="Y36" s="43"/>
      <c r="Z36" s="134"/>
      <c r="AA36" s="43"/>
      <c r="AB36" s="136">
        <v>0.0</v>
      </c>
      <c r="AD36" s="43"/>
      <c r="AE36" s="134" t="s">
        <v>96</v>
      </c>
      <c r="AF36" s="43"/>
      <c r="AG36" s="136" t="s">
        <v>96</v>
      </c>
      <c r="AH36" s="43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>
      <c r="A37" s="14"/>
      <c r="B37" s="14"/>
      <c r="C37" s="39"/>
      <c r="G37" s="149"/>
      <c r="I37" s="39"/>
      <c r="J37" s="39"/>
      <c r="K37" s="39"/>
      <c r="L37" s="39"/>
      <c r="M37" s="39"/>
      <c r="N37" s="39"/>
      <c r="O37" s="39"/>
      <c r="P37" s="14"/>
      <c r="Q37" s="14"/>
      <c r="R37" s="136" t="s">
        <v>111</v>
      </c>
      <c r="T37" s="43"/>
      <c r="U37" s="136" t="s">
        <v>111</v>
      </c>
      <c r="V37" s="43"/>
      <c r="W37" s="136">
        <v>0.0</v>
      </c>
      <c r="Y37" s="43"/>
      <c r="Z37" s="134"/>
      <c r="AA37" s="43"/>
      <c r="AB37" s="136">
        <v>0.0</v>
      </c>
      <c r="AD37" s="43"/>
      <c r="AE37" s="134" t="s">
        <v>100</v>
      </c>
      <c r="AF37" s="43"/>
      <c r="AG37" s="136" t="s">
        <v>100</v>
      </c>
      <c r="AH37" s="43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>
      <c r="A38" s="14"/>
      <c r="B38" s="14"/>
      <c r="E38" s="150"/>
      <c r="G38" s="149"/>
      <c r="I38" s="39"/>
      <c r="J38" s="39"/>
      <c r="K38" s="39"/>
      <c r="L38" s="39"/>
      <c r="M38" s="39"/>
      <c r="N38" s="39"/>
      <c r="O38" s="39"/>
      <c r="P38" s="14"/>
      <c r="Q38" s="14"/>
      <c r="R38" s="136" t="s">
        <v>111</v>
      </c>
      <c r="T38" s="43"/>
      <c r="U38" s="136" t="s">
        <v>111</v>
      </c>
      <c r="V38" s="43"/>
      <c r="W38" s="136">
        <v>0.0</v>
      </c>
      <c r="Y38" s="43"/>
      <c r="Z38" s="134"/>
      <c r="AA38" s="43"/>
      <c r="AB38" s="136">
        <v>0.0</v>
      </c>
      <c r="AD38" s="43"/>
      <c r="AE38" s="134" t="s">
        <v>104</v>
      </c>
      <c r="AF38" s="43"/>
      <c r="AG38" s="136" t="s">
        <v>104</v>
      </c>
      <c r="AH38" s="43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>
      <c r="A39" s="14"/>
      <c r="B39" s="14"/>
      <c r="E39" s="150"/>
      <c r="G39" s="149"/>
      <c r="I39" s="39"/>
      <c r="J39" s="39"/>
      <c r="K39" s="39"/>
      <c r="L39" s="39"/>
      <c r="M39" s="39"/>
      <c r="N39" s="39"/>
      <c r="O39" s="39"/>
      <c r="P39" s="14"/>
      <c r="Q39" s="14"/>
      <c r="R39" s="136" t="s">
        <v>111</v>
      </c>
      <c r="T39" s="43"/>
      <c r="U39" s="136" t="s">
        <v>111</v>
      </c>
      <c r="V39" s="43"/>
      <c r="W39" s="136">
        <v>0.0</v>
      </c>
      <c r="Y39" s="43"/>
      <c r="Z39" s="134"/>
      <c r="AA39" s="43"/>
      <c r="AB39" s="136">
        <v>0.0</v>
      </c>
      <c r="AD39" s="43"/>
      <c r="AE39" s="134" t="s">
        <v>108</v>
      </c>
      <c r="AF39" s="43"/>
      <c r="AG39" s="136" t="s">
        <v>108</v>
      </c>
      <c r="AH39" s="43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>
      <c r="A40" s="14"/>
      <c r="B40" s="14"/>
      <c r="E40" s="150"/>
      <c r="G40" s="149"/>
      <c r="I40" s="39"/>
      <c r="J40" s="39"/>
      <c r="K40" s="39"/>
      <c r="L40" s="39"/>
      <c r="M40" s="39"/>
      <c r="N40" s="39"/>
      <c r="O40" s="39"/>
      <c r="P40" s="14"/>
      <c r="Q40" s="14"/>
      <c r="R40" s="136" t="s">
        <v>111</v>
      </c>
      <c r="T40" s="43"/>
      <c r="U40" s="136" t="s">
        <v>111</v>
      </c>
      <c r="V40" s="43"/>
      <c r="W40" s="136">
        <v>0.0</v>
      </c>
      <c r="Y40" s="43"/>
      <c r="Z40" s="134"/>
      <c r="AA40" s="43"/>
      <c r="AB40" s="136">
        <v>0.0</v>
      </c>
      <c r="AD40" s="43"/>
      <c r="AE40" s="134" t="s">
        <v>111</v>
      </c>
      <c r="AF40" s="43"/>
      <c r="AG40" s="136" t="s">
        <v>111</v>
      </c>
      <c r="AH40" s="43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>
      <c r="A41" s="14"/>
      <c r="B41" s="14"/>
      <c r="E41" s="150"/>
      <c r="G41" s="149"/>
      <c r="I41" s="39"/>
      <c r="J41" s="39"/>
      <c r="K41" s="39"/>
      <c r="L41" s="39"/>
      <c r="M41" s="39"/>
      <c r="N41" s="39"/>
      <c r="O41" s="39"/>
      <c r="P41" s="14"/>
      <c r="Q41" s="14"/>
      <c r="R41" s="136" t="s">
        <v>111</v>
      </c>
      <c r="T41" s="43"/>
      <c r="U41" s="136" t="s">
        <v>111</v>
      </c>
      <c r="V41" s="43"/>
      <c r="W41" s="136">
        <v>0.0</v>
      </c>
      <c r="Y41" s="43"/>
      <c r="Z41" s="134"/>
      <c r="AA41" s="43"/>
      <c r="AB41" s="136">
        <v>0.0</v>
      </c>
      <c r="AD41" s="43"/>
      <c r="AE41" s="134" t="s">
        <v>111</v>
      </c>
      <c r="AF41" s="43"/>
      <c r="AG41" s="136" t="s">
        <v>111</v>
      </c>
      <c r="AH41" s="43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>
      <c r="A42" s="14"/>
      <c r="B42" s="151"/>
      <c r="I42" s="39"/>
      <c r="J42" s="39"/>
      <c r="K42" s="39"/>
      <c r="L42" s="39"/>
      <c r="M42" s="39"/>
      <c r="N42" s="39"/>
      <c r="O42" s="39"/>
      <c r="P42" s="14"/>
      <c r="Q42" s="14"/>
      <c r="R42" s="152" t="s">
        <v>111</v>
      </c>
      <c r="S42" s="25"/>
      <c r="T42" s="26"/>
      <c r="U42" s="152" t="s">
        <v>111</v>
      </c>
      <c r="V42" s="26"/>
      <c r="W42" s="152">
        <v>0.0</v>
      </c>
      <c r="X42" s="25"/>
      <c r="Y42" s="26"/>
      <c r="Z42" s="153"/>
      <c r="AA42" s="26"/>
      <c r="AB42" s="152">
        <v>0.0</v>
      </c>
      <c r="AC42" s="25"/>
      <c r="AD42" s="26"/>
      <c r="AE42" s="153" t="s">
        <v>111</v>
      </c>
      <c r="AF42" s="26"/>
      <c r="AG42" s="152" t="s">
        <v>111</v>
      </c>
      <c r="AH42" s="26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>
      <c r="A43" s="14"/>
      <c r="B43" s="14"/>
      <c r="E43" s="150"/>
      <c r="G43" s="149"/>
      <c r="I43" s="39"/>
      <c r="J43" s="39"/>
      <c r="K43" s="39"/>
      <c r="L43" s="39"/>
      <c r="M43" s="39"/>
      <c r="N43" s="39"/>
      <c r="O43" s="39"/>
      <c r="P43" s="14"/>
      <c r="Q43" s="14"/>
      <c r="R43" s="14"/>
      <c r="U43" s="14"/>
      <c r="W43" s="14"/>
      <c r="Z43" s="14"/>
      <c r="AB43" s="14"/>
      <c r="AE43" s="14"/>
      <c r="AG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>
      <c r="A44" s="14"/>
      <c r="B44" s="14"/>
      <c r="E44" s="150"/>
      <c r="G44" s="149"/>
      <c r="I44" s="39"/>
      <c r="J44" s="39"/>
      <c r="K44" s="39"/>
      <c r="L44" s="39"/>
      <c r="M44" s="39"/>
      <c r="N44" s="39"/>
      <c r="O44" s="39"/>
      <c r="P44" s="14"/>
      <c r="Q44" s="14"/>
      <c r="R44" s="14"/>
      <c r="U44" s="14"/>
      <c r="W44" s="154"/>
      <c r="Z44" s="14"/>
      <c r="AB44" s="14"/>
      <c r="AE44" s="14"/>
      <c r="AG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>
      <c r="A45" s="14"/>
      <c r="B45" s="14"/>
      <c r="E45" s="150"/>
      <c r="G45" s="149"/>
      <c r="I45" s="39"/>
      <c r="J45" s="39"/>
      <c r="K45" s="39"/>
      <c r="L45" s="39"/>
      <c r="M45" s="39"/>
      <c r="N45" s="39"/>
      <c r="O45" s="39"/>
      <c r="P45" s="14"/>
      <c r="Q45" s="14"/>
      <c r="R45" s="14"/>
      <c r="U45" s="14"/>
      <c r="W45" s="154"/>
      <c r="Z45" s="14"/>
      <c r="AB45" s="14"/>
      <c r="AE45" s="14"/>
      <c r="AG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>
      <c r="A46" s="14"/>
      <c r="B46" s="14"/>
      <c r="E46" s="150"/>
      <c r="G46" s="149"/>
      <c r="I46" s="39"/>
      <c r="J46" s="39"/>
      <c r="K46" s="39"/>
      <c r="L46" s="39"/>
      <c r="M46" s="39"/>
      <c r="N46" s="39"/>
      <c r="O46" s="14"/>
      <c r="P46" s="14"/>
      <c r="Q46" s="14"/>
      <c r="R46" s="14"/>
      <c r="U46" s="14"/>
      <c r="W46" s="14"/>
      <c r="Z46" s="14"/>
      <c r="AB46" s="14"/>
      <c r="AE46" s="14"/>
      <c r="AG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>
      <c r="A47" s="14"/>
      <c r="B47" s="14"/>
      <c r="E47" s="150"/>
      <c r="G47" s="149"/>
      <c r="I47" s="39"/>
      <c r="J47" s="39"/>
      <c r="K47" s="39"/>
      <c r="L47" s="39"/>
      <c r="M47" s="39"/>
      <c r="N47" s="39"/>
      <c r="O47" s="39"/>
      <c r="P47" s="14"/>
      <c r="Q47" s="14"/>
      <c r="R47" s="14"/>
      <c r="U47" s="14"/>
      <c r="W47" s="14"/>
      <c r="Z47" s="14"/>
      <c r="AB47" s="14"/>
      <c r="AE47" s="14"/>
      <c r="AG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>
      <c r="A48" s="14"/>
      <c r="B48" s="14"/>
      <c r="G48" s="149"/>
      <c r="I48" s="14"/>
      <c r="J48" s="14"/>
      <c r="K48" s="39"/>
      <c r="L48" s="14"/>
      <c r="M48" s="14"/>
      <c r="N48" s="14"/>
      <c r="O48" s="39"/>
      <c r="P48" s="14"/>
      <c r="Q48" s="14"/>
      <c r="R48" s="14"/>
      <c r="U48" s="14"/>
      <c r="W48" s="14"/>
      <c r="Z48" s="14"/>
      <c r="AB48" s="14"/>
      <c r="AE48" s="14"/>
      <c r="AG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>
      <c r="A49" s="14"/>
      <c r="B49" s="14"/>
      <c r="F49" s="14"/>
      <c r="G49" s="149"/>
      <c r="I49" s="14"/>
      <c r="J49" s="14"/>
      <c r="K49" s="39"/>
      <c r="L49" s="14"/>
      <c r="M49" s="14"/>
      <c r="N49" s="14"/>
      <c r="O49" s="39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>
      <c r="A50" s="14"/>
      <c r="B50" s="14"/>
      <c r="G50" s="149"/>
      <c r="I50" s="14"/>
      <c r="J50" s="14"/>
      <c r="K50" s="39"/>
      <c r="L50" s="14"/>
      <c r="M50" s="14"/>
      <c r="N50" s="14"/>
      <c r="O50" s="39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>
      <c r="A51" s="14"/>
      <c r="B51" s="14"/>
      <c r="G51" s="149"/>
      <c r="H51" s="149"/>
      <c r="I51" s="14"/>
      <c r="J51" s="14"/>
      <c r="K51" s="39"/>
      <c r="L51" s="14"/>
      <c r="M51" s="14"/>
      <c r="N51" s="14"/>
      <c r="O51" s="39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>
      <c r="A52" s="14"/>
      <c r="B52" s="14"/>
      <c r="G52" s="149"/>
      <c r="H52" s="149"/>
      <c r="I52" s="14"/>
      <c r="J52" s="14"/>
      <c r="K52" s="39"/>
      <c r="L52" s="14"/>
      <c r="M52" s="14"/>
      <c r="N52" s="14"/>
      <c r="O52" s="39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>
      <c r="A53" s="14"/>
      <c r="B53" s="14"/>
      <c r="G53" s="149"/>
      <c r="H53" s="149"/>
      <c r="I53" s="14"/>
      <c r="J53" s="14"/>
      <c r="K53" s="39"/>
      <c r="L53" s="14"/>
      <c r="M53" s="14"/>
      <c r="N53" s="14"/>
      <c r="O53" s="39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>
      <c r="A54" s="14"/>
      <c r="B54" s="14"/>
      <c r="G54" s="149"/>
      <c r="H54" s="149"/>
      <c r="I54" s="14"/>
      <c r="J54" s="14"/>
      <c r="K54" s="39"/>
      <c r="L54" s="14"/>
      <c r="M54" s="14"/>
      <c r="N54" s="14"/>
      <c r="O54" s="39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>
      <c r="A55" s="14"/>
      <c r="B55" s="14"/>
      <c r="G55" s="149"/>
      <c r="H55" s="149"/>
      <c r="I55" s="14"/>
      <c r="J55" s="14"/>
      <c r="K55" s="39"/>
      <c r="L55" s="14"/>
      <c r="M55" s="14"/>
      <c r="N55" s="14"/>
      <c r="O55" s="39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>
      <c r="A56" s="14"/>
      <c r="B56" s="14"/>
      <c r="G56" s="149"/>
      <c r="H56" s="149"/>
      <c r="I56" s="14"/>
      <c r="J56" s="14"/>
      <c r="K56" s="39"/>
      <c r="L56" s="14"/>
      <c r="M56" s="14"/>
      <c r="N56" s="14"/>
      <c r="O56" s="39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>
      <c r="A57" s="14"/>
      <c r="B57" s="14"/>
      <c r="G57" s="149"/>
      <c r="H57" s="149"/>
      <c r="I57" s="14"/>
      <c r="J57" s="14"/>
      <c r="K57" s="39"/>
      <c r="L57" s="14"/>
      <c r="M57" s="14"/>
      <c r="N57" s="14"/>
      <c r="O57" s="39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>
      <c r="A58" s="14"/>
      <c r="B58" s="14"/>
      <c r="G58" s="149"/>
      <c r="H58" s="149"/>
      <c r="I58" s="14"/>
      <c r="J58" s="14"/>
      <c r="K58" s="39"/>
      <c r="L58" s="14"/>
      <c r="M58" s="14"/>
      <c r="N58" s="14"/>
      <c r="O58" s="39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>
      <c r="A59" s="14"/>
      <c r="B59" s="14"/>
      <c r="G59" s="149"/>
      <c r="H59" s="149"/>
      <c r="I59" s="14"/>
      <c r="J59" s="14"/>
      <c r="K59" s="39"/>
      <c r="L59" s="14"/>
      <c r="M59" s="14"/>
      <c r="N59" s="14"/>
      <c r="O59" s="39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>
      <c r="A60" s="14"/>
      <c r="B60" s="14"/>
      <c r="G60" s="149"/>
      <c r="H60" s="149"/>
      <c r="I60" s="14"/>
      <c r="J60" s="14"/>
      <c r="K60" s="39"/>
      <c r="L60" s="14"/>
      <c r="M60" s="14"/>
      <c r="N60" s="14"/>
      <c r="O60" s="39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>
      <c r="A61" s="14"/>
      <c r="B61" s="14"/>
      <c r="G61" s="149"/>
      <c r="H61" s="149"/>
      <c r="I61" s="14"/>
      <c r="J61" s="14"/>
      <c r="K61" s="39"/>
      <c r="L61" s="14"/>
      <c r="M61" s="14"/>
      <c r="N61" s="14"/>
      <c r="O61" s="39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>
      <c r="A62" s="14"/>
      <c r="B62" s="14"/>
      <c r="G62" s="149"/>
      <c r="H62" s="149"/>
      <c r="I62" s="14"/>
      <c r="J62" s="14"/>
      <c r="K62" s="39"/>
      <c r="L62" s="14"/>
      <c r="M62" s="14"/>
      <c r="N62" s="14"/>
      <c r="O62" s="39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>
      <c r="A63" s="14"/>
      <c r="B63" s="14"/>
      <c r="G63" s="149"/>
      <c r="H63" s="149"/>
      <c r="I63" s="14"/>
      <c r="J63" s="14"/>
      <c r="K63" s="39"/>
      <c r="L63" s="14"/>
      <c r="M63" s="14"/>
      <c r="N63" s="14"/>
      <c r="O63" s="39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>
      <c r="A64" s="14"/>
      <c r="B64" s="14"/>
      <c r="G64" s="149"/>
      <c r="H64" s="149"/>
      <c r="I64" s="14"/>
      <c r="J64" s="14"/>
      <c r="K64" s="39"/>
      <c r="L64" s="14"/>
      <c r="M64" s="14"/>
      <c r="N64" s="14"/>
      <c r="O64" s="39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>
      <c r="A65" s="14"/>
      <c r="B65" s="14"/>
      <c r="G65" s="149"/>
      <c r="H65" s="149"/>
      <c r="I65" s="14"/>
      <c r="J65" s="14"/>
      <c r="K65" s="39"/>
      <c r="L65" s="14"/>
      <c r="M65" s="14"/>
      <c r="N65" s="14"/>
      <c r="O65" s="39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>
      <c r="A66" s="14"/>
      <c r="B66" s="14"/>
      <c r="G66" s="149"/>
      <c r="H66" s="149"/>
      <c r="I66" s="14"/>
      <c r="J66" s="14"/>
      <c r="K66" s="39"/>
      <c r="L66" s="14"/>
      <c r="M66" s="14"/>
      <c r="N66" s="14"/>
      <c r="O66" s="39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>
      <c r="A67" s="14"/>
      <c r="B67" s="14"/>
      <c r="G67" s="149"/>
      <c r="H67" s="149"/>
      <c r="I67" s="14"/>
      <c r="J67" s="14"/>
      <c r="K67" s="39"/>
      <c r="L67" s="14"/>
      <c r="M67" s="14"/>
      <c r="N67" s="14"/>
      <c r="O67" s="39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>
      <c r="A68" s="14"/>
      <c r="B68" s="14"/>
      <c r="G68" s="149"/>
      <c r="H68" s="149"/>
      <c r="I68" s="14"/>
      <c r="J68" s="14"/>
      <c r="K68" s="39"/>
      <c r="L68" s="14"/>
      <c r="M68" s="14"/>
      <c r="N68" s="14"/>
      <c r="O68" s="39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>
      <c r="A69" s="14"/>
      <c r="B69" s="14"/>
      <c r="G69" s="149"/>
      <c r="H69" s="149"/>
      <c r="I69" s="14"/>
      <c r="J69" s="14"/>
      <c r="K69" s="39"/>
      <c r="L69" s="14"/>
      <c r="M69" s="14"/>
      <c r="N69" s="14"/>
      <c r="O69" s="39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>
      <c r="A70" s="14"/>
      <c r="B70" s="14"/>
      <c r="G70" s="149"/>
      <c r="H70" s="149"/>
      <c r="I70" s="14"/>
      <c r="J70" s="14"/>
      <c r="K70" s="39"/>
      <c r="L70" s="14"/>
      <c r="M70" s="14"/>
      <c r="N70" s="14"/>
      <c r="O70" s="39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>
      <c r="A71" s="14"/>
      <c r="B71" s="14"/>
      <c r="G71" s="149"/>
      <c r="H71" s="149"/>
      <c r="I71" s="14"/>
      <c r="J71" s="14"/>
      <c r="K71" s="39"/>
      <c r="L71" s="14"/>
      <c r="M71" s="14"/>
      <c r="N71" s="14"/>
      <c r="O71" s="39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>
      <c r="A72" s="14"/>
      <c r="B72" s="14"/>
      <c r="G72" s="149"/>
      <c r="H72" s="149"/>
      <c r="I72" s="14"/>
      <c r="J72" s="14"/>
      <c r="K72" s="39"/>
      <c r="L72" s="14"/>
      <c r="M72" s="14"/>
      <c r="N72" s="14"/>
      <c r="O72" s="39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>
      <c r="A73" s="14"/>
      <c r="B73" s="14"/>
      <c r="G73" s="149"/>
      <c r="H73" s="149"/>
      <c r="I73" s="14"/>
      <c r="J73" s="14"/>
      <c r="K73" s="39"/>
      <c r="L73" s="14"/>
      <c r="M73" s="14"/>
      <c r="N73" s="14"/>
      <c r="O73" s="39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>
      <c r="A74" s="14"/>
      <c r="B74" s="14"/>
      <c r="G74" s="149"/>
      <c r="H74" s="149"/>
      <c r="I74" s="14"/>
      <c r="J74" s="14"/>
      <c r="K74" s="39"/>
      <c r="L74" s="14"/>
      <c r="M74" s="14"/>
      <c r="N74" s="14"/>
      <c r="O74" s="39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>
      <c r="A75" s="14"/>
      <c r="B75" s="14"/>
      <c r="G75" s="149"/>
      <c r="H75" s="149"/>
      <c r="I75" s="14"/>
      <c r="J75" s="14"/>
      <c r="K75" s="39"/>
      <c r="L75" s="14"/>
      <c r="M75" s="14"/>
      <c r="N75" s="14"/>
      <c r="O75" s="39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>
      <c r="A76" s="14"/>
      <c r="B76" s="14"/>
      <c r="G76" s="149"/>
      <c r="H76" s="149"/>
      <c r="I76" s="14"/>
      <c r="J76" s="14"/>
      <c r="K76" s="39"/>
      <c r="L76" s="14"/>
      <c r="M76" s="14"/>
      <c r="N76" s="14"/>
      <c r="O76" s="39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>
      <c r="A77" s="14"/>
      <c r="B77" s="14"/>
      <c r="G77" s="149"/>
      <c r="H77" s="149"/>
      <c r="I77" s="14"/>
      <c r="J77" s="14"/>
      <c r="K77" s="39"/>
      <c r="L77" s="14"/>
      <c r="M77" s="14"/>
      <c r="N77" s="14"/>
      <c r="O77" s="39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>
      <c r="A78" s="14"/>
      <c r="B78" s="14"/>
      <c r="G78" s="149"/>
      <c r="H78" s="149"/>
      <c r="I78" s="14"/>
      <c r="J78" s="14"/>
      <c r="K78" s="39"/>
      <c r="L78" s="14"/>
      <c r="M78" s="14"/>
      <c r="N78" s="14"/>
      <c r="O78" s="39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>
      <c r="A79" s="14"/>
      <c r="B79" s="14"/>
      <c r="G79" s="149"/>
      <c r="H79" s="149"/>
      <c r="I79" s="14"/>
      <c r="J79" s="14"/>
      <c r="K79" s="39"/>
      <c r="L79" s="14"/>
      <c r="M79" s="14"/>
      <c r="N79" s="14"/>
      <c r="O79" s="39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>
      <c r="A80" s="14"/>
      <c r="B80" s="14"/>
      <c r="G80" s="149"/>
      <c r="H80" s="149"/>
      <c r="I80" s="14"/>
      <c r="J80" s="14"/>
      <c r="K80" s="39"/>
      <c r="L80" s="14"/>
      <c r="M80" s="14"/>
      <c r="N80" s="14"/>
      <c r="O80" s="39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>
      <c r="A81" s="14"/>
      <c r="B81" s="14"/>
      <c r="G81" s="149"/>
      <c r="H81" s="149"/>
      <c r="I81" s="14"/>
      <c r="J81" s="14"/>
      <c r="K81" s="39"/>
      <c r="L81" s="14"/>
      <c r="M81" s="14"/>
      <c r="N81" s="14"/>
      <c r="O81" s="39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>
      <c r="A82" s="14"/>
      <c r="B82" s="14"/>
      <c r="G82" s="149"/>
      <c r="H82" s="149"/>
      <c r="I82" s="14"/>
      <c r="J82" s="14"/>
      <c r="K82" s="39"/>
      <c r="L82" s="14"/>
      <c r="M82" s="14"/>
      <c r="N82" s="14"/>
      <c r="O82" s="39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>
      <c r="A83" s="14"/>
      <c r="B83" s="14"/>
      <c r="G83" s="149"/>
      <c r="H83" s="149"/>
      <c r="I83" s="14"/>
      <c r="J83" s="14"/>
      <c r="K83" s="39"/>
      <c r="L83" s="14"/>
      <c r="M83" s="14"/>
      <c r="N83" s="14"/>
      <c r="O83" s="39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>
      <c r="A84" s="14"/>
      <c r="B84" s="14"/>
      <c r="G84" s="149"/>
      <c r="H84" s="149"/>
      <c r="I84" s="14"/>
      <c r="J84" s="14"/>
      <c r="K84" s="39"/>
      <c r="L84" s="14"/>
      <c r="M84" s="14"/>
      <c r="N84" s="14"/>
      <c r="O84" s="39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>
      <c r="A85" s="14"/>
      <c r="B85" s="14"/>
      <c r="G85" s="149"/>
      <c r="H85" s="149"/>
      <c r="I85" s="14"/>
      <c r="J85" s="14"/>
      <c r="K85" s="39"/>
      <c r="L85" s="14"/>
      <c r="M85" s="14"/>
      <c r="N85" s="14"/>
      <c r="O85" s="39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>
      <c r="A86" s="14"/>
      <c r="B86" s="14"/>
      <c r="G86" s="149"/>
      <c r="H86" s="149"/>
      <c r="I86" s="14"/>
      <c r="J86" s="14"/>
      <c r="K86" s="39"/>
      <c r="L86" s="14"/>
      <c r="M86" s="14"/>
      <c r="N86" s="14"/>
      <c r="O86" s="39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>
      <c r="A87" s="14"/>
      <c r="B87" s="14"/>
      <c r="G87" s="149"/>
      <c r="H87" s="149"/>
      <c r="I87" s="14"/>
      <c r="J87" s="14"/>
      <c r="K87" s="39"/>
      <c r="L87" s="14"/>
      <c r="M87" s="14"/>
      <c r="N87" s="14"/>
      <c r="O87" s="39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>
      <c r="A88" s="14"/>
      <c r="B88" s="14"/>
      <c r="G88" s="149"/>
      <c r="H88" s="149"/>
      <c r="I88" s="14"/>
      <c r="J88" s="14"/>
      <c r="K88" s="39"/>
      <c r="L88" s="14"/>
      <c r="M88" s="14"/>
      <c r="N88" s="14"/>
      <c r="O88" s="39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>
      <c r="A89" s="14"/>
      <c r="B89" s="14"/>
      <c r="G89" s="149"/>
      <c r="H89" s="149"/>
      <c r="I89" s="14"/>
      <c r="J89" s="14"/>
      <c r="K89" s="39"/>
      <c r="L89" s="14"/>
      <c r="M89" s="14"/>
      <c r="N89" s="14"/>
      <c r="O89" s="39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>
      <c r="A90" s="14"/>
      <c r="B90" s="14"/>
      <c r="G90" s="149"/>
      <c r="H90" s="149"/>
      <c r="I90" s="14"/>
      <c r="J90" s="14"/>
      <c r="K90" s="39"/>
      <c r="L90" s="14"/>
      <c r="M90" s="14"/>
      <c r="N90" s="14"/>
      <c r="O90" s="39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>
      <c r="A91" s="14"/>
      <c r="B91" s="14"/>
      <c r="G91" s="149"/>
      <c r="H91" s="149"/>
      <c r="I91" s="14"/>
      <c r="J91" s="14"/>
      <c r="K91" s="39"/>
      <c r="L91" s="14"/>
      <c r="M91" s="14"/>
      <c r="N91" s="14"/>
      <c r="O91" s="39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>
      <c r="A92" s="14"/>
      <c r="B92" s="14"/>
      <c r="G92" s="149"/>
      <c r="H92" s="149"/>
      <c r="I92" s="14"/>
      <c r="J92" s="14"/>
      <c r="K92" s="39"/>
      <c r="L92" s="14"/>
      <c r="M92" s="14"/>
      <c r="N92" s="14"/>
      <c r="O92" s="39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>
      <c r="A93" s="14"/>
      <c r="B93" s="14"/>
      <c r="G93" s="149"/>
      <c r="H93" s="149"/>
      <c r="I93" s="14"/>
      <c r="J93" s="14"/>
      <c r="K93" s="39"/>
      <c r="L93" s="14"/>
      <c r="M93" s="14"/>
      <c r="N93" s="14"/>
      <c r="O93" s="39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>
      <c r="A94" s="14"/>
      <c r="B94" s="14"/>
      <c r="G94" s="149"/>
      <c r="H94" s="149"/>
      <c r="I94" s="14"/>
      <c r="J94" s="14"/>
      <c r="K94" s="39"/>
      <c r="L94" s="14"/>
      <c r="M94" s="14"/>
      <c r="N94" s="14"/>
      <c r="O94" s="39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>
      <c r="A95" s="14"/>
      <c r="B95" s="14"/>
      <c r="G95" s="149"/>
      <c r="H95" s="149"/>
      <c r="I95" s="14"/>
      <c r="J95" s="14"/>
      <c r="K95" s="39"/>
      <c r="L95" s="14"/>
      <c r="M95" s="14"/>
      <c r="N95" s="14"/>
      <c r="O95" s="39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>
      <c r="A96" s="14"/>
      <c r="B96" s="14"/>
      <c r="G96" s="149"/>
      <c r="H96" s="149"/>
      <c r="I96" s="14"/>
      <c r="J96" s="14"/>
      <c r="K96" s="39"/>
      <c r="L96" s="14"/>
      <c r="M96" s="14"/>
      <c r="N96" s="14"/>
      <c r="O96" s="39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>
      <c r="A97" s="14"/>
      <c r="B97" s="14"/>
      <c r="G97" s="149"/>
      <c r="H97" s="149"/>
      <c r="I97" s="14"/>
      <c r="J97" s="14"/>
      <c r="K97" s="39"/>
      <c r="L97" s="14"/>
      <c r="M97" s="14"/>
      <c r="N97" s="14"/>
      <c r="O97" s="39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>
      <c r="A98" s="14"/>
      <c r="B98" s="14"/>
      <c r="G98" s="149"/>
      <c r="H98" s="149"/>
      <c r="I98" s="14"/>
      <c r="J98" s="14"/>
      <c r="K98" s="39"/>
      <c r="L98" s="14"/>
      <c r="M98" s="14"/>
      <c r="N98" s="14"/>
      <c r="O98" s="39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>
      <c r="A99" s="14"/>
      <c r="B99" s="14"/>
      <c r="G99" s="149"/>
      <c r="H99" s="149"/>
      <c r="I99" s="14"/>
      <c r="J99" s="14"/>
      <c r="K99" s="39"/>
      <c r="L99" s="14"/>
      <c r="M99" s="14"/>
      <c r="N99" s="14"/>
      <c r="O99" s="39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>
      <c r="A100" s="14"/>
      <c r="B100" s="14"/>
      <c r="G100" s="149"/>
      <c r="H100" s="149"/>
      <c r="I100" s="14"/>
      <c r="J100" s="14"/>
      <c r="K100" s="39"/>
      <c r="L100" s="14"/>
      <c r="M100" s="14"/>
      <c r="N100" s="14"/>
      <c r="O100" s="39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>
      <c r="A101" s="14"/>
      <c r="B101" s="14"/>
      <c r="G101" s="149"/>
      <c r="H101" s="149"/>
      <c r="I101" s="14"/>
      <c r="J101" s="14"/>
      <c r="K101" s="39"/>
      <c r="L101" s="14"/>
      <c r="M101" s="14"/>
      <c r="N101" s="14"/>
      <c r="O101" s="39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>
      <c r="A102" s="14"/>
      <c r="B102" s="14"/>
      <c r="G102" s="149"/>
      <c r="H102" s="149"/>
      <c r="I102" s="14"/>
      <c r="J102" s="14"/>
      <c r="K102" s="39"/>
      <c r="L102" s="14"/>
      <c r="M102" s="14"/>
      <c r="N102" s="14"/>
      <c r="O102" s="39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>
      <c r="A103" s="14"/>
      <c r="B103" s="14"/>
      <c r="G103" s="149"/>
      <c r="H103" s="149"/>
      <c r="I103" s="14"/>
      <c r="J103" s="14"/>
      <c r="K103" s="39"/>
      <c r="L103" s="14"/>
      <c r="M103" s="14"/>
      <c r="N103" s="14"/>
      <c r="O103" s="39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>
      <c r="A104" s="14"/>
      <c r="B104" s="14"/>
      <c r="G104" s="149"/>
      <c r="H104" s="149"/>
      <c r="I104" s="14"/>
      <c r="J104" s="14"/>
      <c r="K104" s="39"/>
      <c r="L104" s="14"/>
      <c r="M104" s="14"/>
      <c r="N104" s="14"/>
      <c r="O104" s="39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>
      <c r="A105" s="14"/>
      <c r="B105" s="14"/>
      <c r="G105" s="149"/>
      <c r="H105" s="149"/>
      <c r="I105" s="14"/>
      <c r="J105" s="14"/>
      <c r="K105" s="39"/>
      <c r="L105" s="14"/>
      <c r="M105" s="14"/>
      <c r="N105" s="14"/>
      <c r="O105" s="39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>
      <c r="A106" s="14"/>
      <c r="B106" s="14"/>
      <c r="G106" s="149"/>
      <c r="H106" s="149"/>
      <c r="I106" s="14"/>
      <c r="J106" s="14"/>
      <c r="K106" s="39"/>
      <c r="L106" s="14"/>
      <c r="M106" s="14"/>
      <c r="N106" s="14"/>
      <c r="O106" s="39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>
      <c r="A107" s="14"/>
      <c r="B107" s="14"/>
      <c r="G107" s="149"/>
      <c r="H107" s="149"/>
      <c r="I107" s="14"/>
      <c r="J107" s="14"/>
      <c r="K107" s="39"/>
      <c r="L107" s="14"/>
      <c r="M107" s="14"/>
      <c r="N107" s="14"/>
      <c r="O107" s="39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>
      <c r="A108" s="14"/>
      <c r="B108" s="14"/>
      <c r="G108" s="149"/>
      <c r="H108" s="149"/>
      <c r="I108" s="14"/>
      <c r="J108" s="14"/>
      <c r="K108" s="39"/>
      <c r="L108" s="14"/>
      <c r="M108" s="14"/>
      <c r="N108" s="14"/>
      <c r="O108" s="39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>
      <c r="A109" s="14"/>
      <c r="B109" s="14"/>
      <c r="G109" s="149"/>
      <c r="H109" s="149"/>
      <c r="I109" s="14"/>
      <c r="J109" s="14"/>
      <c r="K109" s="39"/>
      <c r="L109" s="14"/>
      <c r="M109" s="14"/>
      <c r="N109" s="14"/>
      <c r="O109" s="39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>
      <c r="A110" s="14"/>
      <c r="B110" s="14"/>
      <c r="G110" s="149"/>
      <c r="H110" s="149"/>
      <c r="I110" s="14"/>
      <c r="J110" s="14"/>
      <c r="K110" s="39"/>
      <c r="L110" s="14"/>
      <c r="M110" s="14"/>
      <c r="N110" s="14"/>
      <c r="O110" s="39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>
      <c r="A111" s="14"/>
      <c r="B111" s="14"/>
      <c r="G111" s="149"/>
      <c r="H111" s="149"/>
      <c r="I111" s="14"/>
      <c r="J111" s="14"/>
      <c r="K111" s="39"/>
      <c r="L111" s="14"/>
      <c r="M111" s="14"/>
      <c r="N111" s="14"/>
      <c r="O111" s="39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>
      <c r="A112" s="14"/>
      <c r="B112" s="14"/>
      <c r="G112" s="149"/>
      <c r="H112" s="149"/>
      <c r="I112" s="14"/>
      <c r="J112" s="14"/>
      <c r="K112" s="39"/>
      <c r="L112" s="14"/>
      <c r="M112" s="14"/>
      <c r="N112" s="14"/>
      <c r="O112" s="39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>
      <c r="A113" s="14"/>
      <c r="B113" s="14"/>
      <c r="G113" s="149"/>
      <c r="H113" s="149"/>
      <c r="I113" s="14"/>
      <c r="J113" s="14"/>
      <c r="K113" s="39"/>
      <c r="L113" s="14"/>
      <c r="M113" s="14"/>
      <c r="N113" s="14"/>
      <c r="O113" s="39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>
      <c r="A114" s="14"/>
      <c r="B114" s="14"/>
      <c r="G114" s="149"/>
      <c r="H114" s="149"/>
      <c r="I114" s="14"/>
      <c r="J114" s="14"/>
      <c r="K114" s="39"/>
      <c r="L114" s="14"/>
      <c r="M114" s="14"/>
      <c r="N114" s="14"/>
      <c r="O114" s="39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>
      <c r="A115" s="14"/>
      <c r="B115" s="14"/>
      <c r="G115" s="149"/>
      <c r="H115" s="149"/>
      <c r="I115" s="14"/>
      <c r="J115" s="14"/>
      <c r="K115" s="39"/>
      <c r="L115" s="14"/>
      <c r="M115" s="14"/>
      <c r="N115" s="14"/>
      <c r="O115" s="39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>
      <c r="A116" s="14"/>
      <c r="B116" s="14"/>
      <c r="G116" s="149"/>
      <c r="H116" s="149"/>
      <c r="I116" s="14"/>
      <c r="J116" s="14"/>
      <c r="K116" s="39"/>
      <c r="L116" s="14"/>
      <c r="M116" s="14"/>
      <c r="N116" s="14"/>
      <c r="O116" s="39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>
      <c r="A117" s="14"/>
      <c r="B117" s="14"/>
      <c r="G117" s="149"/>
      <c r="H117" s="149"/>
      <c r="I117" s="14"/>
      <c r="J117" s="14"/>
      <c r="K117" s="39"/>
      <c r="L117" s="14"/>
      <c r="M117" s="14"/>
      <c r="N117" s="14"/>
      <c r="O117" s="39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>
      <c r="A118" s="14"/>
      <c r="B118" s="14"/>
      <c r="G118" s="149"/>
      <c r="H118" s="149"/>
      <c r="I118" s="14"/>
      <c r="J118" s="14"/>
      <c r="K118" s="39"/>
      <c r="L118" s="14"/>
      <c r="M118" s="14"/>
      <c r="N118" s="14"/>
      <c r="O118" s="39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>
      <c r="A119" s="14"/>
      <c r="B119" s="14"/>
      <c r="G119" s="149"/>
      <c r="H119" s="149"/>
      <c r="I119" s="14"/>
      <c r="J119" s="14"/>
      <c r="K119" s="39"/>
      <c r="L119" s="14"/>
      <c r="M119" s="14"/>
      <c r="N119" s="14"/>
      <c r="O119" s="39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>
      <c r="A120" s="14"/>
      <c r="B120" s="14"/>
      <c r="G120" s="149"/>
      <c r="H120" s="149"/>
      <c r="I120" s="14"/>
      <c r="J120" s="14"/>
      <c r="K120" s="39"/>
      <c r="L120" s="14"/>
      <c r="M120" s="14"/>
      <c r="N120" s="14"/>
      <c r="O120" s="39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>
      <c r="A121" s="14"/>
      <c r="B121" s="14"/>
      <c r="G121" s="149"/>
      <c r="H121" s="149"/>
      <c r="I121" s="14"/>
      <c r="J121" s="14"/>
      <c r="K121" s="39"/>
      <c r="L121" s="14"/>
      <c r="M121" s="14"/>
      <c r="N121" s="14"/>
      <c r="O121" s="39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>
      <c r="A122" s="14"/>
      <c r="B122" s="14"/>
      <c r="G122" s="149"/>
      <c r="H122" s="149"/>
      <c r="I122" s="14"/>
      <c r="J122" s="14"/>
      <c r="K122" s="39"/>
      <c r="L122" s="14"/>
      <c r="M122" s="14"/>
      <c r="N122" s="14"/>
      <c r="O122" s="39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>
      <c r="A123" s="14"/>
      <c r="B123" s="14"/>
      <c r="G123" s="149"/>
      <c r="H123" s="149"/>
      <c r="I123" s="14"/>
      <c r="J123" s="14"/>
      <c r="K123" s="39"/>
      <c r="L123" s="14"/>
      <c r="M123" s="14"/>
      <c r="N123" s="14"/>
      <c r="O123" s="39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>
      <c r="A124" s="14"/>
      <c r="B124" s="14"/>
      <c r="G124" s="149"/>
      <c r="H124" s="149"/>
      <c r="I124" s="14"/>
      <c r="J124" s="14"/>
      <c r="K124" s="39"/>
      <c r="L124" s="14"/>
      <c r="M124" s="14"/>
      <c r="N124" s="14"/>
      <c r="O124" s="39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>
      <c r="A125" s="14"/>
      <c r="B125" s="14"/>
      <c r="G125" s="149"/>
      <c r="H125" s="149"/>
      <c r="I125" s="14"/>
      <c r="J125" s="14"/>
      <c r="K125" s="39"/>
      <c r="L125" s="14"/>
      <c r="M125" s="14"/>
      <c r="N125" s="14"/>
      <c r="O125" s="39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>
      <c r="A126" s="14"/>
      <c r="B126" s="14"/>
      <c r="G126" s="149"/>
      <c r="H126" s="149"/>
      <c r="I126" s="14"/>
      <c r="J126" s="14"/>
      <c r="K126" s="39"/>
      <c r="L126" s="14"/>
      <c r="M126" s="14"/>
      <c r="N126" s="14"/>
      <c r="O126" s="39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>
      <c r="A127" s="14"/>
      <c r="B127" s="14"/>
      <c r="G127" s="149"/>
      <c r="H127" s="149"/>
      <c r="I127" s="14"/>
      <c r="J127" s="14"/>
      <c r="K127" s="39"/>
      <c r="L127" s="14"/>
      <c r="M127" s="14"/>
      <c r="N127" s="14"/>
      <c r="O127" s="39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>
      <c r="A128" s="14"/>
      <c r="B128" s="14"/>
      <c r="G128" s="149"/>
      <c r="H128" s="149"/>
      <c r="I128" s="14"/>
      <c r="J128" s="14"/>
      <c r="K128" s="39"/>
      <c r="L128" s="14"/>
      <c r="M128" s="14"/>
      <c r="N128" s="14"/>
      <c r="O128" s="39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>
      <c r="A129" s="14"/>
      <c r="B129" s="14"/>
      <c r="G129" s="149"/>
      <c r="H129" s="149"/>
      <c r="I129" s="14"/>
      <c r="J129" s="14"/>
      <c r="K129" s="39"/>
      <c r="L129" s="14"/>
      <c r="M129" s="14"/>
      <c r="N129" s="14"/>
      <c r="O129" s="39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>
      <c r="A130" s="14"/>
      <c r="B130" s="14"/>
      <c r="G130" s="149"/>
      <c r="H130" s="149"/>
      <c r="I130" s="14"/>
      <c r="J130" s="14"/>
      <c r="K130" s="39"/>
      <c r="L130" s="14"/>
      <c r="M130" s="14"/>
      <c r="N130" s="14"/>
      <c r="O130" s="39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>
      <c r="A131" s="14"/>
      <c r="B131" s="14"/>
      <c r="G131" s="149"/>
      <c r="H131" s="149"/>
      <c r="I131" s="14"/>
      <c r="J131" s="14"/>
      <c r="K131" s="39"/>
      <c r="L131" s="14"/>
      <c r="M131" s="14"/>
      <c r="N131" s="14"/>
      <c r="O131" s="39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>
      <c r="A132" s="14"/>
      <c r="B132" s="14"/>
      <c r="G132" s="149"/>
      <c r="H132" s="149"/>
      <c r="I132" s="14"/>
      <c r="J132" s="14"/>
      <c r="K132" s="39"/>
      <c r="L132" s="14"/>
      <c r="M132" s="14"/>
      <c r="N132" s="14"/>
      <c r="O132" s="39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>
      <c r="A133" s="14"/>
      <c r="B133" s="14"/>
      <c r="G133" s="149"/>
      <c r="H133" s="149"/>
      <c r="I133" s="14"/>
      <c r="J133" s="14"/>
      <c r="K133" s="39"/>
      <c r="L133" s="14"/>
      <c r="M133" s="14"/>
      <c r="N133" s="14"/>
      <c r="O133" s="39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>
      <c r="A134" s="14"/>
      <c r="B134" s="14"/>
      <c r="G134" s="149"/>
      <c r="H134" s="149"/>
      <c r="I134" s="14"/>
      <c r="J134" s="14"/>
      <c r="K134" s="39"/>
      <c r="L134" s="14"/>
      <c r="M134" s="14"/>
      <c r="N134" s="14"/>
      <c r="O134" s="39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>
      <c r="A135" s="14"/>
      <c r="B135" s="14"/>
      <c r="G135" s="149"/>
      <c r="H135" s="149"/>
      <c r="I135" s="14"/>
      <c r="J135" s="14"/>
      <c r="K135" s="39"/>
      <c r="L135" s="14"/>
      <c r="M135" s="14"/>
      <c r="N135" s="14"/>
      <c r="O135" s="39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>
      <c r="A136" s="14"/>
      <c r="B136" s="14"/>
      <c r="G136" s="149"/>
      <c r="H136" s="149"/>
      <c r="I136" s="14"/>
      <c r="J136" s="14"/>
      <c r="K136" s="39"/>
      <c r="L136" s="14"/>
      <c r="M136" s="14"/>
      <c r="N136" s="14"/>
      <c r="O136" s="39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>
      <c r="A137" s="14"/>
      <c r="B137" s="14"/>
      <c r="G137" s="149"/>
      <c r="H137" s="149"/>
      <c r="I137" s="14"/>
      <c r="J137" s="14"/>
      <c r="K137" s="39"/>
      <c r="L137" s="14"/>
      <c r="M137" s="14"/>
      <c r="N137" s="14"/>
      <c r="O137" s="39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>
      <c r="A138" s="14"/>
      <c r="B138" s="14"/>
      <c r="G138" s="149"/>
      <c r="H138" s="149"/>
      <c r="I138" s="14"/>
      <c r="J138" s="14"/>
      <c r="K138" s="39"/>
      <c r="L138" s="14"/>
      <c r="M138" s="14"/>
      <c r="N138" s="14"/>
      <c r="O138" s="39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>
      <c r="A139" s="14"/>
      <c r="B139" s="14"/>
      <c r="G139" s="149"/>
      <c r="H139" s="149"/>
      <c r="I139" s="14"/>
      <c r="J139" s="14"/>
      <c r="K139" s="39"/>
      <c r="L139" s="14"/>
      <c r="M139" s="14"/>
      <c r="N139" s="14"/>
      <c r="O139" s="39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>
      <c r="A140" s="14"/>
      <c r="B140" s="14"/>
      <c r="G140" s="149"/>
      <c r="H140" s="149"/>
      <c r="I140" s="14"/>
      <c r="J140" s="14"/>
      <c r="K140" s="39"/>
      <c r="L140" s="14"/>
      <c r="M140" s="14"/>
      <c r="N140" s="14"/>
      <c r="O140" s="39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>
      <c r="A141" s="14"/>
      <c r="B141" s="14"/>
      <c r="G141" s="149"/>
      <c r="H141" s="149"/>
      <c r="I141" s="14"/>
      <c r="J141" s="14"/>
      <c r="K141" s="39"/>
      <c r="L141" s="14"/>
      <c r="M141" s="14"/>
      <c r="N141" s="14"/>
      <c r="O141" s="39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>
      <c r="A142" s="14"/>
      <c r="B142" s="14"/>
      <c r="G142" s="149"/>
      <c r="H142" s="149"/>
      <c r="I142" s="14"/>
      <c r="J142" s="14"/>
      <c r="K142" s="39"/>
      <c r="L142" s="14"/>
      <c r="M142" s="14"/>
      <c r="N142" s="14"/>
      <c r="O142" s="39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>
      <c r="A143" s="14"/>
      <c r="B143" s="14"/>
      <c r="G143" s="149"/>
      <c r="H143" s="149"/>
      <c r="I143" s="14"/>
      <c r="J143" s="14"/>
      <c r="K143" s="39"/>
      <c r="L143" s="14"/>
      <c r="M143" s="14"/>
      <c r="N143" s="14"/>
      <c r="O143" s="39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>
      <c r="A144" s="14"/>
      <c r="B144" s="14"/>
      <c r="G144" s="149"/>
      <c r="H144" s="149"/>
      <c r="I144" s="14"/>
      <c r="J144" s="14"/>
      <c r="K144" s="39"/>
      <c r="L144" s="14"/>
      <c r="M144" s="14"/>
      <c r="N144" s="14"/>
      <c r="O144" s="39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>
      <c r="A145" s="14"/>
      <c r="B145" s="14"/>
      <c r="G145" s="149"/>
      <c r="H145" s="149"/>
      <c r="I145" s="14"/>
      <c r="J145" s="14"/>
      <c r="K145" s="39"/>
      <c r="L145" s="14"/>
      <c r="M145" s="14"/>
      <c r="N145" s="14"/>
      <c r="O145" s="39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>
      <c r="A146" s="14"/>
      <c r="B146" s="14"/>
      <c r="G146" s="149"/>
      <c r="H146" s="149"/>
      <c r="I146" s="14"/>
      <c r="J146" s="14"/>
      <c r="K146" s="39"/>
      <c r="L146" s="14"/>
      <c r="M146" s="14"/>
      <c r="N146" s="14"/>
      <c r="O146" s="39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>
      <c r="A147" s="14"/>
      <c r="B147" s="14"/>
      <c r="G147" s="149"/>
      <c r="H147" s="149"/>
      <c r="I147" s="14"/>
      <c r="J147" s="14"/>
      <c r="K147" s="39"/>
      <c r="L147" s="14"/>
      <c r="M147" s="14"/>
      <c r="N147" s="14"/>
      <c r="O147" s="39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>
      <c r="A148" s="14"/>
      <c r="B148" s="14"/>
      <c r="G148" s="149"/>
      <c r="H148" s="149"/>
      <c r="I148" s="14"/>
      <c r="J148" s="14"/>
      <c r="K148" s="39"/>
      <c r="L148" s="14"/>
      <c r="M148" s="14"/>
      <c r="N148" s="14"/>
      <c r="O148" s="39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>
      <c r="A149" s="14"/>
      <c r="B149" s="14"/>
      <c r="G149" s="149"/>
      <c r="H149" s="149"/>
      <c r="I149" s="14"/>
      <c r="J149" s="14"/>
      <c r="K149" s="39"/>
      <c r="L149" s="14"/>
      <c r="M149" s="14"/>
      <c r="N149" s="14"/>
      <c r="O149" s="39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>
      <c r="A150" s="14"/>
      <c r="B150" s="14"/>
      <c r="G150" s="149"/>
      <c r="H150" s="149"/>
      <c r="I150" s="14"/>
      <c r="J150" s="14"/>
      <c r="K150" s="39"/>
      <c r="L150" s="14"/>
      <c r="M150" s="14"/>
      <c r="N150" s="14"/>
      <c r="O150" s="39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>
      <c r="A151" s="14"/>
      <c r="B151" s="14"/>
      <c r="G151" s="149"/>
      <c r="H151" s="149"/>
      <c r="I151" s="14"/>
      <c r="J151" s="14"/>
      <c r="K151" s="39"/>
      <c r="L151" s="14"/>
      <c r="M151" s="14"/>
      <c r="N151" s="14"/>
      <c r="O151" s="39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>
      <c r="A152" s="14"/>
      <c r="B152" s="14"/>
      <c r="G152" s="149"/>
      <c r="H152" s="149"/>
      <c r="I152" s="14"/>
      <c r="J152" s="14"/>
      <c r="K152" s="39"/>
      <c r="L152" s="14"/>
      <c r="M152" s="14"/>
      <c r="N152" s="14"/>
      <c r="O152" s="39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>
      <c r="A153" s="14"/>
      <c r="B153" s="14"/>
      <c r="G153" s="149"/>
      <c r="H153" s="149"/>
      <c r="I153" s="14"/>
      <c r="J153" s="14"/>
      <c r="K153" s="39"/>
      <c r="L153" s="14"/>
      <c r="M153" s="14"/>
      <c r="N153" s="14"/>
      <c r="O153" s="39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>
      <c r="A154" s="14"/>
      <c r="B154" s="14"/>
      <c r="G154" s="149"/>
      <c r="H154" s="149"/>
      <c r="I154" s="14"/>
      <c r="J154" s="14"/>
      <c r="K154" s="39"/>
      <c r="L154" s="14"/>
      <c r="M154" s="14"/>
      <c r="N154" s="14"/>
      <c r="O154" s="39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>
      <c r="A155" s="14"/>
      <c r="B155" s="14"/>
      <c r="G155" s="149"/>
      <c r="H155" s="149"/>
      <c r="I155" s="14"/>
      <c r="J155" s="14"/>
      <c r="K155" s="39"/>
      <c r="L155" s="14"/>
      <c r="M155" s="14"/>
      <c r="N155" s="14"/>
      <c r="O155" s="39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>
      <c r="A156" s="14"/>
      <c r="B156" s="14"/>
      <c r="G156" s="149"/>
      <c r="H156" s="149"/>
      <c r="I156" s="14"/>
      <c r="J156" s="14"/>
      <c r="K156" s="39"/>
      <c r="L156" s="14"/>
      <c r="M156" s="14"/>
      <c r="N156" s="14"/>
      <c r="O156" s="39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>
      <c r="A157" s="14"/>
      <c r="B157" s="14"/>
      <c r="G157" s="149"/>
      <c r="H157" s="149"/>
      <c r="I157" s="14"/>
      <c r="J157" s="14"/>
      <c r="K157" s="39"/>
      <c r="L157" s="14"/>
      <c r="M157" s="14"/>
      <c r="N157" s="14"/>
      <c r="O157" s="39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>
      <c r="A158" s="14"/>
      <c r="B158" s="14"/>
      <c r="G158" s="149"/>
      <c r="H158" s="149"/>
      <c r="I158" s="14"/>
      <c r="J158" s="14"/>
      <c r="K158" s="39"/>
      <c r="L158" s="14"/>
      <c r="M158" s="14"/>
      <c r="N158" s="14"/>
      <c r="O158" s="39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>
      <c r="A159" s="14"/>
      <c r="B159" s="14"/>
      <c r="G159" s="149"/>
      <c r="H159" s="149"/>
      <c r="I159" s="14"/>
      <c r="J159" s="14"/>
      <c r="K159" s="39"/>
      <c r="L159" s="14"/>
      <c r="M159" s="14"/>
      <c r="N159" s="14"/>
      <c r="O159" s="39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>
      <c r="A160" s="14"/>
      <c r="B160" s="14"/>
      <c r="G160" s="149"/>
      <c r="H160" s="149"/>
      <c r="I160" s="14"/>
      <c r="J160" s="14"/>
      <c r="K160" s="39"/>
      <c r="L160" s="14"/>
      <c r="M160" s="14"/>
      <c r="N160" s="14"/>
      <c r="O160" s="39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>
      <c r="A161" s="14"/>
      <c r="B161" s="14"/>
      <c r="G161" s="149"/>
      <c r="H161" s="149"/>
      <c r="I161" s="14"/>
      <c r="J161" s="14"/>
      <c r="K161" s="39"/>
      <c r="L161" s="14"/>
      <c r="M161" s="14"/>
      <c r="N161" s="14"/>
      <c r="O161" s="39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>
      <c r="A162" s="14"/>
      <c r="B162" s="14"/>
      <c r="G162" s="149"/>
      <c r="H162" s="149"/>
      <c r="I162" s="14"/>
      <c r="J162" s="14"/>
      <c r="K162" s="39"/>
      <c r="L162" s="14"/>
      <c r="M162" s="14"/>
      <c r="N162" s="14"/>
      <c r="O162" s="39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>
      <c r="A163" s="14"/>
      <c r="B163" s="14"/>
      <c r="G163" s="149"/>
      <c r="H163" s="149"/>
      <c r="I163" s="14"/>
      <c r="J163" s="14"/>
      <c r="K163" s="39"/>
      <c r="L163" s="14"/>
      <c r="M163" s="14"/>
      <c r="N163" s="14"/>
      <c r="O163" s="39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>
      <c r="A164" s="14"/>
      <c r="B164" s="14"/>
      <c r="G164" s="149"/>
      <c r="H164" s="149"/>
      <c r="I164" s="14"/>
      <c r="J164" s="14"/>
      <c r="K164" s="39"/>
      <c r="L164" s="14"/>
      <c r="M164" s="14"/>
      <c r="N164" s="14"/>
      <c r="O164" s="39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>
      <c r="A165" s="14"/>
      <c r="B165" s="14"/>
      <c r="G165" s="149"/>
      <c r="H165" s="149"/>
      <c r="I165" s="14"/>
      <c r="J165" s="14"/>
      <c r="K165" s="39"/>
      <c r="L165" s="14"/>
      <c r="M165" s="14"/>
      <c r="N165" s="14"/>
      <c r="O165" s="39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>
      <c r="A166" s="14"/>
      <c r="B166" s="14"/>
      <c r="G166" s="149"/>
      <c r="H166" s="149"/>
      <c r="I166" s="14"/>
      <c r="J166" s="14"/>
      <c r="K166" s="39"/>
      <c r="L166" s="14"/>
      <c r="M166" s="14"/>
      <c r="N166" s="14"/>
      <c r="O166" s="39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>
      <c r="A167" s="14"/>
      <c r="B167" s="14"/>
      <c r="G167" s="149"/>
      <c r="H167" s="149"/>
      <c r="I167" s="14"/>
      <c r="J167" s="14"/>
      <c r="K167" s="39"/>
      <c r="L167" s="14"/>
      <c r="M167" s="14"/>
      <c r="N167" s="14"/>
      <c r="O167" s="39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>
      <c r="A168" s="14"/>
      <c r="B168" s="14"/>
      <c r="G168" s="149"/>
      <c r="H168" s="149"/>
      <c r="I168" s="14"/>
      <c r="J168" s="14"/>
      <c r="K168" s="39"/>
      <c r="L168" s="14"/>
      <c r="M168" s="14"/>
      <c r="N168" s="14"/>
      <c r="O168" s="39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>
      <c r="A169" s="14"/>
      <c r="B169" s="14"/>
      <c r="G169" s="149"/>
      <c r="H169" s="149"/>
      <c r="I169" s="14"/>
      <c r="J169" s="14"/>
      <c r="K169" s="39"/>
      <c r="L169" s="14"/>
      <c r="M169" s="14"/>
      <c r="N169" s="14"/>
      <c r="O169" s="39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>
      <c r="A170" s="14"/>
      <c r="B170" s="14"/>
      <c r="G170" s="149"/>
      <c r="H170" s="149"/>
      <c r="I170" s="14"/>
      <c r="J170" s="14"/>
      <c r="K170" s="39"/>
      <c r="L170" s="14"/>
      <c r="M170" s="14"/>
      <c r="N170" s="14"/>
      <c r="O170" s="39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>
      <c r="A171" s="14"/>
      <c r="B171" s="14"/>
      <c r="G171" s="149"/>
      <c r="H171" s="149"/>
      <c r="I171" s="14"/>
      <c r="J171" s="14"/>
      <c r="K171" s="39"/>
      <c r="L171" s="14"/>
      <c r="M171" s="14"/>
      <c r="N171" s="14"/>
      <c r="O171" s="39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>
      <c r="A172" s="14"/>
      <c r="B172" s="14"/>
      <c r="G172" s="149"/>
      <c r="H172" s="149"/>
      <c r="I172" s="14"/>
      <c r="J172" s="14"/>
      <c r="K172" s="39"/>
      <c r="L172" s="14"/>
      <c r="M172" s="14"/>
      <c r="N172" s="14"/>
      <c r="O172" s="39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>
      <c r="A173" s="14"/>
      <c r="B173" s="14"/>
      <c r="G173" s="149"/>
      <c r="H173" s="149"/>
      <c r="I173" s="14"/>
      <c r="J173" s="14"/>
      <c r="K173" s="39"/>
      <c r="L173" s="14"/>
      <c r="M173" s="14"/>
      <c r="N173" s="14"/>
      <c r="O173" s="39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>
      <c r="A174" s="14"/>
      <c r="B174" s="14"/>
      <c r="G174" s="149"/>
      <c r="H174" s="149"/>
      <c r="I174" s="14"/>
      <c r="J174" s="14"/>
      <c r="K174" s="39"/>
      <c r="L174" s="14"/>
      <c r="M174" s="14"/>
      <c r="N174" s="14"/>
      <c r="O174" s="39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>
      <c r="A175" s="14"/>
      <c r="B175" s="14"/>
      <c r="G175" s="149"/>
      <c r="H175" s="149"/>
      <c r="I175" s="14"/>
      <c r="J175" s="14"/>
      <c r="K175" s="39"/>
      <c r="L175" s="14"/>
      <c r="M175" s="14"/>
      <c r="N175" s="14"/>
      <c r="O175" s="39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>
      <c r="A176" s="14"/>
      <c r="B176" s="14"/>
      <c r="G176" s="149"/>
      <c r="H176" s="149"/>
      <c r="I176" s="14"/>
      <c r="J176" s="14"/>
      <c r="K176" s="39"/>
      <c r="L176" s="14"/>
      <c r="M176" s="14"/>
      <c r="N176" s="14"/>
      <c r="O176" s="39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>
      <c r="A177" s="14"/>
      <c r="B177" s="14"/>
      <c r="G177" s="149"/>
      <c r="H177" s="149"/>
      <c r="I177" s="14"/>
      <c r="J177" s="14"/>
      <c r="K177" s="39"/>
      <c r="L177" s="14"/>
      <c r="M177" s="14"/>
      <c r="N177" s="14"/>
      <c r="O177" s="39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>
      <c r="A178" s="14"/>
      <c r="B178" s="14"/>
      <c r="G178" s="149"/>
      <c r="H178" s="149"/>
      <c r="I178" s="14"/>
      <c r="J178" s="14"/>
      <c r="K178" s="39"/>
      <c r="L178" s="14"/>
      <c r="M178" s="14"/>
      <c r="N178" s="14"/>
      <c r="O178" s="39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>
      <c r="A179" s="14"/>
      <c r="B179" s="14"/>
      <c r="G179" s="149"/>
      <c r="H179" s="149"/>
      <c r="I179" s="14"/>
      <c r="J179" s="14"/>
      <c r="K179" s="39"/>
      <c r="L179" s="14"/>
      <c r="M179" s="14"/>
      <c r="N179" s="14"/>
      <c r="O179" s="39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>
      <c r="A180" s="14"/>
      <c r="B180" s="14"/>
      <c r="G180" s="149"/>
      <c r="H180" s="149"/>
      <c r="I180" s="14"/>
      <c r="J180" s="14"/>
      <c r="K180" s="39"/>
      <c r="L180" s="14"/>
      <c r="M180" s="14"/>
      <c r="N180" s="14"/>
      <c r="O180" s="39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>
      <c r="A181" s="14"/>
      <c r="B181" s="14"/>
      <c r="G181" s="149"/>
      <c r="H181" s="149"/>
      <c r="I181" s="14"/>
      <c r="J181" s="14"/>
      <c r="K181" s="39"/>
      <c r="L181" s="14"/>
      <c r="M181" s="14"/>
      <c r="N181" s="14"/>
      <c r="O181" s="39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>
      <c r="A182" s="14"/>
      <c r="B182" s="14"/>
      <c r="G182" s="149"/>
      <c r="H182" s="149"/>
      <c r="I182" s="14"/>
      <c r="J182" s="14"/>
      <c r="K182" s="39"/>
      <c r="L182" s="14"/>
      <c r="M182" s="14"/>
      <c r="N182" s="14"/>
      <c r="O182" s="39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>
      <c r="A183" s="14"/>
      <c r="B183" s="14"/>
      <c r="G183" s="149"/>
      <c r="H183" s="149"/>
      <c r="I183" s="14"/>
      <c r="J183" s="14"/>
      <c r="K183" s="39"/>
      <c r="L183" s="14"/>
      <c r="M183" s="14"/>
      <c r="N183" s="14"/>
      <c r="O183" s="39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>
      <c r="A184" s="14"/>
      <c r="B184" s="14"/>
      <c r="G184" s="149"/>
      <c r="H184" s="149"/>
      <c r="I184" s="14"/>
      <c r="J184" s="14"/>
      <c r="K184" s="39"/>
      <c r="L184" s="14"/>
      <c r="M184" s="14"/>
      <c r="N184" s="14"/>
      <c r="O184" s="39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>
      <c r="A185" s="14"/>
      <c r="B185" s="14"/>
      <c r="G185" s="149"/>
      <c r="H185" s="149"/>
      <c r="I185" s="14"/>
      <c r="J185" s="14"/>
      <c r="K185" s="39"/>
      <c r="L185" s="14"/>
      <c r="M185" s="14"/>
      <c r="N185" s="14"/>
      <c r="O185" s="39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>
      <c r="A186" s="14"/>
      <c r="B186" s="14"/>
      <c r="G186" s="149"/>
      <c r="H186" s="149"/>
      <c r="I186" s="14"/>
      <c r="J186" s="14"/>
      <c r="K186" s="39"/>
      <c r="L186" s="14"/>
      <c r="M186" s="14"/>
      <c r="N186" s="14"/>
      <c r="O186" s="39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>
      <c r="A187" s="14"/>
      <c r="B187" s="14"/>
      <c r="G187" s="149"/>
      <c r="H187" s="149"/>
      <c r="I187" s="14"/>
      <c r="J187" s="14"/>
      <c r="K187" s="39"/>
      <c r="L187" s="14"/>
      <c r="M187" s="14"/>
      <c r="N187" s="14"/>
      <c r="O187" s="39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>
      <c r="A188" s="14"/>
      <c r="B188" s="14"/>
      <c r="G188" s="149"/>
      <c r="H188" s="149"/>
      <c r="I188" s="14"/>
      <c r="J188" s="14"/>
      <c r="K188" s="39"/>
      <c r="L188" s="14"/>
      <c r="M188" s="14"/>
      <c r="N188" s="14"/>
      <c r="O188" s="39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>
      <c r="A189" s="14"/>
      <c r="B189" s="14"/>
      <c r="G189" s="149"/>
      <c r="H189" s="149"/>
      <c r="I189" s="14"/>
      <c r="J189" s="14"/>
      <c r="K189" s="39"/>
      <c r="L189" s="14"/>
      <c r="M189" s="14"/>
      <c r="N189" s="14"/>
      <c r="O189" s="39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>
      <c r="A190" s="14"/>
      <c r="B190" s="14"/>
      <c r="G190" s="149"/>
      <c r="H190" s="149"/>
      <c r="I190" s="14"/>
      <c r="J190" s="14"/>
      <c r="K190" s="39"/>
      <c r="L190" s="14"/>
      <c r="M190" s="14"/>
      <c r="N190" s="14"/>
      <c r="O190" s="39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>
      <c r="A191" s="14"/>
      <c r="B191" s="14"/>
      <c r="G191" s="149"/>
      <c r="H191" s="149"/>
      <c r="I191" s="14"/>
      <c r="J191" s="14"/>
      <c r="K191" s="39"/>
      <c r="L191" s="14"/>
      <c r="M191" s="14"/>
      <c r="N191" s="14"/>
      <c r="O191" s="39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>
      <c r="A192" s="14"/>
      <c r="B192" s="14"/>
      <c r="G192" s="149"/>
      <c r="H192" s="149"/>
      <c r="I192" s="14"/>
      <c r="J192" s="14"/>
      <c r="K192" s="39"/>
      <c r="L192" s="14"/>
      <c r="M192" s="14"/>
      <c r="N192" s="14"/>
      <c r="O192" s="39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>
      <c r="A193" s="14"/>
      <c r="B193" s="14"/>
      <c r="G193" s="149"/>
      <c r="H193" s="149"/>
      <c r="I193" s="14"/>
      <c r="J193" s="14"/>
      <c r="K193" s="39"/>
      <c r="L193" s="14"/>
      <c r="M193" s="14"/>
      <c r="N193" s="14"/>
      <c r="O193" s="39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>
      <c r="A194" s="14"/>
      <c r="B194" s="14"/>
      <c r="G194" s="149"/>
      <c r="H194" s="149"/>
      <c r="I194" s="14"/>
      <c r="J194" s="14"/>
      <c r="K194" s="39"/>
      <c r="L194" s="14"/>
      <c r="M194" s="14"/>
      <c r="N194" s="14"/>
      <c r="O194" s="39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>
      <c r="A195" s="14"/>
      <c r="B195" s="14"/>
      <c r="G195" s="149"/>
      <c r="H195" s="149"/>
      <c r="I195" s="14"/>
      <c r="J195" s="14"/>
      <c r="K195" s="39"/>
      <c r="L195" s="14"/>
      <c r="M195" s="14"/>
      <c r="N195" s="14"/>
      <c r="O195" s="39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>
      <c r="A196" s="14"/>
      <c r="B196" s="14"/>
      <c r="G196" s="149"/>
      <c r="H196" s="149"/>
      <c r="I196" s="14"/>
      <c r="J196" s="14"/>
      <c r="K196" s="39"/>
      <c r="L196" s="14"/>
      <c r="M196" s="14"/>
      <c r="N196" s="14"/>
      <c r="O196" s="39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>
      <c r="A197" s="14"/>
      <c r="B197" s="14"/>
      <c r="G197" s="149"/>
      <c r="H197" s="149"/>
      <c r="I197" s="14"/>
      <c r="J197" s="14"/>
      <c r="K197" s="39"/>
      <c r="L197" s="14"/>
      <c r="M197" s="14"/>
      <c r="N197" s="14"/>
      <c r="O197" s="39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>
      <c r="A198" s="14"/>
      <c r="B198" s="14"/>
      <c r="G198" s="149"/>
      <c r="H198" s="149"/>
      <c r="I198" s="14"/>
      <c r="J198" s="14"/>
      <c r="K198" s="39"/>
      <c r="L198" s="14"/>
      <c r="M198" s="14"/>
      <c r="N198" s="14"/>
      <c r="O198" s="39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>
      <c r="A199" s="14"/>
      <c r="B199" s="14"/>
      <c r="G199" s="149"/>
      <c r="H199" s="149"/>
      <c r="I199" s="14"/>
      <c r="J199" s="14"/>
      <c r="K199" s="39"/>
      <c r="L199" s="14"/>
      <c r="M199" s="14"/>
      <c r="N199" s="14"/>
      <c r="O199" s="39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>
      <c r="A200" s="14"/>
      <c r="B200" s="14"/>
      <c r="G200" s="149"/>
      <c r="H200" s="149"/>
      <c r="I200" s="14"/>
      <c r="J200" s="14"/>
      <c r="K200" s="39"/>
      <c r="L200" s="14"/>
      <c r="M200" s="14"/>
      <c r="N200" s="14"/>
      <c r="O200" s="39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  <row r="201">
      <c r="A201" s="14"/>
      <c r="B201" s="14"/>
      <c r="G201" s="149"/>
      <c r="H201" s="149"/>
      <c r="I201" s="14"/>
      <c r="J201" s="14"/>
      <c r="K201" s="39"/>
      <c r="L201" s="14"/>
      <c r="M201" s="14"/>
      <c r="N201" s="14"/>
      <c r="O201" s="39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</row>
    <row r="202">
      <c r="A202" s="14"/>
      <c r="B202" s="14"/>
      <c r="G202" s="149"/>
      <c r="H202" s="149"/>
      <c r="I202" s="14"/>
      <c r="J202" s="14"/>
      <c r="K202" s="39"/>
      <c r="L202" s="14"/>
      <c r="M202" s="14"/>
      <c r="N202" s="14"/>
      <c r="O202" s="39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</row>
    <row r="203">
      <c r="A203" s="14"/>
      <c r="B203" s="14"/>
      <c r="G203" s="149"/>
      <c r="H203" s="149"/>
      <c r="I203" s="14"/>
      <c r="J203" s="14"/>
      <c r="K203" s="39"/>
      <c r="L203" s="14"/>
      <c r="M203" s="14"/>
      <c r="N203" s="14"/>
      <c r="O203" s="39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</row>
    <row r="204">
      <c r="A204" s="14"/>
      <c r="B204" s="14"/>
      <c r="G204" s="149"/>
      <c r="H204" s="149"/>
      <c r="I204" s="14"/>
      <c r="J204" s="14"/>
      <c r="K204" s="39"/>
      <c r="L204" s="14"/>
      <c r="M204" s="14"/>
      <c r="N204" s="14"/>
      <c r="O204" s="39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</row>
    <row r="205">
      <c r="A205" s="14"/>
      <c r="B205" s="14"/>
      <c r="G205" s="149"/>
      <c r="H205" s="149"/>
      <c r="I205" s="14"/>
      <c r="J205" s="14"/>
      <c r="K205" s="39"/>
      <c r="L205" s="14"/>
      <c r="M205" s="14"/>
      <c r="N205" s="14"/>
      <c r="O205" s="39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</row>
    <row r="206">
      <c r="A206" s="14"/>
      <c r="B206" s="14"/>
      <c r="G206" s="149"/>
      <c r="H206" s="149"/>
      <c r="I206" s="14"/>
      <c r="J206" s="14"/>
      <c r="K206" s="39"/>
      <c r="L206" s="14"/>
      <c r="M206" s="14"/>
      <c r="N206" s="14"/>
      <c r="O206" s="39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</row>
    <row r="207">
      <c r="A207" s="14"/>
      <c r="B207" s="14"/>
      <c r="G207" s="149"/>
      <c r="H207" s="149"/>
      <c r="I207" s="14"/>
      <c r="J207" s="14"/>
      <c r="K207" s="39"/>
      <c r="L207" s="14"/>
      <c r="M207" s="14"/>
      <c r="N207" s="14"/>
      <c r="O207" s="39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</row>
    <row r="208">
      <c r="A208" s="14"/>
      <c r="B208" s="14"/>
      <c r="G208" s="149"/>
      <c r="H208" s="149"/>
      <c r="I208" s="14"/>
      <c r="J208" s="14"/>
      <c r="K208" s="39"/>
      <c r="L208" s="14"/>
      <c r="M208" s="14"/>
      <c r="N208" s="14"/>
      <c r="O208" s="39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</row>
    <row r="209">
      <c r="A209" s="14"/>
      <c r="B209" s="14"/>
      <c r="G209" s="149"/>
      <c r="H209" s="149"/>
      <c r="I209" s="14"/>
      <c r="J209" s="14"/>
      <c r="K209" s="39"/>
      <c r="L209" s="14"/>
      <c r="M209" s="14"/>
      <c r="N209" s="14"/>
      <c r="O209" s="39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</row>
    <row r="210">
      <c r="A210" s="14"/>
      <c r="B210" s="14"/>
      <c r="G210" s="149"/>
      <c r="H210" s="149"/>
      <c r="I210" s="14"/>
      <c r="J210" s="14"/>
      <c r="K210" s="39"/>
      <c r="L210" s="14"/>
      <c r="M210" s="14"/>
      <c r="N210" s="14"/>
      <c r="O210" s="39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</row>
    <row r="211">
      <c r="A211" s="14"/>
      <c r="B211" s="14"/>
      <c r="G211" s="149"/>
      <c r="H211" s="149"/>
      <c r="I211" s="14"/>
      <c r="J211" s="14"/>
      <c r="K211" s="39"/>
      <c r="L211" s="14"/>
      <c r="M211" s="14"/>
      <c r="N211" s="14"/>
      <c r="O211" s="39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</row>
    <row r="212">
      <c r="A212" s="14"/>
      <c r="B212" s="14"/>
      <c r="G212" s="149"/>
      <c r="H212" s="149"/>
      <c r="I212" s="14"/>
      <c r="J212" s="14"/>
      <c r="K212" s="39"/>
      <c r="L212" s="14"/>
      <c r="M212" s="14"/>
      <c r="N212" s="14"/>
      <c r="O212" s="39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</row>
    <row r="213">
      <c r="A213" s="14"/>
      <c r="B213" s="14"/>
      <c r="G213" s="149"/>
      <c r="H213" s="149"/>
      <c r="I213" s="14"/>
      <c r="J213" s="14"/>
      <c r="K213" s="39"/>
      <c r="L213" s="14"/>
      <c r="M213" s="14"/>
      <c r="N213" s="14"/>
      <c r="O213" s="39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</row>
    <row r="214">
      <c r="A214" s="14"/>
      <c r="B214" s="14"/>
      <c r="G214" s="149"/>
      <c r="H214" s="149"/>
      <c r="I214" s="14"/>
      <c r="J214" s="14"/>
      <c r="K214" s="39"/>
      <c r="L214" s="14"/>
      <c r="M214" s="14"/>
      <c r="N214" s="14"/>
      <c r="O214" s="39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</row>
    <row r="215">
      <c r="A215" s="14"/>
      <c r="B215" s="14"/>
      <c r="G215" s="149"/>
      <c r="H215" s="149"/>
      <c r="I215" s="14"/>
      <c r="J215" s="14"/>
      <c r="K215" s="39"/>
      <c r="L215" s="14"/>
      <c r="M215" s="14"/>
      <c r="N215" s="14"/>
      <c r="O215" s="39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</row>
    <row r="216">
      <c r="A216" s="14"/>
      <c r="B216" s="14"/>
      <c r="G216" s="149"/>
      <c r="H216" s="149"/>
      <c r="I216" s="14"/>
      <c r="J216" s="14"/>
      <c r="K216" s="39"/>
      <c r="L216" s="14"/>
      <c r="M216" s="14"/>
      <c r="N216" s="14"/>
      <c r="O216" s="39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</row>
    <row r="217">
      <c r="A217" s="14"/>
      <c r="B217" s="14"/>
      <c r="G217" s="149"/>
      <c r="H217" s="149"/>
      <c r="I217" s="14"/>
      <c r="J217" s="14"/>
      <c r="K217" s="39"/>
      <c r="L217" s="14"/>
      <c r="M217" s="14"/>
      <c r="N217" s="14"/>
      <c r="O217" s="39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</row>
    <row r="218">
      <c r="A218" s="14"/>
      <c r="B218" s="14"/>
      <c r="G218" s="149"/>
      <c r="H218" s="149"/>
      <c r="I218" s="14"/>
      <c r="J218" s="14"/>
      <c r="K218" s="39"/>
      <c r="L218" s="14"/>
      <c r="M218" s="14"/>
      <c r="N218" s="14"/>
      <c r="O218" s="39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</row>
    <row r="219">
      <c r="A219" s="14"/>
      <c r="B219" s="14"/>
      <c r="G219" s="149"/>
      <c r="H219" s="149"/>
      <c r="I219" s="14"/>
      <c r="J219" s="14"/>
      <c r="K219" s="39"/>
      <c r="L219" s="14"/>
      <c r="M219" s="14"/>
      <c r="N219" s="14"/>
      <c r="O219" s="39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</row>
    <row r="220">
      <c r="A220" s="14"/>
      <c r="B220" s="14"/>
      <c r="G220" s="149"/>
      <c r="H220" s="149"/>
      <c r="I220" s="14"/>
      <c r="J220" s="14"/>
      <c r="K220" s="39"/>
      <c r="L220" s="14"/>
      <c r="M220" s="14"/>
      <c r="N220" s="14"/>
      <c r="O220" s="39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</row>
    <row r="221">
      <c r="A221" s="14"/>
      <c r="B221" s="14"/>
      <c r="G221" s="149"/>
      <c r="H221" s="149"/>
      <c r="I221" s="14"/>
      <c r="J221" s="14"/>
      <c r="K221" s="39"/>
      <c r="L221" s="14"/>
      <c r="M221" s="14"/>
      <c r="N221" s="14"/>
      <c r="O221" s="39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</row>
    <row r="222">
      <c r="A222" s="14"/>
      <c r="B222" s="14"/>
      <c r="G222" s="149"/>
      <c r="H222" s="149"/>
      <c r="I222" s="14"/>
      <c r="J222" s="14"/>
      <c r="K222" s="39"/>
      <c r="L222" s="14"/>
      <c r="M222" s="14"/>
      <c r="N222" s="14"/>
      <c r="O222" s="39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</row>
    <row r="223">
      <c r="A223" s="14"/>
      <c r="B223" s="14"/>
      <c r="G223" s="149"/>
      <c r="H223" s="149"/>
      <c r="I223" s="14"/>
      <c r="J223" s="14"/>
      <c r="K223" s="39"/>
      <c r="L223" s="14"/>
      <c r="M223" s="14"/>
      <c r="N223" s="14"/>
      <c r="O223" s="39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</row>
    <row r="224">
      <c r="A224" s="14"/>
      <c r="B224" s="14"/>
      <c r="G224" s="149"/>
      <c r="H224" s="149"/>
      <c r="I224" s="14"/>
      <c r="J224" s="14"/>
      <c r="K224" s="39"/>
      <c r="L224" s="14"/>
      <c r="M224" s="14"/>
      <c r="N224" s="14"/>
      <c r="O224" s="39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</row>
    <row r="225">
      <c r="A225" s="14"/>
      <c r="B225" s="14"/>
      <c r="G225" s="149"/>
      <c r="H225" s="149"/>
      <c r="I225" s="14"/>
      <c r="J225" s="14"/>
      <c r="K225" s="39"/>
      <c r="L225" s="14"/>
      <c r="M225" s="14"/>
      <c r="N225" s="14"/>
      <c r="O225" s="39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</row>
    <row r="226">
      <c r="A226" s="14"/>
      <c r="B226" s="14"/>
      <c r="G226" s="149"/>
      <c r="H226" s="149"/>
      <c r="I226" s="14"/>
      <c r="J226" s="14"/>
      <c r="K226" s="39"/>
      <c r="L226" s="14"/>
      <c r="M226" s="14"/>
      <c r="N226" s="14"/>
      <c r="O226" s="39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</row>
    <row r="227">
      <c r="A227" s="14"/>
      <c r="B227" s="14"/>
      <c r="G227" s="149"/>
      <c r="H227" s="149"/>
      <c r="I227" s="14"/>
      <c r="J227" s="14"/>
      <c r="K227" s="39"/>
      <c r="L227" s="14"/>
      <c r="M227" s="14"/>
      <c r="N227" s="14"/>
      <c r="O227" s="39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</row>
    <row r="228">
      <c r="A228" s="14"/>
      <c r="B228" s="14"/>
      <c r="G228" s="149"/>
      <c r="H228" s="149"/>
      <c r="I228" s="14"/>
      <c r="J228" s="14"/>
      <c r="K228" s="39"/>
      <c r="L228" s="14"/>
      <c r="M228" s="14"/>
      <c r="N228" s="14"/>
      <c r="O228" s="39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</row>
    <row r="229">
      <c r="A229" s="14"/>
      <c r="B229" s="14"/>
      <c r="G229" s="149"/>
      <c r="H229" s="149"/>
      <c r="I229" s="14"/>
      <c r="J229" s="14"/>
      <c r="K229" s="39"/>
      <c r="L229" s="14"/>
      <c r="M229" s="14"/>
      <c r="N229" s="14"/>
      <c r="O229" s="39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</row>
    <row r="230">
      <c r="A230" s="14"/>
      <c r="B230" s="14"/>
      <c r="G230" s="149"/>
      <c r="H230" s="149"/>
      <c r="I230" s="14"/>
      <c r="J230" s="14"/>
      <c r="K230" s="39"/>
      <c r="L230" s="14"/>
      <c r="M230" s="14"/>
      <c r="N230" s="14"/>
      <c r="O230" s="39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</row>
    <row r="231">
      <c r="A231" s="14"/>
      <c r="B231" s="14"/>
      <c r="G231" s="149"/>
      <c r="H231" s="149"/>
      <c r="I231" s="14"/>
      <c r="J231" s="14"/>
      <c r="K231" s="39"/>
      <c r="L231" s="14"/>
      <c r="M231" s="14"/>
      <c r="N231" s="14"/>
      <c r="O231" s="39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</row>
    <row r="232">
      <c r="A232" s="14"/>
      <c r="B232" s="14"/>
      <c r="G232" s="149"/>
      <c r="H232" s="149"/>
      <c r="I232" s="14"/>
      <c r="J232" s="14"/>
      <c r="K232" s="39"/>
      <c r="L232" s="14"/>
      <c r="M232" s="14"/>
      <c r="N232" s="14"/>
      <c r="O232" s="39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</row>
    <row r="233">
      <c r="A233" s="14"/>
      <c r="B233" s="14"/>
      <c r="G233" s="149"/>
      <c r="H233" s="149"/>
      <c r="I233" s="14"/>
      <c r="J233" s="14"/>
      <c r="K233" s="39"/>
      <c r="L233" s="14"/>
      <c r="M233" s="14"/>
      <c r="N233" s="14"/>
      <c r="O233" s="39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</row>
    <row r="234">
      <c r="A234" s="14"/>
      <c r="B234" s="14"/>
      <c r="G234" s="149"/>
      <c r="H234" s="149"/>
      <c r="I234" s="14"/>
      <c r="J234" s="14"/>
      <c r="K234" s="39"/>
      <c r="L234" s="14"/>
      <c r="M234" s="14"/>
      <c r="N234" s="14"/>
      <c r="O234" s="39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</row>
    <row r="235">
      <c r="A235" s="14"/>
      <c r="B235" s="14"/>
      <c r="G235" s="149"/>
      <c r="H235" s="149"/>
      <c r="I235" s="14"/>
      <c r="J235" s="14"/>
      <c r="K235" s="39"/>
      <c r="L235" s="14"/>
      <c r="M235" s="14"/>
      <c r="N235" s="14"/>
      <c r="O235" s="39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</row>
    <row r="236">
      <c r="A236" s="14"/>
      <c r="B236" s="14"/>
      <c r="G236" s="149"/>
      <c r="H236" s="149"/>
      <c r="I236" s="14"/>
      <c r="J236" s="14"/>
      <c r="K236" s="39"/>
      <c r="L236" s="14"/>
      <c r="M236" s="14"/>
      <c r="N236" s="14"/>
      <c r="O236" s="39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</row>
    <row r="237">
      <c r="A237" s="14"/>
      <c r="B237" s="14"/>
      <c r="G237" s="149"/>
      <c r="H237" s="149"/>
      <c r="I237" s="14"/>
      <c r="J237" s="14"/>
      <c r="K237" s="39"/>
      <c r="L237" s="14"/>
      <c r="M237" s="14"/>
      <c r="N237" s="14"/>
      <c r="O237" s="39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</row>
    <row r="238">
      <c r="A238" s="14"/>
      <c r="B238" s="14"/>
      <c r="G238" s="149"/>
      <c r="H238" s="149"/>
      <c r="I238" s="14"/>
      <c r="J238" s="14"/>
      <c r="K238" s="39"/>
      <c r="L238" s="14"/>
      <c r="M238" s="14"/>
      <c r="N238" s="14"/>
      <c r="O238" s="39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</row>
    <row r="239">
      <c r="A239" s="14"/>
      <c r="B239" s="14"/>
      <c r="G239" s="149"/>
      <c r="H239" s="149"/>
      <c r="I239" s="14"/>
      <c r="J239" s="14"/>
      <c r="K239" s="39"/>
      <c r="L239" s="14"/>
      <c r="M239" s="14"/>
      <c r="N239" s="14"/>
      <c r="O239" s="39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</row>
    <row r="240">
      <c r="A240" s="14"/>
      <c r="B240" s="14"/>
      <c r="G240" s="149"/>
      <c r="H240" s="149"/>
      <c r="I240" s="14"/>
      <c r="J240" s="14"/>
      <c r="K240" s="39"/>
      <c r="L240" s="14"/>
      <c r="M240" s="14"/>
      <c r="N240" s="14"/>
      <c r="O240" s="39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</row>
    <row r="241">
      <c r="A241" s="14"/>
      <c r="B241" s="14"/>
      <c r="G241" s="149"/>
      <c r="H241" s="149"/>
      <c r="I241" s="14"/>
      <c r="J241" s="14"/>
      <c r="K241" s="39"/>
      <c r="L241" s="14"/>
      <c r="M241" s="14"/>
      <c r="N241" s="14"/>
      <c r="O241" s="39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</row>
    <row r="242">
      <c r="A242" s="14"/>
      <c r="B242" s="14"/>
      <c r="G242" s="149"/>
      <c r="H242" s="149"/>
      <c r="I242" s="14"/>
      <c r="J242" s="14"/>
      <c r="K242" s="39"/>
      <c r="L242" s="14"/>
      <c r="M242" s="14"/>
      <c r="N242" s="14"/>
      <c r="O242" s="39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</row>
    <row r="243">
      <c r="A243" s="14"/>
      <c r="B243" s="14"/>
      <c r="G243" s="149"/>
      <c r="H243" s="149"/>
      <c r="I243" s="14"/>
      <c r="J243" s="14"/>
      <c r="K243" s="39"/>
      <c r="L243" s="14"/>
      <c r="M243" s="14"/>
      <c r="N243" s="14"/>
      <c r="O243" s="39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</row>
    <row r="244">
      <c r="A244" s="14"/>
      <c r="B244" s="14"/>
      <c r="G244" s="149"/>
      <c r="H244" s="149"/>
      <c r="I244" s="14"/>
      <c r="J244" s="14"/>
      <c r="K244" s="39"/>
      <c r="L244" s="14"/>
      <c r="M244" s="14"/>
      <c r="N244" s="14"/>
      <c r="O244" s="39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</row>
    <row r="245">
      <c r="A245" s="14"/>
      <c r="B245" s="14"/>
      <c r="G245" s="149"/>
      <c r="H245" s="149"/>
      <c r="I245" s="14"/>
      <c r="J245" s="14"/>
      <c r="K245" s="39"/>
      <c r="L245" s="14"/>
      <c r="M245" s="14"/>
      <c r="N245" s="14"/>
      <c r="O245" s="39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</row>
    <row r="246">
      <c r="A246" s="14"/>
      <c r="B246" s="14"/>
      <c r="G246" s="149"/>
      <c r="H246" s="149"/>
      <c r="I246" s="14"/>
      <c r="J246" s="14"/>
      <c r="K246" s="39"/>
      <c r="L246" s="14"/>
      <c r="M246" s="14"/>
      <c r="N246" s="14"/>
      <c r="O246" s="39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</row>
    <row r="247">
      <c r="A247" s="14"/>
      <c r="B247" s="14"/>
      <c r="G247" s="149"/>
      <c r="H247" s="149"/>
      <c r="I247" s="14"/>
      <c r="J247" s="14"/>
      <c r="K247" s="39"/>
      <c r="L247" s="14"/>
      <c r="M247" s="14"/>
      <c r="N247" s="14"/>
      <c r="O247" s="39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</row>
    <row r="248">
      <c r="A248" s="14"/>
      <c r="B248" s="14"/>
      <c r="G248" s="149"/>
      <c r="H248" s="149"/>
      <c r="I248" s="14"/>
      <c r="J248" s="14"/>
      <c r="K248" s="39"/>
      <c r="L248" s="14"/>
      <c r="M248" s="14"/>
      <c r="N248" s="14"/>
      <c r="O248" s="39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</row>
    <row r="249">
      <c r="A249" s="14"/>
      <c r="B249" s="14"/>
      <c r="G249" s="149"/>
      <c r="H249" s="149"/>
      <c r="I249" s="14"/>
      <c r="J249" s="14"/>
      <c r="K249" s="39"/>
      <c r="L249" s="14"/>
      <c r="M249" s="14"/>
      <c r="N249" s="14"/>
      <c r="O249" s="39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</row>
    <row r="250">
      <c r="A250" s="14"/>
      <c r="B250" s="14"/>
      <c r="G250" s="149"/>
      <c r="H250" s="149"/>
      <c r="I250" s="14"/>
      <c r="J250" s="14"/>
      <c r="K250" s="39"/>
      <c r="L250" s="14"/>
      <c r="M250" s="14"/>
      <c r="N250" s="14"/>
      <c r="O250" s="39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</row>
    <row r="251">
      <c r="A251" s="14"/>
      <c r="B251" s="14"/>
      <c r="G251" s="149"/>
      <c r="H251" s="149"/>
      <c r="I251" s="14"/>
      <c r="J251" s="14"/>
      <c r="K251" s="39"/>
      <c r="L251" s="14"/>
      <c r="M251" s="14"/>
      <c r="N251" s="14"/>
      <c r="O251" s="39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</row>
    <row r="252">
      <c r="A252" s="14"/>
      <c r="B252" s="14"/>
      <c r="G252" s="149"/>
      <c r="H252" s="149"/>
      <c r="I252" s="14"/>
      <c r="J252" s="14"/>
      <c r="K252" s="39"/>
      <c r="L252" s="14"/>
      <c r="M252" s="14"/>
      <c r="N252" s="14"/>
      <c r="O252" s="39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</row>
    <row r="253">
      <c r="A253" s="14"/>
      <c r="B253" s="14"/>
      <c r="G253" s="149"/>
      <c r="H253" s="149"/>
      <c r="I253" s="14"/>
      <c r="J253" s="14"/>
      <c r="K253" s="39"/>
      <c r="L253" s="14"/>
      <c r="M253" s="14"/>
      <c r="N253" s="14"/>
      <c r="O253" s="39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</row>
    <row r="254">
      <c r="A254" s="14"/>
      <c r="B254" s="14"/>
      <c r="G254" s="149"/>
      <c r="H254" s="149"/>
      <c r="I254" s="14"/>
      <c r="J254" s="14"/>
      <c r="K254" s="39"/>
      <c r="L254" s="14"/>
      <c r="M254" s="14"/>
      <c r="N254" s="14"/>
      <c r="O254" s="39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</row>
    <row r="255">
      <c r="A255" s="14"/>
      <c r="B255" s="14"/>
      <c r="G255" s="149"/>
      <c r="H255" s="149"/>
      <c r="I255" s="14"/>
      <c r="J255" s="14"/>
      <c r="K255" s="39"/>
      <c r="L255" s="14"/>
      <c r="M255" s="14"/>
      <c r="N255" s="14"/>
      <c r="O255" s="39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</row>
    <row r="256">
      <c r="A256" s="14"/>
      <c r="B256" s="14"/>
      <c r="G256" s="149"/>
      <c r="H256" s="149"/>
      <c r="I256" s="14"/>
      <c r="J256" s="14"/>
      <c r="K256" s="39"/>
      <c r="L256" s="14"/>
      <c r="M256" s="14"/>
      <c r="N256" s="14"/>
      <c r="O256" s="39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</row>
    <row r="257">
      <c r="A257" s="14"/>
      <c r="B257" s="14"/>
      <c r="G257" s="149"/>
      <c r="H257" s="149"/>
      <c r="I257" s="14"/>
      <c r="J257" s="14"/>
      <c r="K257" s="39"/>
      <c r="L257" s="14"/>
      <c r="M257" s="14"/>
      <c r="N257" s="14"/>
      <c r="O257" s="39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</row>
    <row r="258">
      <c r="A258" s="14"/>
      <c r="B258" s="14"/>
      <c r="G258" s="149"/>
      <c r="H258" s="149"/>
      <c r="I258" s="14"/>
      <c r="J258" s="14"/>
      <c r="K258" s="39"/>
      <c r="L258" s="14"/>
      <c r="M258" s="14"/>
      <c r="N258" s="14"/>
      <c r="O258" s="39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</row>
    <row r="259">
      <c r="A259" s="14"/>
      <c r="B259" s="14"/>
      <c r="G259" s="149"/>
      <c r="H259" s="149"/>
      <c r="I259" s="14"/>
      <c r="J259" s="14"/>
      <c r="K259" s="39"/>
      <c r="L259" s="14"/>
      <c r="M259" s="14"/>
      <c r="N259" s="14"/>
      <c r="O259" s="39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</row>
    <row r="260">
      <c r="A260" s="14"/>
      <c r="B260" s="14"/>
      <c r="G260" s="149"/>
      <c r="H260" s="149"/>
      <c r="I260" s="14"/>
      <c r="J260" s="14"/>
      <c r="K260" s="39"/>
      <c r="L260" s="14"/>
      <c r="M260" s="14"/>
      <c r="N260" s="14"/>
      <c r="O260" s="39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</row>
    <row r="261">
      <c r="A261" s="14"/>
      <c r="B261" s="14"/>
      <c r="G261" s="149"/>
      <c r="H261" s="149"/>
      <c r="I261" s="14"/>
      <c r="J261" s="14"/>
      <c r="K261" s="39"/>
      <c r="L261" s="14"/>
      <c r="M261" s="14"/>
      <c r="N261" s="14"/>
      <c r="O261" s="39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</row>
    <row r="262">
      <c r="A262" s="14"/>
      <c r="B262" s="14"/>
      <c r="G262" s="149"/>
      <c r="H262" s="149"/>
      <c r="I262" s="14"/>
      <c r="J262" s="14"/>
      <c r="K262" s="39"/>
      <c r="L262" s="14"/>
      <c r="M262" s="14"/>
      <c r="N262" s="14"/>
      <c r="O262" s="39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</row>
    <row r="263">
      <c r="A263" s="14"/>
      <c r="B263" s="14"/>
      <c r="G263" s="149"/>
      <c r="H263" s="149"/>
      <c r="I263" s="14"/>
      <c r="J263" s="14"/>
      <c r="K263" s="39"/>
      <c r="L263" s="14"/>
      <c r="M263" s="14"/>
      <c r="N263" s="14"/>
      <c r="O263" s="39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</row>
    <row r="264">
      <c r="A264" s="14"/>
      <c r="B264" s="14"/>
      <c r="G264" s="149"/>
      <c r="H264" s="149"/>
      <c r="I264" s="14"/>
      <c r="J264" s="14"/>
      <c r="K264" s="39"/>
      <c r="L264" s="14"/>
      <c r="M264" s="14"/>
      <c r="N264" s="14"/>
      <c r="O264" s="39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</row>
    <row r="265">
      <c r="A265" s="14"/>
      <c r="B265" s="14"/>
      <c r="G265" s="149"/>
      <c r="H265" s="149"/>
      <c r="I265" s="14"/>
      <c r="J265" s="14"/>
      <c r="K265" s="39"/>
      <c r="L265" s="14"/>
      <c r="M265" s="14"/>
      <c r="N265" s="14"/>
      <c r="O265" s="39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</row>
    <row r="266">
      <c r="A266" s="14"/>
      <c r="B266" s="14"/>
      <c r="G266" s="149"/>
      <c r="H266" s="149"/>
      <c r="I266" s="14"/>
      <c r="J266" s="14"/>
      <c r="K266" s="39"/>
      <c r="L266" s="14"/>
      <c r="M266" s="14"/>
      <c r="N266" s="14"/>
      <c r="O266" s="39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</row>
    <row r="267">
      <c r="A267" s="14"/>
      <c r="B267" s="14"/>
      <c r="G267" s="149"/>
      <c r="H267" s="149"/>
      <c r="I267" s="14"/>
      <c r="J267" s="14"/>
      <c r="K267" s="39"/>
      <c r="L267" s="14"/>
      <c r="M267" s="14"/>
      <c r="N267" s="14"/>
      <c r="O267" s="39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</row>
    <row r="268">
      <c r="A268" s="14"/>
      <c r="B268" s="14"/>
      <c r="G268" s="149"/>
      <c r="H268" s="149"/>
      <c r="I268" s="14"/>
      <c r="J268" s="14"/>
      <c r="K268" s="39"/>
      <c r="L268" s="14"/>
      <c r="M268" s="14"/>
      <c r="N268" s="14"/>
      <c r="O268" s="39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</row>
    <row r="269">
      <c r="A269" s="14"/>
      <c r="B269" s="14"/>
      <c r="G269" s="149"/>
      <c r="H269" s="149"/>
      <c r="I269" s="14"/>
      <c r="J269" s="14"/>
      <c r="K269" s="39"/>
      <c r="L269" s="14"/>
      <c r="M269" s="14"/>
      <c r="N269" s="14"/>
      <c r="O269" s="39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</row>
    <row r="270">
      <c r="A270" s="14"/>
      <c r="B270" s="14"/>
      <c r="G270" s="149"/>
      <c r="H270" s="149"/>
      <c r="I270" s="14"/>
      <c r="J270" s="14"/>
      <c r="K270" s="39"/>
      <c r="L270" s="14"/>
      <c r="M270" s="14"/>
      <c r="N270" s="14"/>
      <c r="O270" s="39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</row>
    <row r="271">
      <c r="A271" s="14"/>
      <c r="B271" s="14"/>
      <c r="G271" s="149"/>
      <c r="H271" s="149"/>
      <c r="I271" s="14"/>
      <c r="J271" s="14"/>
      <c r="K271" s="39"/>
      <c r="L271" s="14"/>
      <c r="M271" s="14"/>
      <c r="N271" s="14"/>
      <c r="O271" s="39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</row>
    <row r="272">
      <c r="A272" s="14"/>
      <c r="B272" s="14"/>
      <c r="G272" s="149"/>
      <c r="H272" s="149"/>
      <c r="I272" s="14"/>
      <c r="J272" s="14"/>
      <c r="K272" s="39"/>
      <c r="L272" s="14"/>
      <c r="M272" s="14"/>
      <c r="N272" s="14"/>
      <c r="O272" s="39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</row>
    <row r="273">
      <c r="A273" s="14"/>
      <c r="B273" s="14"/>
      <c r="G273" s="149"/>
      <c r="H273" s="149"/>
      <c r="I273" s="14"/>
      <c r="J273" s="14"/>
      <c r="K273" s="39"/>
      <c r="L273" s="14"/>
      <c r="M273" s="14"/>
      <c r="N273" s="14"/>
      <c r="O273" s="39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</row>
    <row r="274">
      <c r="A274" s="14"/>
      <c r="B274" s="14"/>
      <c r="G274" s="149"/>
      <c r="H274" s="149"/>
      <c r="I274" s="14"/>
      <c r="J274" s="14"/>
      <c r="K274" s="39"/>
      <c r="L274" s="14"/>
      <c r="M274" s="14"/>
      <c r="N274" s="14"/>
      <c r="O274" s="39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</row>
    <row r="275">
      <c r="A275" s="14"/>
      <c r="B275" s="14"/>
      <c r="G275" s="149"/>
      <c r="H275" s="149"/>
      <c r="I275" s="14"/>
      <c r="J275" s="14"/>
      <c r="K275" s="39"/>
      <c r="L275" s="14"/>
      <c r="M275" s="14"/>
      <c r="N275" s="14"/>
      <c r="O275" s="39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</row>
    <row r="276">
      <c r="A276" s="14"/>
      <c r="B276" s="14"/>
      <c r="G276" s="149"/>
      <c r="H276" s="149"/>
      <c r="I276" s="14"/>
      <c r="J276" s="14"/>
      <c r="K276" s="39"/>
      <c r="L276" s="14"/>
      <c r="M276" s="14"/>
      <c r="N276" s="14"/>
      <c r="O276" s="39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</row>
    <row r="277">
      <c r="A277" s="14"/>
      <c r="B277" s="14"/>
      <c r="G277" s="149"/>
      <c r="H277" s="149"/>
      <c r="I277" s="14"/>
      <c r="J277" s="14"/>
      <c r="K277" s="39"/>
      <c r="L277" s="14"/>
      <c r="M277" s="14"/>
      <c r="N277" s="14"/>
      <c r="O277" s="39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</row>
    <row r="278">
      <c r="A278" s="14"/>
      <c r="B278" s="14"/>
      <c r="G278" s="149"/>
      <c r="H278" s="149"/>
      <c r="I278" s="14"/>
      <c r="J278" s="14"/>
      <c r="K278" s="39"/>
      <c r="L278" s="14"/>
      <c r="M278" s="14"/>
      <c r="N278" s="14"/>
      <c r="O278" s="39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</row>
    <row r="279">
      <c r="A279" s="14"/>
      <c r="B279" s="14"/>
      <c r="G279" s="149"/>
      <c r="H279" s="149"/>
      <c r="I279" s="14"/>
      <c r="J279" s="14"/>
      <c r="K279" s="39"/>
      <c r="L279" s="14"/>
      <c r="M279" s="14"/>
      <c r="N279" s="14"/>
      <c r="O279" s="39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</row>
    <row r="280">
      <c r="A280" s="14"/>
      <c r="B280" s="14"/>
      <c r="G280" s="149"/>
      <c r="H280" s="149"/>
      <c r="I280" s="14"/>
      <c r="J280" s="14"/>
      <c r="K280" s="39"/>
      <c r="L280" s="14"/>
      <c r="M280" s="14"/>
      <c r="N280" s="14"/>
      <c r="O280" s="39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</row>
    <row r="281">
      <c r="A281" s="14"/>
      <c r="B281" s="14"/>
      <c r="G281" s="149"/>
      <c r="H281" s="149"/>
      <c r="I281" s="14"/>
      <c r="J281" s="14"/>
      <c r="K281" s="39"/>
      <c r="L281" s="14"/>
      <c r="M281" s="14"/>
      <c r="N281" s="14"/>
      <c r="O281" s="39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</row>
    <row r="282">
      <c r="A282" s="14"/>
      <c r="B282" s="14"/>
      <c r="G282" s="149"/>
      <c r="H282" s="149"/>
      <c r="I282" s="14"/>
      <c r="J282" s="14"/>
      <c r="K282" s="39"/>
      <c r="L282" s="14"/>
      <c r="M282" s="14"/>
      <c r="N282" s="14"/>
      <c r="O282" s="39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</row>
    <row r="283">
      <c r="A283" s="14"/>
      <c r="B283" s="14"/>
      <c r="G283" s="149"/>
      <c r="H283" s="149"/>
      <c r="I283" s="14"/>
      <c r="J283" s="14"/>
      <c r="K283" s="39"/>
      <c r="L283" s="14"/>
      <c r="M283" s="14"/>
      <c r="N283" s="14"/>
      <c r="O283" s="39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</row>
    <row r="284">
      <c r="A284" s="14"/>
      <c r="B284" s="14"/>
      <c r="G284" s="149"/>
      <c r="H284" s="149"/>
      <c r="I284" s="14"/>
      <c r="J284" s="14"/>
      <c r="K284" s="39"/>
      <c r="L284" s="14"/>
      <c r="M284" s="14"/>
      <c r="N284" s="14"/>
      <c r="O284" s="39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</row>
    <row r="285">
      <c r="A285" s="14"/>
      <c r="B285" s="14"/>
      <c r="G285" s="149"/>
      <c r="H285" s="149"/>
      <c r="I285" s="14"/>
      <c r="J285" s="14"/>
      <c r="K285" s="39"/>
      <c r="L285" s="14"/>
      <c r="M285" s="14"/>
      <c r="N285" s="14"/>
      <c r="O285" s="39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</row>
    <row r="286">
      <c r="A286" s="14"/>
      <c r="B286" s="14"/>
      <c r="G286" s="149"/>
      <c r="H286" s="149"/>
      <c r="I286" s="14"/>
      <c r="J286" s="14"/>
      <c r="K286" s="39"/>
      <c r="L286" s="14"/>
      <c r="M286" s="14"/>
      <c r="N286" s="14"/>
      <c r="O286" s="39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</row>
    <row r="287">
      <c r="A287" s="14"/>
      <c r="B287" s="14"/>
      <c r="G287" s="149"/>
      <c r="H287" s="149"/>
      <c r="I287" s="14"/>
      <c r="J287" s="14"/>
      <c r="K287" s="39"/>
      <c r="L287" s="14"/>
      <c r="M287" s="14"/>
      <c r="N287" s="14"/>
      <c r="O287" s="39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</row>
    <row r="288">
      <c r="A288" s="14"/>
      <c r="B288" s="14"/>
      <c r="G288" s="149"/>
      <c r="H288" s="149"/>
      <c r="I288" s="14"/>
      <c r="J288" s="14"/>
      <c r="K288" s="39"/>
      <c r="L288" s="14"/>
      <c r="M288" s="14"/>
      <c r="N288" s="14"/>
      <c r="O288" s="39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</row>
    <row r="289">
      <c r="A289" s="14"/>
      <c r="B289" s="14"/>
      <c r="G289" s="149"/>
      <c r="H289" s="149"/>
      <c r="I289" s="14"/>
      <c r="J289" s="14"/>
      <c r="K289" s="39"/>
      <c r="L289" s="14"/>
      <c r="M289" s="14"/>
      <c r="N289" s="14"/>
      <c r="O289" s="39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</row>
    <row r="290">
      <c r="A290" s="14"/>
      <c r="B290" s="14"/>
      <c r="G290" s="149"/>
      <c r="H290" s="149"/>
      <c r="I290" s="14"/>
      <c r="J290" s="14"/>
      <c r="K290" s="39"/>
      <c r="L290" s="14"/>
      <c r="M290" s="14"/>
      <c r="N290" s="14"/>
      <c r="O290" s="39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</row>
    <row r="291">
      <c r="A291" s="14"/>
      <c r="B291" s="14"/>
      <c r="G291" s="149"/>
      <c r="H291" s="149"/>
      <c r="I291" s="14"/>
      <c r="J291" s="14"/>
      <c r="K291" s="39"/>
      <c r="L291" s="14"/>
      <c r="M291" s="14"/>
      <c r="N291" s="14"/>
      <c r="O291" s="39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</row>
    <row r="292">
      <c r="A292" s="14"/>
      <c r="B292" s="14"/>
      <c r="G292" s="149"/>
      <c r="H292" s="149"/>
      <c r="I292" s="14"/>
      <c r="J292" s="14"/>
      <c r="K292" s="39"/>
      <c r="L292" s="14"/>
      <c r="M292" s="14"/>
      <c r="N292" s="14"/>
      <c r="O292" s="39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</row>
    <row r="293">
      <c r="A293" s="14"/>
      <c r="B293" s="14"/>
      <c r="G293" s="149"/>
      <c r="H293" s="149"/>
      <c r="I293" s="14"/>
      <c r="J293" s="14"/>
      <c r="K293" s="39"/>
      <c r="L293" s="14"/>
      <c r="M293" s="14"/>
      <c r="N293" s="14"/>
      <c r="O293" s="39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</row>
    <row r="294">
      <c r="A294" s="14"/>
      <c r="B294" s="14"/>
      <c r="G294" s="149"/>
      <c r="H294" s="149"/>
      <c r="I294" s="14"/>
      <c r="J294" s="14"/>
      <c r="K294" s="39"/>
      <c r="L294" s="14"/>
      <c r="M294" s="14"/>
      <c r="N294" s="14"/>
      <c r="O294" s="39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</row>
    <row r="295">
      <c r="A295" s="14"/>
      <c r="B295" s="14"/>
      <c r="G295" s="149"/>
      <c r="H295" s="149"/>
      <c r="I295" s="14"/>
      <c r="J295" s="14"/>
      <c r="K295" s="39"/>
      <c r="L295" s="14"/>
      <c r="M295" s="14"/>
      <c r="N295" s="14"/>
      <c r="O295" s="39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</row>
    <row r="296">
      <c r="A296" s="14"/>
      <c r="B296" s="14"/>
      <c r="G296" s="149"/>
      <c r="H296" s="149"/>
      <c r="I296" s="14"/>
      <c r="J296" s="14"/>
      <c r="K296" s="39"/>
      <c r="L296" s="14"/>
      <c r="M296" s="14"/>
      <c r="N296" s="14"/>
      <c r="O296" s="39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</row>
    <row r="297">
      <c r="A297" s="14"/>
      <c r="B297" s="14"/>
      <c r="G297" s="149"/>
      <c r="H297" s="149"/>
      <c r="I297" s="14"/>
      <c r="J297" s="14"/>
      <c r="K297" s="39"/>
      <c r="L297" s="14"/>
      <c r="M297" s="14"/>
      <c r="N297" s="14"/>
      <c r="O297" s="39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</row>
    <row r="298">
      <c r="A298" s="14"/>
      <c r="B298" s="14"/>
      <c r="G298" s="149"/>
      <c r="H298" s="149"/>
      <c r="I298" s="14"/>
      <c r="J298" s="14"/>
      <c r="K298" s="39"/>
      <c r="L298" s="14"/>
      <c r="M298" s="14"/>
      <c r="N298" s="14"/>
      <c r="O298" s="39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</row>
    <row r="299">
      <c r="A299" s="14"/>
      <c r="B299" s="14"/>
      <c r="G299" s="149"/>
      <c r="H299" s="149"/>
      <c r="I299" s="14"/>
      <c r="J299" s="14"/>
      <c r="K299" s="39"/>
      <c r="L299" s="14"/>
      <c r="M299" s="14"/>
      <c r="N299" s="14"/>
      <c r="O299" s="39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</row>
    <row r="300">
      <c r="A300" s="14"/>
      <c r="B300" s="14"/>
      <c r="G300" s="149"/>
      <c r="H300" s="149"/>
      <c r="I300" s="14"/>
      <c r="J300" s="14"/>
      <c r="K300" s="39"/>
      <c r="L300" s="14"/>
      <c r="M300" s="14"/>
      <c r="N300" s="14"/>
      <c r="O300" s="39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</row>
    <row r="301">
      <c r="A301" s="14"/>
      <c r="B301" s="14"/>
      <c r="G301" s="149"/>
      <c r="H301" s="149"/>
      <c r="I301" s="14"/>
      <c r="J301" s="14"/>
      <c r="K301" s="39"/>
      <c r="L301" s="14"/>
      <c r="M301" s="14"/>
      <c r="N301" s="14"/>
      <c r="O301" s="39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</row>
    <row r="302">
      <c r="A302" s="14"/>
      <c r="B302" s="14"/>
      <c r="G302" s="149"/>
      <c r="H302" s="149"/>
      <c r="I302" s="14"/>
      <c r="J302" s="14"/>
      <c r="K302" s="39"/>
      <c r="L302" s="14"/>
      <c r="M302" s="14"/>
      <c r="N302" s="14"/>
      <c r="O302" s="39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</row>
    <row r="303">
      <c r="A303" s="14"/>
      <c r="B303" s="14"/>
      <c r="G303" s="149"/>
      <c r="H303" s="149"/>
      <c r="I303" s="14"/>
      <c r="J303" s="14"/>
      <c r="K303" s="39"/>
      <c r="L303" s="14"/>
      <c r="M303" s="14"/>
      <c r="N303" s="14"/>
      <c r="O303" s="39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</row>
    <row r="304">
      <c r="A304" s="14"/>
      <c r="B304" s="14"/>
      <c r="G304" s="149"/>
      <c r="H304" s="149"/>
      <c r="I304" s="14"/>
      <c r="J304" s="14"/>
      <c r="K304" s="39"/>
      <c r="L304" s="14"/>
      <c r="M304" s="14"/>
      <c r="N304" s="14"/>
      <c r="O304" s="39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</row>
    <row r="305">
      <c r="A305" s="14"/>
      <c r="B305" s="14"/>
      <c r="G305" s="149"/>
      <c r="H305" s="149"/>
      <c r="I305" s="14"/>
      <c r="J305" s="14"/>
      <c r="K305" s="39"/>
      <c r="L305" s="14"/>
      <c r="M305" s="14"/>
      <c r="N305" s="14"/>
      <c r="O305" s="39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</row>
    <row r="306">
      <c r="A306" s="14"/>
      <c r="B306" s="14"/>
      <c r="G306" s="149"/>
      <c r="H306" s="149"/>
      <c r="I306" s="14"/>
      <c r="J306" s="14"/>
      <c r="K306" s="39"/>
      <c r="L306" s="14"/>
      <c r="M306" s="14"/>
      <c r="N306" s="14"/>
      <c r="O306" s="39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</row>
    <row r="307">
      <c r="A307" s="14"/>
      <c r="B307" s="14"/>
      <c r="G307" s="149"/>
      <c r="H307" s="149"/>
      <c r="I307" s="14"/>
      <c r="J307" s="14"/>
      <c r="K307" s="39"/>
      <c r="L307" s="14"/>
      <c r="M307" s="14"/>
      <c r="N307" s="14"/>
      <c r="O307" s="39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</row>
    <row r="308">
      <c r="A308" s="14"/>
      <c r="B308" s="14"/>
      <c r="G308" s="149"/>
      <c r="H308" s="149"/>
      <c r="I308" s="14"/>
      <c r="J308" s="14"/>
      <c r="K308" s="39"/>
      <c r="L308" s="14"/>
      <c r="M308" s="14"/>
      <c r="N308" s="14"/>
      <c r="O308" s="39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</row>
    <row r="309">
      <c r="A309" s="14"/>
      <c r="B309" s="14"/>
      <c r="G309" s="149"/>
      <c r="H309" s="149"/>
      <c r="I309" s="14"/>
      <c r="J309" s="14"/>
      <c r="K309" s="39"/>
      <c r="L309" s="14"/>
      <c r="M309" s="14"/>
      <c r="N309" s="14"/>
      <c r="O309" s="39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</row>
    <row r="310">
      <c r="A310" s="14"/>
      <c r="B310" s="14"/>
      <c r="G310" s="149"/>
      <c r="H310" s="149"/>
      <c r="I310" s="14"/>
      <c r="J310" s="14"/>
      <c r="K310" s="39"/>
      <c r="L310" s="14"/>
      <c r="M310" s="14"/>
      <c r="N310" s="14"/>
      <c r="O310" s="39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</row>
    <row r="311">
      <c r="A311" s="14"/>
      <c r="B311" s="14"/>
      <c r="G311" s="149"/>
      <c r="H311" s="149"/>
      <c r="I311" s="14"/>
      <c r="J311" s="14"/>
      <c r="K311" s="39"/>
      <c r="L311" s="14"/>
      <c r="M311" s="14"/>
      <c r="N311" s="14"/>
      <c r="O311" s="39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</row>
    <row r="312">
      <c r="A312" s="14"/>
      <c r="B312" s="14"/>
      <c r="G312" s="149"/>
      <c r="H312" s="149"/>
      <c r="I312" s="14"/>
      <c r="J312" s="14"/>
      <c r="K312" s="39"/>
      <c r="L312" s="14"/>
      <c r="M312" s="14"/>
      <c r="N312" s="14"/>
      <c r="O312" s="39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</row>
    <row r="313">
      <c r="A313" s="14"/>
      <c r="B313" s="14"/>
      <c r="G313" s="149"/>
      <c r="H313" s="149"/>
      <c r="I313" s="14"/>
      <c r="J313" s="14"/>
      <c r="K313" s="39"/>
      <c r="L313" s="14"/>
      <c r="M313" s="14"/>
      <c r="N313" s="14"/>
      <c r="O313" s="39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</row>
    <row r="314">
      <c r="A314" s="14"/>
      <c r="B314" s="14"/>
      <c r="G314" s="149"/>
      <c r="H314" s="149"/>
      <c r="I314" s="14"/>
      <c r="J314" s="14"/>
      <c r="K314" s="39"/>
      <c r="L314" s="14"/>
      <c r="M314" s="14"/>
      <c r="N314" s="14"/>
      <c r="O314" s="39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</row>
    <row r="315">
      <c r="A315" s="14"/>
      <c r="B315" s="14"/>
      <c r="G315" s="149"/>
      <c r="H315" s="149"/>
      <c r="I315" s="14"/>
      <c r="J315" s="14"/>
      <c r="K315" s="39"/>
      <c r="L315" s="14"/>
      <c r="M315" s="14"/>
      <c r="N315" s="14"/>
      <c r="O315" s="39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</row>
    <row r="316">
      <c r="A316" s="14"/>
      <c r="B316" s="14"/>
      <c r="G316" s="149"/>
      <c r="H316" s="149"/>
      <c r="I316" s="14"/>
      <c r="J316" s="14"/>
      <c r="K316" s="39"/>
      <c r="L316" s="14"/>
      <c r="M316" s="14"/>
      <c r="N316" s="14"/>
      <c r="O316" s="39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</row>
    <row r="317">
      <c r="A317" s="14"/>
      <c r="B317" s="14"/>
      <c r="G317" s="149"/>
      <c r="H317" s="149"/>
      <c r="I317" s="14"/>
      <c r="J317" s="14"/>
      <c r="K317" s="39"/>
      <c r="L317" s="14"/>
      <c r="M317" s="14"/>
      <c r="N317" s="14"/>
      <c r="O317" s="39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</row>
    <row r="318">
      <c r="A318" s="14"/>
      <c r="B318" s="14"/>
      <c r="G318" s="149"/>
      <c r="H318" s="149"/>
      <c r="I318" s="14"/>
      <c r="J318" s="14"/>
      <c r="K318" s="39"/>
      <c r="L318" s="14"/>
      <c r="M318" s="14"/>
      <c r="N318" s="14"/>
      <c r="O318" s="39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</row>
    <row r="319">
      <c r="A319" s="14"/>
      <c r="B319" s="14"/>
      <c r="G319" s="149"/>
      <c r="H319" s="149"/>
      <c r="I319" s="14"/>
      <c r="J319" s="14"/>
      <c r="K319" s="39"/>
      <c r="L319" s="14"/>
      <c r="M319" s="14"/>
      <c r="N319" s="14"/>
      <c r="O319" s="39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</row>
    <row r="320">
      <c r="A320" s="14"/>
      <c r="B320" s="14"/>
      <c r="G320" s="149"/>
      <c r="H320" s="149"/>
      <c r="I320" s="14"/>
      <c r="J320" s="14"/>
      <c r="K320" s="39"/>
      <c r="L320" s="14"/>
      <c r="M320" s="14"/>
      <c r="N320" s="14"/>
      <c r="O320" s="39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</row>
    <row r="321">
      <c r="A321" s="14"/>
      <c r="B321" s="14"/>
      <c r="G321" s="149"/>
      <c r="H321" s="149"/>
      <c r="I321" s="14"/>
      <c r="J321" s="14"/>
      <c r="K321" s="39"/>
      <c r="L321" s="14"/>
      <c r="M321" s="14"/>
      <c r="N321" s="14"/>
      <c r="O321" s="39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</row>
    <row r="322">
      <c r="A322" s="14"/>
      <c r="B322" s="14"/>
      <c r="G322" s="149"/>
      <c r="H322" s="149"/>
      <c r="I322" s="14"/>
      <c r="J322" s="14"/>
      <c r="K322" s="39"/>
      <c r="L322" s="14"/>
      <c r="M322" s="14"/>
      <c r="N322" s="14"/>
      <c r="O322" s="39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</row>
    <row r="323">
      <c r="A323" s="14"/>
      <c r="B323" s="14"/>
      <c r="G323" s="149"/>
      <c r="H323" s="149"/>
      <c r="I323" s="14"/>
      <c r="J323" s="14"/>
      <c r="K323" s="39"/>
      <c r="L323" s="14"/>
      <c r="M323" s="14"/>
      <c r="N323" s="14"/>
      <c r="O323" s="39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</row>
    <row r="324">
      <c r="A324" s="14"/>
      <c r="B324" s="14"/>
      <c r="G324" s="149"/>
      <c r="H324" s="149"/>
      <c r="I324" s="14"/>
      <c r="J324" s="14"/>
      <c r="K324" s="39"/>
      <c r="L324" s="14"/>
      <c r="M324" s="14"/>
      <c r="N324" s="14"/>
      <c r="O324" s="39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</row>
    <row r="325">
      <c r="A325" s="14"/>
      <c r="B325" s="14"/>
      <c r="G325" s="149"/>
      <c r="H325" s="149"/>
      <c r="I325" s="14"/>
      <c r="J325" s="14"/>
      <c r="K325" s="39"/>
      <c r="L325" s="14"/>
      <c r="M325" s="14"/>
      <c r="N325" s="14"/>
      <c r="O325" s="39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</row>
    <row r="326">
      <c r="A326" s="14"/>
      <c r="B326" s="14"/>
      <c r="G326" s="149"/>
      <c r="H326" s="149"/>
      <c r="I326" s="14"/>
      <c r="J326" s="14"/>
      <c r="K326" s="39"/>
      <c r="L326" s="14"/>
      <c r="M326" s="14"/>
      <c r="N326" s="14"/>
      <c r="O326" s="39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</row>
    <row r="327">
      <c r="A327" s="14"/>
      <c r="B327" s="14"/>
      <c r="G327" s="149"/>
      <c r="H327" s="149"/>
      <c r="I327" s="14"/>
      <c r="J327" s="14"/>
      <c r="K327" s="39"/>
      <c r="L327" s="14"/>
      <c r="M327" s="14"/>
      <c r="N327" s="14"/>
      <c r="O327" s="39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</row>
    <row r="328">
      <c r="A328" s="14"/>
      <c r="B328" s="14"/>
      <c r="G328" s="149"/>
      <c r="H328" s="149"/>
      <c r="I328" s="14"/>
      <c r="J328" s="14"/>
      <c r="K328" s="39"/>
      <c r="L328" s="14"/>
      <c r="M328" s="14"/>
      <c r="N328" s="14"/>
      <c r="O328" s="39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</row>
    <row r="329">
      <c r="A329" s="14"/>
      <c r="B329" s="14"/>
      <c r="G329" s="149"/>
      <c r="H329" s="149"/>
      <c r="I329" s="14"/>
      <c r="J329" s="14"/>
      <c r="K329" s="39"/>
      <c r="L329" s="14"/>
      <c r="M329" s="14"/>
      <c r="N329" s="14"/>
      <c r="O329" s="39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</row>
    <row r="330">
      <c r="A330" s="14"/>
      <c r="B330" s="14"/>
      <c r="G330" s="149"/>
      <c r="H330" s="149"/>
      <c r="I330" s="14"/>
      <c r="J330" s="14"/>
      <c r="K330" s="39"/>
      <c r="L330" s="14"/>
      <c r="M330" s="14"/>
      <c r="N330" s="14"/>
      <c r="O330" s="39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</row>
    <row r="331">
      <c r="A331" s="14"/>
      <c r="B331" s="14"/>
      <c r="G331" s="149"/>
      <c r="H331" s="149"/>
      <c r="I331" s="14"/>
      <c r="J331" s="14"/>
      <c r="K331" s="39"/>
      <c r="L331" s="14"/>
      <c r="M331" s="14"/>
      <c r="N331" s="14"/>
      <c r="O331" s="39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</row>
    <row r="332">
      <c r="A332" s="14"/>
      <c r="B332" s="14"/>
      <c r="G332" s="149"/>
      <c r="H332" s="149"/>
      <c r="I332" s="14"/>
      <c r="J332" s="14"/>
      <c r="K332" s="39"/>
      <c r="L332" s="14"/>
      <c r="M332" s="14"/>
      <c r="N332" s="14"/>
      <c r="O332" s="39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</row>
    <row r="333">
      <c r="A333" s="14"/>
      <c r="B333" s="14"/>
      <c r="G333" s="149"/>
      <c r="H333" s="149"/>
      <c r="I333" s="14"/>
      <c r="J333" s="14"/>
      <c r="K333" s="39"/>
      <c r="L333" s="14"/>
      <c r="M333" s="14"/>
      <c r="N333" s="14"/>
      <c r="O333" s="39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</row>
    <row r="334">
      <c r="A334" s="14"/>
      <c r="B334" s="14"/>
      <c r="G334" s="149"/>
      <c r="H334" s="149"/>
      <c r="I334" s="14"/>
      <c r="J334" s="14"/>
      <c r="K334" s="39"/>
      <c r="L334" s="14"/>
      <c r="M334" s="14"/>
      <c r="N334" s="14"/>
      <c r="O334" s="39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</row>
    <row r="335">
      <c r="A335" s="14"/>
      <c r="B335" s="14"/>
      <c r="G335" s="149"/>
      <c r="H335" s="149"/>
      <c r="I335" s="14"/>
      <c r="J335" s="14"/>
      <c r="K335" s="39"/>
      <c r="L335" s="14"/>
      <c r="M335" s="14"/>
      <c r="N335" s="14"/>
      <c r="O335" s="39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</row>
    <row r="336">
      <c r="A336" s="14"/>
      <c r="B336" s="14"/>
      <c r="G336" s="149"/>
      <c r="H336" s="149"/>
      <c r="I336" s="14"/>
      <c r="J336" s="14"/>
      <c r="K336" s="39"/>
      <c r="L336" s="14"/>
      <c r="M336" s="14"/>
      <c r="N336" s="14"/>
      <c r="O336" s="39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</row>
    <row r="337">
      <c r="A337" s="14"/>
      <c r="B337" s="14"/>
      <c r="G337" s="149"/>
      <c r="H337" s="149"/>
      <c r="I337" s="14"/>
      <c r="J337" s="14"/>
      <c r="K337" s="39"/>
      <c r="L337" s="14"/>
      <c r="M337" s="14"/>
      <c r="N337" s="14"/>
      <c r="O337" s="39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</row>
    <row r="338">
      <c r="A338" s="14"/>
      <c r="B338" s="14"/>
      <c r="G338" s="149"/>
      <c r="H338" s="149"/>
      <c r="I338" s="14"/>
      <c r="J338" s="14"/>
      <c r="K338" s="39"/>
      <c r="L338" s="14"/>
      <c r="M338" s="14"/>
      <c r="N338" s="14"/>
      <c r="O338" s="39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</row>
    <row r="339">
      <c r="A339" s="14"/>
      <c r="B339" s="14"/>
      <c r="G339" s="149"/>
      <c r="H339" s="149"/>
      <c r="I339" s="14"/>
      <c r="J339" s="14"/>
      <c r="K339" s="39"/>
      <c r="L339" s="14"/>
      <c r="M339" s="14"/>
      <c r="N339" s="14"/>
      <c r="O339" s="39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</row>
    <row r="340">
      <c r="A340" s="14"/>
      <c r="B340" s="14"/>
      <c r="G340" s="149"/>
      <c r="H340" s="149"/>
      <c r="I340" s="14"/>
      <c r="J340" s="14"/>
      <c r="K340" s="39"/>
      <c r="L340" s="14"/>
      <c r="M340" s="14"/>
      <c r="N340" s="14"/>
      <c r="O340" s="39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</row>
    <row r="341">
      <c r="A341" s="14"/>
      <c r="B341" s="14"/>
      <c r="G341" s="149"/>
      <c r="H341" s="149"/>
      <c r="I341" s="14"/>
      <c r="J341" s="14"/>
      <c r="K341" s="39"/>
      <c r="L341" s="14"/>
      <c r="M341" s="14"/>
      <c r="N341" s="14"/>
      <c r="O341" s="39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</row>
    <row r="342">
      <c r="A342" s="14"/>
      <c r="B342" s="14"/>
      <c r="G342" s="149"/>
      <c r="H342" s="149"/>
      <c r="I342" s="14"/>
      <c r="J342" s="14"/>
      <c r="K342" s="39"/>
      <c r="L342" s="14"/>
      <c r="M342" s="14"/>
      <c r="N342" s="14"/>
      <c r="O342" s="39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</row>
    <row r="343">
      <c r="A343" s="14"/>
      <c r="B343" s="14"/>
      <c r="G343" s="149"/>
      <c r="H343" s="149"/>
      <c r="I343" s="14"/>
      <c r="J343" s="14"/>
      <c r="K343" s="39"/>
      <c r="L343" s="14"/>
      <c r="M343" s="14"/>
      <c r="N343" s="14"/>
      <c r="O343" s="39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</row>
    <row r="344">
      <c r="A344" s="14"/>
      <c r="B344" s="14"/>
      <c r="G344" s="149"/>
      <c r="H344" s="149"/>
      <c r="I344" s="14"/>
      <c r="J344" s="14"/>
      <c r="K344" s="39"/>
      <c r="L344" s="14"/>
      <c r="M344" s="14"/>
      <c r="N344" s="14"/>
      <c r="O344" s="39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</row>
    <row r="345">
      <c r="A345" s="14"/>
      <c r="B345" s="14"/>
      <c r="G345" s="149"/>
      <c r="H345" s="149"/>
      <c r="I345" s="14"/>
      <c r="J345" s="14"/>
      <c r="K345" s="39"/>
      <c r="L345" s="14"/>
      <c r="M345" s="14"/>
      <c r="N345" s="14"/>
      <c r="O345" s="39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</row>
    <row r="346">
      <c r="A346" s="14"/>
      <c r="B346" s="14"/>
      <c r="G346" s="149"/>
      <c r="H346" s="149"/>
      <c r="I346" s="14"/>
      <c r="J346" s="14"/>
      <c r="K346" s="39"/>
      <c r="L346" s="14"/>
      <c r="M346" s="14"/>
      <c r="N346" s="14"/>
      <c r="O346" s="39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</row>
    <row r="347">
      <c r="A347" s="14"/>
      <c r="B347" s="14"/>
      <c r="G347" s="149"/>
      <c r="H347" s="149"/>
      <c r="I347" s="14"/>
      <c r="J347" s="14"/>
      <c r="K347" s="39"/>
      <c r="L347" s="14"/>
      <c r="M347" s="14"/>
      <c r="N347" s="14"/>
      <c r="O347" s="39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</row>
    <row r="348">
      <c r="A348" s="14"/>
      <c r="B348" s="14"/>
      <c r="G348" s="149"/>
      <c r="H348" s="149"/>
      <c r="I348" s="14"/>
      <c r="J348" s="14"/>
      <c r="K348" s="39"/>
      <c r="L348" s="14"/>
      <c r="M348" s="14"/>
      <c r="N348" s="14"/>
      <c r="O348" s="39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</row>
    <row r="349">
      <c r="A349" s="14"/>
      <c r="B349" s="14"/>
      <c r="G349" s="149"/>
      <c r="H349" s="149"/>
      <c r="I349" s="14"/>
      <c r="J349" s="14"/>
      <c r="K349" s="39"/>
      <c r="L349" s="14"/>
      <c r="M349" s="14"/>
      <c r="N349" s="14"/>
      <c r="O349" s="39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</row>
    <row r="350">
      <c r="A350" s="14"/>
      <c r="B350" s="14"/>
      <c r="G350" s="149"/>
      <c r="H350" s="149"/>
      <c r="I350" s="14"/>
      <c r="J350" s="14"/>
      <c r="K350" s="39"/>
      <c r="L350" s="14"/>
      <c r="M350" s="14"/>
      <c r="N350" s="14"/>
      <c r="O350" s="39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</row>
    <row r="351">
      <c r="A351" s="14"/>
      <c r="B351" s="14"/>
      <c r="G351" s="149"/>
      <c r="H351" s="149"/>
      <c r="I351" s="14"/>
      <c r="J351" s="14"/>
      <c r="K351" s="39"/>
      <c r="L351" s="14"/>
      <c r="M351" s="14"/>
      <c r="N351" s="14"/>
      <c r="O351" s="39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</row>
    <row r="352">
      <c r="A352" s="14"/>
      <c r="B352" s="14"/>
      <c r="G352" s="149"/>
      <c r="H352" s="149"/>
      <c r="I352" s="14"/>
      <c r="J352" s="14"/>
      <c r="K352" s="39"/>
      <c r="L352" s="14"/>
      <c r="M352" s="14"/>
      <c r="N352" s="14"/>
      <c r="O352" s="39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</row>
    <row r="353">
      <c r="A353" s="14"/>
      <c r="B353" s="14"/>
      <c r="G353" s="149"/>
      <c r="H353" s="149"/>
      <c r="I353" s="14"/>
      <c r="J353" s="14"/>
      <c r="K353" s="39"/>
      <c r="L353" s="14"/>
      <c r="M353" s="14"/>
      <c r="N353" s="14"/>
      <c r="O353" s="39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</row>
    <row r="354">
      <c r="A354" s="14"/>
      <c r="B354" s="14"/>
      <c r="G354" s="149"/>
      <c r="H354" s="149"/>
      <c r="I354" s="14"/>
      <c r="J354" s="14"/>
      <c r="K354" s="39"/>
      <c r="L354" s="14"/>
      <c r="M354" s="14"/>
      <c r="N354" s="14"/>
      <c r="O354" s="39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</row>
    <row r="355">
      <c r="A355" s="14"/>
      <c r="B355" s="14"/>
      <c r="G355" s="149"/>
      <c r="H355" s="149"/>
      <c r="I355" s="14"/>
      <c r="J355" s="14"/>
      <c r="K355" s="39"/>
      <c r="L355" s="14"/>
      <c r="M355" s="14"/>
      <c r="N355" s="14"/>
      <c r="O355" s="39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</row>
    <row r="356">
      <c r="A356" s="14"/>
      <c r="B356" s="14"/>
      <c r="G356" s="149"/>
      <c r="H356" s="149"/>
      <c r="I356" s="14"/>
      <c r="J356" s="14"/>
      <c r="K356" s="39"/>
      <c r="L356" s="14"/>
      <c r="M356" s="14"/>
      <c r="N356" s="14"/>
      <c r="O356" s="39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</row>
    <row r="357">
      <c r="A357" s="14"/>
      <c r="B357" s="14"/>
      <c r="G357" s="149"/>
      <c r="H357" s="149"/>
      <c r="I357" s="14"/>
      <c r="J357" s="14"/>
      <c r="K357" s="39"/>
      <c r="L357" s="14"/>
      <c r="M357" s="14"/>
      <c r="N357" s="14"/>
      <c r="O357" s="39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</row>
    <row r="358">
      <c r="A358" s="14"/>
      <c r="B358" s="14"/>
      <c r="G358" s="149"/>
      <c r="H358" s="149"/>
      <c r="I358" s="14"/>
      <c r="J358" s="14"/>
      <c r="K358" s="39"/>
      <c r="L358" s="14"/>
      <c r="M358" s="14"/>
      <c r="N358" s="14"/>
      <c r="O358" s="39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</row>
    <row r="359">
      <c r="A359" s="14"/>
      <c r="B359" s="14"/>
      <c r="G359" s="149"/>
      <c r="H359" s="149"/>
      <c r="I359" s="14"/>
      <c r="J359" s="14"/>
      <c r="K359" s="39"/>
      <c r="L359" s="14"/>
      <c r="M359" s="14"/>
      <c r="N359" s="14"/>
      <c r="O359" s="39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</row>
    <row r="360">
      <c r="A360" s="14"/>
      <c r="B360" s="14"/>
      <c r="G360" s="149"/>
      <c r="H360" s="149"/>
      <c r="I360" s="14"/>
      <c r="J360" s="14"/>
      <c r="K360" s="39"/>
      <c r="L360" s="14"/>
      <c r="M360" s="14"/>
      <c r="N360" s="14"/>
      <c r="O360" s="39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</row>
    <row r="361">
      <c r="A361" s="14"/>
      <c r="B361" s="14"/>
      <c r="G361" s="149"/>
      <c r="H361" s="149"/>
      <c r="I361" s="14"/>
      <c r="J361" s="14"/>
      <c r="K361" s="39"/>
      <c r="L361" s="14"/>
      <c r="M361" s="14"/>
      <c r="N361" s="14"/>
      <c r="O361" s="39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</row>
    <row r="362">
      <c r="A362" s="14"/>
      <c r="B362" s="14"/>
      <c r="G362" s="149"/>
      <c r="H362" s="149"/>
      <c r="I362" s="14"/>
      <c r="J362" s="14"/>
      <c r="K362" s="39"/>
      <c r="L362" s="14"/>
      <c r="M362" s="14"/>
      <c r="N362" s="14"/>
      <c r="O362" s="39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</row>
    <row r="363">
      <c r="A363" s="14"/>
      <c r="B363" s="14"/>
      <c r="G363" s="149"/>
      <c r="H363" s="149"/>
      <c r="I363" s="14"/>
      <c r="J363" s="14"/>
      <c r="K363" s="39"/>
      <c r="L363" s="14"/>
      <c r="M363" s="14"/>
      <c r="N363" s="14"/>
      <c r="O363" s="39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</row>
    <row r="364">
      <c r="A364" s="14"/>
      <c r="B364" s="14"/>
      <c r="G364" s="149"/>
      <c r="H364" s="149"/>
      <c r="I364" s="14"/>
      <c r="J364" s="14"/>
      <c r="K364" s="39"/>
      <c r="L364" s="14"/>
      <c r="M364" s="14"/>
      <c r="N364" s="14"/>
      <c r="O364" s="39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</row>
    <row r="365">
      <c r="A365" s="14"/>
      <c r="B365" s="14"/>
      <c r="G365" s="149"/>
      <c r="H365" s="149"/>
      <c r="I365" s="14"/>
      <c r="J365" s="14"/>
      <c r="K365" s="39"/>
      <c r="L365" s="14"/>
      <c r="M365" s="14"/>
      <c r="N365" s="14"/>
      <c r="O365" s="39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</row>
    <row r="366">
      <c r="A366" s="14"/>
      <c r="B366" s="14"/>
      <c r="G366" s="149"/>
      <c r="H366" s="149"/>
      <c r="I366" s="14"/>
      <c r="J366" s="14"/>
      <c r="K366" s="39"/>
      <c r="L366" s="14"/>
      <c r="M366" s="14"/>
      <c r="N366" s="14"/>
      <c r="O366" s="39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</row>
    <row r="367">
      <c r="A367" s="14"/>
      <c r="B367" s="14"/>
      <c r="G367" s="149"/>
      <c r="H367" s="149"/>
      <c r="I367" s="14"/>
      <c r="J367" s="14"/>
      <c r="K367" s="39"/>
      <c r="L367" s="14"/>
      <c r="M367" s="14"/>
      <c r="N367" s="14"/>
      <c r="O367" s="39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</row>
    <row r="368">
      <c r="A368" s="14"/>
      <c r="B368" s="14"/>
      <c r="G368" s="149"/>
      <c r="H368" s="149"/>
      <c r="I368" s="14"/>
      <c r="J368" s="14"/>
      <c r="K368" s="39"/>
      <c r="L368" s="14"/>
      <c r="M368" s="14"/>
      <c r="N368" s="14"/>
      <c r="O368" s="39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</row>
    <row r="369">
      <c r="A369" s="14"/>
      <c r="B369" s="14"/>
      <c r="G369" s="149"/>
      <c r="H369" s="149"/>
      <c r="I369" s="14"/>
      <c r="J369" s="14"/>
      <c r="K369" s="39"/>
      <c r="L369" s="14"/>
      <c r="M369" s="14"/>
      <c r="N369" s="14"/>
      <c r="O369" s="39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</row>
    <row r="370">
      <c r="A370" s="14"/>
      <c r="B370" s="14"/>
      <c r="G370" s="149"/>
      <c r="H370" s="149"/>
      <c r="I370" s="14"/>
      <c r="J370" s="14"/>
      <c r="K370" s="39"/>
      <c r="L370" s="14"/>
      <c r="M370" s="14"/>
      <c r="N370" s="14"/>
      <c r="O370" s="39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</row>
    <row r="371">
      <c r="A371" s="14"/>
      <c r="B371" s="14"/>
      <c r="G371" s="149"/>
      <c r="H371" s="149"/>
      <c r="I371" s="14"/>
      <c r="J371" s="14"/>
      <c r="K371" s="39"/>
      <c r="L371" s="14"/>
      <c r="M371" s="14"/>
      <c r="N371" s="14"/>
      <c r="O371" s="39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</row>
    <row r="372">
      <c r="A372" s="14"/>
      <c r="B372" s="14"/>
      <c r="G372" s="149"/>
      <c r="H372" s="149"/>
      <c r="I372" s="14"/>
      <c r="J372" s="14"/>
      <c r="K372" s="39"/>
      <c r="L372" s="14"/>
      <c r="M372" s="14"/>
      <c r="N372" s="14"/>
      <c r="O372" s="39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</row>
    <row r="373">
      <c r="A373" s="14"/>
      <c r="B373" s="14"/>
      <c r="G373" s="149"/>
      <c r="H373" s="149"/>
      <c r="I373" s="14"/>
      <c r="J373" s="14"/>
      <c r="K373" s="39"/>
      <c r="L373" s="14"/>
      <c r="M373" s="14"/>
      <c r="N373" s="14"/>
      <c r="O373" s="39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</row>
    <row r="374">
      <c r="A374" s="14"/>
      <c r="B374" s="14"/>
      <c r="G374" s="149"/>
      <c r="H374" s="149"/>
      <c r="I374" s="14"/>
      <c r="J374" s="14"/>
      <c r="K374" s="39"/>
      <c r="L374" s="14"/>
      <c r="M374" s="14"/>
      <c r="N374" s="14"/>
      <c r="O374" s="39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</row>
    <row r="375">
      <c r="A375" s="14"/>
      <c r="B375" s="14"/>
      <c r="G375" s="149"/>
      <c r="H375" s="149"/>
      <c r="I375" s="14"/>
      <c r="J375" s="14"/>
      <c r="K375" s="39"/>
      <c r="L375" s="14"/>
      <c r="M375" s="14"/>
      <c r="N375" s="14"/>
      <c r="O375" s="39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</row>
    <row r="376">
      <c r="A376" s="14"/>
      <c r="B376" s="14"/>
      <c r="G376" s="149"/>
      <c r="H376" s="149"/>
      <c r="I376" s="14"/>
      <c r="J376" s="14"/>
      <c r="K376" s="39"/>
      <c r="L376" s="14"/>
      <c r="M376" s="14"/>
      <c r="N376" s="14"/>
      <c r="O376" s="39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</row>
    <row r="377">
      <c r="A377" s="14"/>
      <c r="B377" s="14"/>
      <c r="G377" s="149"/>
      <c r="H377" s="149"/>
      <c r="I377" s="14"/>
      <c r="J377" s="14"/>
      <c r="K377" s="39"/>
      <c r="L377" s="14"/>
      <c r="M377" s="14"/>
      <c r="N377" s="14"/>
      <c r="O377" s="39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</row>
    <row r="378">
      <c r="A378" s="14"/>
      <c r="B378" s="14"/>
      <c r="G378" s="149"/>
      <c r="H378" s="149"/>
      <c r="I378" s="14"/>
      <c r="J378" s="14"/>
      <c r="K378" s="39"/>
      <c r="L378" s="14"/>
      <c r="M378" s="14"/>
      <c r="N378" s="14"/>
      <c r="O378" s="39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</row>
    <row r="379">
      <c r="A379" s="14"/>
      <c r="B379" s="14"/>
      <c r="G379" s="149"/>
      <c r="H379" s="149"/>
      <c r="I379" s="14"/>
      <c r="J379" s="14"/>
      <c r="K379" s="39"/>
      <c r="L379" s="14"/>
      <c r="M379" s="14"/>
      <c r="N379" s="14"/>
      <c r="O379" s="39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</row>
    <row r="380">
      <c r="A380" s="14"/>
      <c r="B380" s="14"/>
      <c r="G380" s="149"/>
      <c r="H380" s="149"/>
      <c r="I380" s="14"/>
      <c r="J380" s="14"/>
      <c r="K380" s="39"/>
      <c r="L380" s="14"/>
      <c r="M380" s="14"/>
      <c r="N380" s="14"/>
      <c r="O380" s="39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</row>
    <row r="381">
      <c r="A381" s="14"/>
      <c r="B381" s="14"/>
      <c r="G381" s="149"/>
      <c r="H381" s="149"/>
      <c r="I381" s="14"/>
      <c r="J381" s="14"/>
      <c r="K381" s="39"/>
      <c r="L381" s="14"/>
      <c r="M381" s="14"/>
      <c r="N381" s="14"/>
      <c r="O381" s="39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</row>
    <row r="382">
      <c r="A382" s="14"/>
      <c r="B382" s="14"/>
      <c r="G382" s="149"/>
      <c r="H382" s="149"/>
      <c r="I382" s="14"/>
      <c r="J382" s="14"/>
      <c r="K382" s="39"/>
      <c r="L382" s="14"/>
      <c r="M382" s="14"/>
      <c r="N382" s="14"/>
      <c r="O382" s="39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</row>
    <row r="383">
      <c r="A383" s="14"/>
      <c r="B383" s="14"/>
      <c r="G383" s="149"/>
      <c r="H383" s="149"/>
      <c r="I383" s="14"/>
      <c r="J383" s="14"/>
      <c r="K383" s="39"/>
      <c r="L383" s="14"/>
      <c r="M383" s="14"/>
      <c r="N383" s="14"/>
      <c r="O383" s="39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</row>
    <row r="384">
      <c r="A384" s="14"/>
      <c r="B384" s="14"/>
      <c r="G384" s="149"/>
      <c r="H384" s="149"/>
      <c r="I384" s="14"/>
      <c r="J384" s="14"/>
      <c r="K384" s="39"/>
      <c r="L384" s="14"/>
      <c r="M384" s="14"/>
      <c r="N384" s="14"/>
      <c r="O384" s="39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</row>
    <row r="385">
      <c r="A385" s="14"/>
      <c r="B385" s="14"/>
      <c r="G385" s="149"/>
      <c r="H385" s="149"/>
      <c r="I385" s="14"/>
      <c r="J385" s="14"/>
      <c r="K385" s="39"/>
      <c r="L385" s="14"/>
      <c r="M385" s="14"/>
      <c r="N385" s="14"/>
      <c r="O385" s="39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</row>
    <row r="386">
      <c r="A386" s="14"/>
      <c r="B386" s="14"/>
      <c r="G386" s="149"/>
      <c r="H386" s="149"/>
      <c r="I386" s="14"/>
      <c r="J386" s="14"/>
      <c r="K386" s="39"/>
      <c r="L386" s="14"/>
      <c r="M386" s="14"/>
      <c r="N386" s="14"/>
      <c r="O386" s="39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</row>
    <row r="387">
      <c r="A387" s="14"/>
      <c r="B387" s="14"/>
      <c r="G387" s="149"/>
      <c r="H387" s="149"/>
      <c r="I387" s="14"/>
      <c r="J387" s="14"/>
      <c r="K387" s="39"/>
      <c r="L387" s="14"/>
      <c r="M387" s="14"/>
      <c r="N387" s="14"/>
      <c r="O387" s="39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</row>
    <row r="388">
      <c r="A388" s="14"/>
      <c r="B388" s="14"/>
      <c r="G388" s="149"/>
      <c r="H388" s="149"/>
      <c r="I388" s="14"/>
      <c r="J388" s="14"/>
      <c r="K388" s="39"/>
      <c r="L388" s="14"/>
      <c r="M388" s="14"/>
      <c r="N388" s="14"/>
      <c r="O388" s="39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</row>
    <row r="389">
      <c r="A389" s="14"/>
      <c r="B389" s="14"/>
      <c r="G389" s="149"/>
      <c r="H389" s="149"/>
      <c r="I389" s="14"/>
      <c r="J389" s="14"/>
      <c r="K389" s="39"/>
      <c r="L389" s="14"/>
      <c r="M389" s="14"/>
      <c r="N389" s="14"/>
      <c r="O389" s="39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</row>
    <row r="390">
      <c r="A390" s="14"/>
      <c r="B390" s="14"/>
      <c r="G390" s="149"/>
      <c r="H390" s="149"/>
      <c r="I390" s="14"/>
      <c r="J390" s="14"/>
      <c r="K390" s="39"/>
      <c r="L390" s="14"/>
      <c r="M390" s="14"/>
      <c r="N390" s="14"/>
      <c r="O390" s="39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</row>
    <row r="391">
      <c r="A391" s="14"/>
      <c r="B391" s="14"/>
      <c r="G391" s="149"/>
      <c r="H391" s="149"/>
      <c r="I391" s="14"/>
      <c r="J391" s="14"/>
      <c r="K391" s="39"/>
      <c r="L391" s="14"/>
      <c r="M391" s="14"/>
      <c r="N391" s="14"/>
      <c r="O391" s="39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</row>
    <row r="392">
      <c r="A392" s="14"/>
      <c r="B392" s="14"/>
      <c r="G392" s="149"/>
      <c r="H392" s="149"/>
      <c r="I392" s="14"/>
      <c r="J392" s="14"/>
      <c r="K392" s="39"/>
      <c r="L392" s="14"/>
      <c r="M392" s="14"/>
      <c r="N392" s="14"/>
      <c r="O392" s="39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</row>
    <row r="393">
      <c r="A393" s="14"/>
      <c r="B393" s="14"/>
      <c r="G393" s="149"/>
      <c r="H393" s="149"/>
      <c r="I393" s="14"/>
      <c r="J393" s="14"/>
      <c r="K393" s="39"/>
      <c r="L393" s="14"/>
      <c r="M393" s="14"/>
      <c r="N393" s="14"/>
      <c r="O393" s="39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</row>
    <row r="394">
      <c r="A394" s="14"/>
      <c r="B394" s="14"/>
      <c r="G394" s="149"/>
      <c r="H394" s="149"/>
      <c r="I394" s="14"/>
      <c r="J394" s="14"/>
      <c r="K394" s="39"/>
      <c r="L394" s="14"/>
      <c r="M394" s="14"/>
      <c r="N394" s="14"/>
      <c r="O394" s="39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</row>
    <row r="395">
      <c r="A395" s="14"/>
      <c r="B395" s="14"/>
      <c r="G395" s="149"/>
      <c r="H395" s="149"/>
      <c r="I395" s="14"/>
      <c r="J395" s="14"/>
      <c r="K395" s="39"/>
      <c r="L395" s="14"/>
      <c r="M395" s="14"/>
      <c r="N395" s="14"/>
      <c r="O395" s="39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</row>
    <row r="396">
      <c r="A396" s="14"/>
      <c r="B396" s="14"/>
      <c r="G396" s="149"/>
      <c r="H396" s="149"/>
      <c r="I396" s="14"/>
      <c r="J396" s="14"/>
      <c r="K396" s="39"/>
      <c r="L396" s="14"/>
      <c r="M396" s="14"/>
      <c r="N396" s="14"/>
      <c r="O396" s="39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</row>
    <row r="397">
      <c r="A397" s="14"/>
      <c r="B397" s="14"/>
      <c r="G397" s="149"/>
      <c r="H397" s="149"/>
      <c r="I397" s="14"/>
      <c r="J397" s="14"/>
      <c r="K397" s="39"/>
      <c r="L397" s="14"/>
      <c r="M397" s="14"/>
      <c r="N397" s="14"/>
      <c r="O397" s="39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</row>
    <row r="398">
      <c r="A398" s="14"/>
      <c r="B398" s="14"/>
      <c r="G398" s="149"/>
      <c r="H398" s="149"/>
      <c r="I398" s="14"/>
      <c r="J398" s="14"/>
      <c r="K398" s="39"/>
      <c r="L398" s="14"/>
      <c r="M398" s="14"/>
      <c r="N398" s="14"/>
      <c r="O398" s="39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</row>
    <row r="399">
      <c r="A399" s="14"/>
      <c r="B399" s="14"/>
      <c r="G399" s="149"/>
      <c r="H399" s="149"/>
      <c r="I399" s="14"/>
      <c r="J399" s="14"/>
      <c r="K399" s="39"/>
      <c r="L399" s="14"/>
      <c r="M399" s="14"/>
      <c r="N399" s="14"/>
      <c r="O399" s="39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</row>
    <row r="400">
      <c r="A400" s="14"/>
      <c r="B400" s="14"/>
      <c r="G400" s="149"/>
      <c r="H400" s="149"/>
      <c r="I400" s="14"/>
      <c r="J400" s="14"/>
      <c r="K400" s="39"/>
      <c r="L400" s="14"/>
      <c r="M400" s="14"/>
      <c r="N400" s="14"/>
      <c r="O400" s="39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</row>
    <row r="401">
      <c r="A401" s="14"/>
      <c r="B401" s="14"/>
      <c r="G401" s="149"/>
      <c r="H401" s="149"/>
      <c r="I401" s="14"/>
      <c r="J401" s="14"/>
      <c r="K401" s="39"/>
      <c r="L401" s="14"/>
      <c r="M401" s="14"/>
      <c r="N401" s="14"/>
      <c r="O401" s="39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</row>
    <row r="402">
      <c r="A402" s="14"/>
      <c r="B402" s="14"/>
      <c r="G402" s="149"/>
      <c r="H402" s="149"/>
      <c r="I402" s="14"/>
      <c r="J402" s="14"/>
      <c r="K402" s="39"/>
      <c r="L402" s="14"/>
      <c r="M402" s="14"/>
      <c r="N402" s="14"/>
      <c r="O402" s="39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</row>
    <row r="403">
      <c r="A403" s="14"/>
      <c r="B403" s="14"/>
      <c r="G403" s="149"/>
      <c r="H403" s="149"/>
      <c r="I403" s="14"/>
      <c r="J403" s="14"/>
      <c r="K403" s="39"/>
      <c r="L403" s="14"/>
      <c r="M403" s="14"/>
      <c r="N403" s="14"/>
      <c r="O403" s="39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</row>
    <row r="404">
      <c r="A404" s="14"/>
      <c r="B404" s="14"/>
      <c r="G404" s="149"/>
      <c r="H404" s="149"/>
      <c r="I404" s="14"/>
      <c r="J404" s="14"/>
      <c r="K404" s="39"/>
      <c r="L404" s="14"/>
      <c r="M404" s="14"/>
      <c r="N404" s="14"/>
      <c r="O404" s="39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</row>
    <row r="405">
      <c r="A405" s="14"/>
      <c r="B405" s="14"/>
      <c r="G405" s="149"/>
      <c r="H405" s="149"/>
      <c r="I405" s="14"/>
      <c r="J405" s="14"/>
      <c r="K405" s="39"/>
      <c r="L405" s="14"/>
      <c r="M405" s="14"/>
      <c r="N405" s="14"/>
      <c r="O405" s="39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</row>
    <row r="406">
      <c r="A406" s="14"/>
      <c r="B406" s="14"/>
      <c r="G406" s="149"/>
      <c r="H406" s="149"/>
      <c r="I406" s="14"/>
      <c r="J406" s="14"/>
      <c r="K406" s="39"/>
      <c r="L406" s="14"/>
      <c r="M406" s="14"/>
      <c r="N406" s="14"/>
      <c r="O406" s="39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</row>
    <row r="407">
      <c r="A407" s="14"/>
      <c r="B407" s="14"/>
      <c r="G407" s="149"/>
      <c r="H407" s="149"/>
      <c r="I407" s="14"/>
      <c r="J407" s="14"/>
      <c r="K407" s="39"/>
      <c r="L407" s="14"/>
      <c r="M407" s="14"/>
      <c r="N407" s="14"/>
      <c r="O407" s="39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</row>
    <row r="408">
      <c r="A408" s="14"/>
      <c r="B408" s="14"/>
      <c r="G408" s="149"/>
      <c r="H408" s="149"/>
      <c r="I408" s="14"/>
      <c r="J408" s="14"/>
      <c r="K408" s="39"/>
      <c r="L408" s="14"/>
      <c r="M408" s="14"/>
      <c r="N408" s="14"/>
      <c r="O408" s="39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</row>
    <row r="409">
      <c r="A409" s="14"/>
      <c r="B409" s="14"/>
      <c r="G409" s="149"/>
      <c r="H409" s="149"/>
      <c r="I409" s="14"/>
      <c r="J409" s="14"/>
      <c r="K409" s="39"/>
      <c r="L409" s="14"/>
      <c r="M409" s="14"/>
      <c r="N409" s="14"/>
      <c r="O409" s="39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</row>
    <row r="410">
      <c r="A410" s="14"/>
      <c r="B410" s="14"/>
      <c r="G410" s="149"/>
      <c r="H410" s="149"/>
      <c r="I410" s="14"/>
      <c r="J410" s="14"/>
      <c r="K410" s="39"/>
      <c r="L410" s="14"/>
      <c r="M410" s="14"/>
      <c r="N410" s="14"/>
      <c r="O410" s="39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</row>
    <row r="411">
      <c r="A411" s="14"/>
      <c r="B411" s="14"/>
      <c r="G411" s="149"/>
      <c r="H411" s="149"/>
      <c r="I411" s="14"/>
      <c r="J411" s="14"/>
      <c r="K411" s="39"/>
      <c r="L411" s="14"/>
      <c r="M411" s="14"/>
      <c r="N411" s="14"/>
      <c r="O411" s="39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</row>
    <row r="412">
      <c r="A412" s="14"/>
      <c r="B412" s="14"/>
      <c r="G412" s="149"/>
      <c r="H412" s="149"/>
      <c r="I412" s="14"/>
      <c r="J412" s="14"/>
      <c r="K412" s="39"/>
      <c r="L412" s="14"/>
      <c r="M412" s="14"/>
      <c r="N412" s="14"/>
      <c r="O412" s="39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</row>
    <row r="413">
      <c r="A413" s="14"/>
      <c r="B413" s="14"/>
      <c r="G413" s="149"/>
      <c r="H413" s="149"/>
      <c r="I413" s="14"/>
      <c r="J413" s="14"/>
      <c r="K413" s="39"/>
      <c r="L413" s="14"/>
      <c r="M413" s="14"/>
      <c r="N413" s="14"/>
      <c r="O413" s="39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</row>
    <row r="414">
      <c r="A414" s="14"/>
      <c r="B414" s="14"/>
      <c r="G414" s="149"/>
      <c r="H414" s="149"/>
      <c r="I414" s="14"/>
      <c r="J414" s="14"/>
      <c r="K414" s="39"/>
      <c r="L414" s="14"/>
      <c r="M414" s="14"/>
      <c r="N414" s="14"/>
      <c r="O414" s="39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</row>
    <row r="415">
      <c r="A415" s="14"/>
      <c r="B415" s="14"/>
      <c r="G415" s="149"/>
      <c r="H415" s="149"/>
      <c r="I415" s="14"/>
      <c r="J415" s="14"/>
      <c r="K415" s="39"/>
      <c r="L415" s="14"/>
      <c r="M415" s="14"/>
      <c r="N415" s="14"/>
      <c r="O415" s="39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</row>
    <row r="416">
      <c r="A416" s="14"/>
      <c r="B416" s="14"/>
      <c r="G416" s="149"/>
      <c r="H416" s="149"/>
      <c r="I416" s="14"/>
      <c r="J416" s="14"/>
      <c r="K416" s="39"/>
      <c r="L416" s="14"/>
      <c r="M416" s="14"/>
      <c r="N416" s="14"/>
      <c r="O416" s="39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</row>
    <row r="417">
      <c r="A417" s="14"/>
      <c r="B417" s="14"/>
      <c r="G417" s="149"/>
      <c r="H417" s="149"/>
      <c r="I417" s="14"/>
      <c r="J417" s="14"/>
      <c r="K417" s="39"/>
      <c r="L417" s="14"/>
      <c r="M417" s="14"/>
      <c r="N417" s="14"/>
      <c r="O417" s="39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</row>
    <row r="418">
      <c r="A418" s="14"/>
      <c r="B418" s="14"/>
      <c r="G418" s="149"/>
      <c r="H418" s="149"/>
      <c r="I418" s="14"/>
      <c r="J418" s="14"/>
      <c r="K418" s="39"/>
      <c r="L418" s="14"/>
      <c r="M418" s="14"/>
      <c r="N418" s="14"/>
      <c r="O418" s="39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</row>
    <row r="419">
      <c r="A419" s="14"/>
      <c r="B419" s="14"/>
      <c r="G419" s="149"/>
      <c r="H419" s="149"/>
      <c r="I419" s="14"/>
      <c r="J419" s="14"/>
      <c r="K419" s="39"/>
      <c r="L419" s="14"/>
      <c r="M419" s="14"/>
      <c r="N419" s="14"/>
      <c r="O419" s="39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</row>
    <row r="420">
      <c r="A420" s="14"/>
      <c r="B420" s="14"/>
      <c r="G420" s="149"/>
      <c r="H420" s="149"/>
      <c r="I420" s="14"/>
      <c r="J420" s="14"/>
      <c r="K420" s="39"/>
      <c r="L420" s="14"/>
      <c r="M420" s="14"/>
      <c r="N420" s="14"/>
      <c r="O420" s="39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</row>
    <row r="421">
      <c r="A421" s="14"/>
      <c r="B421" s="14"/>
      <c r="G421" s="149"/>
      <c r="H421" s="149"/>
      <c r="I421" s="14"/>
      <c r="J421" s="14"/>
      <c r="K421" s="39"/>
      <c r="L421" s="14"/>
      <c r="M421" s="14"/>
      <c r="N421" s="14"/>
      <c r="O421" s="39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</row>
    <row r="422">
      <c r="A422" s="14"/>
      <c r="B422" s="14"/>
      <c r="G422" s="149"/>
      <c r="H422" s="149"/>
      <c r="I422" s="14"/>
      <c r="J422" s="14"/>
      <c r="K422" s="39"/>
      <c r="L422" s="14"/>
      <c r="M422" s="14"/>
      <c r="N422" s="14"/>
      <c r="O422" s="39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</row>
    <row r="423">
      <c r="A423" s="14"/>
      <c r="B423" s="14"/>
      <c r="G423" s="149"/>
      <c r="H423" s="149"/>
      <c r="I423" s="14"/>
      <c r="J423" s="14"/>
      <c r="K423" s="39"/>
      <c r="L423" s="14"/>
      <c r="M423" s="14"/>
      <c r="N423" s="14"/>
      <c r="O423" s="39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</row>
    <row r="424">
      <c r="A424" s="14"/>
      <c r="B424" s="14"/>
      <c r="G424" s="149"/>
      <c r="H424" s="149"/>
      <c r="I424" s="14"/>
      <c r="J424" s="14"/>
      <c r="K424" s="39"/>
      <c r="L424" s="14"/>
      <c r="M424" s="14"/>
      <c r="N424" s="14"/>
      <c r="O424" s="39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</row>
    <row r="425">
      <c r="A425" s="14"/>
      <c r="B425" s="14"/>
      <c r="G425" s="149"/>
      <c r="H425" s="149"/>
      <c r="I425" s="14"/>
      <c r="J425" s="14"/>
      <c r="K425" s="39"/>
      <c r="L425" s="14"/>
      <c r="M425" s="14"/>
      <c r="N425" s="14"/>
      <c r="O425" s="39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</row>
    <row r="426">
      <c r="A426" s="14"/>
      <c r="B426" s="14"/>
      <c r="G426" s="149"/>
      <c r="H426" s="149"/>
      <c r="I426" s="14"/>
      <c r="J426" s="14"/>
      <c r="K426" s="39"/>
      <c r="L426" s="14"/>
      <c r="M426" s="14"/>
      <c r="N426" s="14"/>
      <c r="O426" s="39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</row>
    <row r="427">
      <c r="A427" s="14"/>
      <c r="B427" s="14"/>
      <c r="G427" s="149"/>
      <c r="H427" s="149"/>
      <c r="I427" s="14"/>
      <c r="J427" s="14"/>
      <c r="K427" s="39"/>
      <c r="L427" s="14"/>
      <c r="M427" s="14"/>
      <c r="N427" s="14"/>
      <c r="O427" s="39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</row>
    <row r="428">
      <c r="A428" s="14"/>
      <c r="B428" s="14"/>
      <c r="G428" s="149"/>
      <c r="H428" s="149"/>
      <c r="I428" s="14"/>
      <c r="J428" s="14"/>
      <c r="K428" s="39"/>
      <c r="L428" s="14"/>
      <c r="M428" s="14"/>
      <c r="N428" s="14"/>
      <c r="O428" s="39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</row>
    <row r="429">
      <c r="A429" s="14"/>
      <c r="B429" s="14"/>
      <c r="G429" s="149"/>
      <c r="H429" s="149"/>
      <c r="I429" s="14"/>
      <c r="J429" s="14"/>
      <c r="K429" s="39"/>
      <c r="L429" s="14"/>
      <c r="M429" s="14"/>
      <c r="N429" s="14"/>
      <c r="O429" s="39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</row>
    <row r="430">
      <c r="A430" s="14"/>
      <c r="B430" s="14"/>
      <c r="G430" s="149"/>
      <c r="H430" s="149"/>
      <c r="I430" s="14"/>
      <c r="J430" s="14"/>
      <c r="K430" s="39"/>
      <c r="L430" s="14"/>
      <c r="M430" s="14"/>
      <c r="N430" s="14"/>
      <c r="O430" s="39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</row>
    <row r="431">
      <c r="A431" s="14"/>
      <c r="B431" s="14"/>
      <c r="G431" s="149"/>
      <c r="H431" s="149"/>
      <c r="I431" s="14"/>
      <c r="J431" s="14"/>
      <c r="K431" s="39"/>
      <c r="L431" s="14"/>
      <c r="M431" s="14"/>
      <c r="N431" s="14"/>
      <c r="O431" s="39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</row>
    <row r="432">
      <c r="A432" s="14"/>
      <c r="B432" s="14"/>
      <c r="G432" s="149"/>
      <c r="H432" s="149"/>
      <c r="I432" s="14"/>
      <c r="J432" s="14"/>
      <c r="K432" s="39"/>
      <c r="L432" s="14"/>
      <c r="M432" s="14"/>
      <c r="N432" s="14"/>
      <c r="O432" s="39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</row>
    <row r="433">
      <c r="A433" s="14"/>
      <c r="B433" s="14"/>
      <c r="G433" s="149"/>
      <c r="H433" s="149"/>
      <c r="I433" s="14"/>
      <c r="J433" s="14"/>
      <c r="K433" s="39"/>
      <c r="L433" s="14"/>
      <c r="M433" s="14"/>
      <c r="N433" s="14"/>
      <c r="O433" s="39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</row>
    <row r="434">
      <c r="A434" s="14"/>
      <c r="B434" s="14"/>
      <c r="G434" s="149"/>
      <c r="H434" s="149"/>
      <c r="I434" s="14"/>
      <c r="J434" s="14"/>
      <c r="K434" s="39"/>
      <c r="L434" s="14"/>
      <c r="M434" s="14"/>
      <c r="N434" s="14"/>
      <c r="O434" s="39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</row>
    <row r="435">
      <c r="A435" s="14"/>
      <c r="B435" s="14"/>
      <c r="G435" s="149"/>
      <c r="H435" s="149"/>
      <c r="I435" s="14"/>
      <c r="J435" s="14"/>
      <c r="K435" s="39"/>
      <c r="L435" s="14"/>
      <c r="M435" s="14"/>
      <c r="N435" s="14"/>
      <c r="O435" s="39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</row>
    <row r="436">
      <c r="A436" s="14"/>
      <c r="B436" s="14"/>
      <c r="G436" s="149"/>
      <c r="H436" s="149"/>
      <c r="I436" s="14"/>
      <c r="J436" s="14"/>
      <c r="K436" s="39"/>
      <c r="L436" s="14"/>
      <c r="M436" s="14"/>
      <c r="N436" s="14"/>
      <c r="O436" s="39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</row>
    <row r="437">
      <c r="A437" s="14"/>
      <c r="B437" s="14"/>
      <c r="G437" s="149"/>
      <c r="H437" s="149"/>
      <c r="I437" s="14"/>
      <c r="J437" s="14"/>
      <c r="K437" s="39"/>
      <c r="L437" s="14"/>
      <c r="M437" s="14"/>
      <c r="N437" s="14"/>
      <c r="O437" s="39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</row>
    <row r="438">
      <c r="A438" s="14"/>
      <c r="B438" s="14"/>
      <c r="G438" s="149"/>
      <c r="H438" s="149"/>
      <c r="I438" s="14"/>
      <c r="J438" s="14"/>
      <c r="K438" s="39"/>
      <c r="L438" s="14"/>
      <c r="M438" s="14"/>
      <c r="N438" s="14"/>
      <c r="O438" s="39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</row>
    <row r="439">
      <c r="A439" s="14"/>
      <c r="B439" s="14"/>
      <c r="G439" s="149"/>
      <c r="H439" s="149"/>
      <c r="I439" s="14"/>
      <c r="J439" s="14"/>
      <c r="K439" s="39"/>
      <c r="L439" s="14"/>
      <c r="M439" s="14"/>
      <c r="N439" s="14"/>
      <c r="O439" s="39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</row>
    <row r="440">
      <c r="A440" s="14"/>
      <c r="B440" s="14"/>
      <c r="G440" s="149"/>
      <c r="H440" s="149"/>
      <c r="I440" s="14"/>
      <c r="J440" s="14"/>
      <c r="K440" s="39"/>
      <c r="L440" s="14"/>
      <c r="M440" s="14"/>
      <c r="N440" s="14"/>
      <c r="O440" s="39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</row>
    <row r="441">
      <c r="A441" s="14"/>
      <c r="B441" s="14"/>
      <c r="G441" s="149"/>
      <c r="H441" s="149"/>
      <c r="I441" s="14"/>
      <c r="J441" s="14"/>
      <c r="K441" s="39"/>
      <c r="L441" s="14"/>
      <c r="M441" s="14"/>
      <c r="N441" s="14"/>
      <c r="O441" s="39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</row>
    <row r="442">
      <c r="A442" s="14"/>
      <c r="B442" s="14"/>
      <c r="G442" s="149"/>
      <c r="H442" s="149"/>
      <c r="I442" s="14"/>
      <c r="J442" s="14"/>
      <c r="K442" s="39"/>
      <c r="L442" s="14"/>
      <c r="M442" s="14"/>
      <c r="N442" s="14"/>
      <c r="O442" s="39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</row>
    <row r="443">
      <c r="A443" s="14"/>
      <c r="B443" s="14"/>
      <c r="G443" s="149"/>
      <c r="H443" s="149"/>
      <c r="I443" s="14"/>
      <c r="J443" s="14"/>
      <c r="K443" s="39"/>
      <c r="L443" s="14"/>
      <c r="M443" s="14"/>
      <c r="N443" s="14"/>
      <c r="O443" s="39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</row>
    <row r="444">
      <c r="A444" s="14"/>
      <c r="B444" s="14"/>
      <c r="G444" s="149"/>
      <c r="H444" s="149"/>
      <c r="I444" s="14"/>
      <c r="J444" s="14"/>
      <c r="K444" s="39"/>
      <c r="L444" s="14"/>
      <c r="M444" s="14"/>
      <c r="N444" s="14"/>
      <c r="O444" s="39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</row>
    <row r="445">
      <c r="A445" s="14"/>
      <c r="B445" s="14"/>
      <c r="G445" s="149"/>
      <c r="H445" s="149"/>
      <c r="I445" s="14"/>
      <c r="J445" s="14"/>
      <c r="K445" s="39"/>
      <c r="L445" s="14"/>
      <c r="M445" s="14"/>
      <c r="N445" s="14"/>
      <c r="O445" s="39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</row>
    <row r="446">
      <c r="A446" s="14"/>
      <c r="B446" s="14"/>
      <c r="G446" s="149"/>
      <c r="H446" s="149"/>
      <c r="I446" s="14"/>
      <c r="J446" s="14"/>
      <c r="K446" s="39"/>
      <c r="L446" s="14"/>
      <c r="M446" s="14"/>
      <c r="N446" s="14"/>
      <c r="O446" s="39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</row>
    <row r="447">
      <c r="A447" s="14"/>
      <c r="B447" s="14"/>
      <c r="G447" s="149"/>
      <c r="H447" s="149"/>
      <c r="I447" s="14"/>
      <c r="J447" s="14"/>
      <c r="K447" s="39"/>
      <c r="L447" s="14"/>
      <c r="M447" s="14"/>
      <c r="N447" s="14"/>
      <c r="O447" s="39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</row>
    <row r="448">
      <c r="A448" s="14"/>
      <c r="B448" s="14"/>
      <c r="G448" s="149"/>
      <c r="H448" s="149"/>
      <c r="I448" s="14"/>
      <c r="J448" s="14"/>
      <c r="K448" s="39"/>
      <c r="L448" s="14"/>
      <c r="M448" s="14"/>
      <c r="N448" s="14"/>
      <c r="O448" s="39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</row>
    <row r="449">
      <c r="A449" s="14"/>
      <c r="B449" s="14"/>
      <c r="G449" s="149"/>
      <c r="H449" s="149"/>
      <c r="I449" s="14"/>
      <c r="J449" s="14"/>
      <c r="K449" s="39"/>
      <c r="L449" s="14"/>
      <c r="M449" s="14"/>
      <c r="N449" s="14"/>
      <c r="O449" s="39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</row>
    <row r="450">
      <c r="A450" s="14"/>
      <c r="B450" s="14"/>
      <c r="G450" s="149"/>
      <c r="H450" s="149"/>
      <c r="I450" s="14"/>
      <c r="J450" s="14"/>
      <c r="K450" s="39"/>
      <c r="L450" s="14"/>
      <c r="M450" s="14"/>
      <c r="N450" s="14"/>
      <c r="O450" s="39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</row>
    <row r="451">
      <c r="A451" s="14"/>
      <c r="B451" s="14"/>
      <c r="G451" s="149"/>
      <c r="H451" s="149"/>
      <c r="I451" s="14"/>
      <c r="J451" s="14"/>
      <c r="K451" s="39"/>
      <c r="L451" s="14"/>
      <c r="M451" s="14"/>
      <c r="N451" s="14"/>
      <c r="O451" s="39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</row>
    <row r="452">
      <c r="A452" s="14"/>
      <c r="B452" s="14"/>
      <c r="G452" s="149"/>
      <c r="H452" s="149"/>
      <c r="I452" s="14"/>
      <c r="J452" s="14"/>
      <c r="K452" s="39"/>
      <c r="L452" s="14"/>
      <c r="M452" s="14"/>
      <c r="N452" s="14"/>
      <c r="O452" s="39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</row>
    <row r="453">
      <c r="A453" s="14"/>
      <c r="B453" s="14"/>
      <c r="G453" s="149"/>
      <c r="H453" s="149"/>
      <c r="I453" s="14"/>
      <c r="J453" s="14"/>
      <c r="K453" s="39"/>
      <c r="L453" s="14"/>
      <c r="M453" s="14"/>
      <c r="N453" s="14"/>
      <c r="O453" s="39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</row>
    <row r="454">
      <c r="A454" s="14"/>
      <c r="B454" s="14"/>
      <c r="G454" s="149"/>
      <c r="H454" s="149"/>
      <c r="I454" s="14"/>
      <c r="J454" s="14"/>
      <c r="K454" s="39"/>
      <c r="L454" s="14"/>
      <c r="M454" s="14"/>
      <c r="N454" s="14"/>
      <c r="O454" s="39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</row>
    <row r="455">
      <c r="A455" s="14"/>
      <c r="B455" s="14"/>
      <c r="G455" s="149"/>
      <c r="H455" s="149"/>
      <c r="I455" s="14"/>
      <c r="J455" s="14"/>
      <c r="K455" s="39"/>
      <c r="L455" s="14"/>
      <c r="M455" s="14"/>
      <c r="N455" s="14"/>
      <c r="O455" s="39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</row>
    <row r="456">
      <c r="A456" s="14"/>
      <c r="B456" s="14"/>
      <c r="G456" s="149"/>
      <c r="H456" s="149"/>
      <c r="I456" s="14"/>
      <c r="J456" s="14"/>
      <c r="K456" s="39"/>
      <c r="L456" s="14"/>
      <c r="M456" s="14"/>
      <c r="N456" s="14"/>
      <c r="O456" s="39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</row>
    <row r="457">
      <c r="A457" s="14"/>
      <c r="B457" s="14"/>
      <c r="G457" s="149"/>
      <c r="H457" s="149"/>
      <c r="I457" s="14"/>
      <c r="J457" s="14"/>
      <c r="K457" s="39"/>
      <c r="L457" s="14"/>
      <c r="M457" s="14"/>
      <c r="N457" s="14"/>
      <c r="O457" s="39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</row>
    <row r="458">
      <c r="A458" s="14"/>
      <c r="B458" s="14"/>
      <c r="G458" s="149"/>
      <c r="H458" s="149"/>
      <c r="I458" s="14"/>
      <c r="J458" s="14"/>
      <c r="K458" s="39"/>
      <c r="L458" s="14"/>
      <c r="M458" s="14"/>
      <c r="N458" s="14"/>
      <c r="O458" s="39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</row>
    <row r="459">
      <c r="A459" s="14"/>
      <c r="B459" s="14"/>
      <c r="G459" s="149"/>
      <c r="H459" s="149"/>
      <c r="I459" s="14"/>
      <c r="J459" s="14"/>
      <c r="K459" s="39"/>
      <c r="L459" s="14"/>
      <c r="M459" s="14"/>
      <c r="N459" s="14"/>
      <c r="O459" s="39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</row>
    <row r="460">
      <c r="A460" s="14"/>
      <c r="B460" s="14"/>
      <c r="G460" s="149"/>
      <c r="H460" s="149"/>
      <c r="I460" s="14"/>
      <c r="J460" s="14"/>
      <c r="K460" s="39"/>
      <c r="L460" s="14"/>
      <c r="M460" s="14"/>
      <c r="N460" s="14"/>
      <c r="O460" s="39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</row>
    <row r="461">
      <c r="A461" s="14"/>
      <c r="B461" s="14"/>
      <c r="G461" s="149"/>
      <c r="H461" s="149"/>
      <c r="I461" s="14"/>
      <c r="J461" s="14"/>
      <c r="K461" s="39"/>
      <c r="L461" s="14"/>
      <c r="M461" s="14"/>
      <c r="N461" s="14"/>
      <c r="O461" s="39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</row>
    <row r="462">
      <c r="A462" s="14"/>
      <c r="B462" s="14"/>
      <c r="G462" s="149"/>
      <c r="H462" s="149"/>
      <c r="I462" s="14"/>
      <c r="J462" s="14"/>
      <c r="K462" s="39"/>
      <c r="L462" s="14"/>
      <c r="M462" s="14"/>
      <c r="N462" s="14"/>
      <c r="O462" s="39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</row>
    <row r="463">
      <c r="A463" s="14"/>
      <c r="B463" s="14"/>
      <c r="G463" s="149"/>
      <c r="H463" s="149"/>
      <c r="I463" s="14"/>
      <c r="J463" s="14"/>
      <c r="K463" s="39"/>
      <c r="L463" s="14"/>
      <c r="M463" s="14"/>
      <c r="N463" s="14"/>
      <c r="O463" s="39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</row>
    <row r="464">
      <c r="A464" s="14"/>
      <c r="B464" s="14"/>
      <c r="G464" s="149"/>
      <c r="H464" s="149"/>
      <c r="I464" s="14"/>
      <c r="J464" s="14"/>
      <c r="K464" s="39"/>
      <c r="L464" s="14"/>
      <c r="M464" s="14"/>
      <c r="N464" s="14"/>
      <c r="O464" s="39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</row>
    <row r="465">
      <c r="A465" s="14"/>
      <c r="B465" s="14"/>
      <c r="G465" s="149"/>
      <c r="H465" s="149"/>
      <c r="I465" s="14"/>
      <c r="J465" s="14"/>
      <c r="K465" s="39"/>
      <c r="L465" s="14"/>
      <c r="M465" s="14"/>
      <c r="N465" s="14"/>
      <c r="O465" s="39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</row>
    <row r="466">
      <c r="A466" s="14"/>
      <c r="B466" s="14"/>
      <c r="G466" s="149"/>
      <c r="H466" s="149"/>
      <c r="I466" s="14"/>
      <c r="J466" s="14"/>
      <c r="K466" s="39"/>
      <c r="L466" s="14"/>
      <c r="M466" s="14"/>
      <c r="N466" s="14"/>
      <c r="O466" s="39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</row>
    <row r="467">
      <c r="A467" s="14"/>
      <c r="B467" s="14"/>
      <c r="G467" s="149"/>
      <c r="H467" s="149"/>
      <c r="I467" s="14"/>
      <c r="J467" s="14"/>
      <c r="K467" s="39"/>
      <c r="L467" s="14"/>
      <c r="M467" s="14"/>
      <c r="N467" s="14"/>
      <c r="O467" s="39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</row>
    <row r="468">
      <c r="A468" s="14"/>
      <c r="B468" s="14"/>
      <c r="G468" s="149"/>
      <c r="H468" s="149"/>
      <c r="I468" s="14"/>
      <c r="J468" s="14"/>
      <c r="K468" s="39"/>
      <c r="L468" s="14"/>
      <c r="M468" s="14"/>
      <c r="N468" s="14"/>
      <c r="O468" s="39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</row>
    <row r="469">
      <c r="A469" s="14"/>
      <c r="B469" s="14"/>
      <c r="G469" s="149"/>
      <c r="H469" s="149"/>
      <c r="I469" s="14"/>
      <c r="J469" s="14"/>
      <c r="K469" s="39"/>
      <c r="L469" s="14"/>
      <c r="M469" s="14"/>
      <c r="N469" s="14"/>
      <c r="O469" s="39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</row>
    <row r="470">
      <c r="A470" s="14"/>
      <c r="B470" s="14"/>
      <c r="G470" s="149"/>
      <c r="H470" s="149"/>
      <c r="I470" s="14"/>
      <c r="J470" s="14"/>
      <c r="K470" s="39"/>
      <c r="L470" s="14"/>
      <c r="M470" s="14"/>
      <c r="N470" s="14"/>
      <c r="O470" s="39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</row>
    <row r="471">
      <c r="A471" s="14"/>
      <c r="B471" s="14"/>
      <c r="G471" s="149"/>
      <c r="H471" s="149"/>
      <c r="I471" s="14"/>
      <c r="J471" s="14"/>
      <c r="K471" s="39"/>
      <c r="L471" s="14"/>
      <c r="M471" s="14"/>
      <c r="N471" s="14"/>
      <c r="O471" s="39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</row>
    <row r="472">
      <c r="A472" s="14"/>
      <c r="B472" s="14"/>
      <c r="G472" s="149"/>
      <c r="H472" s="149"/>
      <c r="I472" s="14"/>
      <c r="J472" s="14"/>
      <c r="K472" s="39"/>
      <c r="L472" s="14"/>
      <c r="M472" s="14"/>
      <c r="N472" s="14"/>
      <c r="O472" s="39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</row>
    <row r="473">
      <c r="A473" s="14"/>
      <c r="B473" s="14"/>
      <c r="G473" s="149"/>
      <c r="H473" s="149"/>
      <c r="I473" s="14"/>
      <c r="J473" s="14"/>
      <c r="K473" s="39"/>
      <c r="L473" s="14"/>
      <c r="M473" s="14"/>
      <c r="N473" s="14"/>
      <c r="O473" s="39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</row>
    <row r="474">
      <c r="A474" s="14"/>
      <c r="B474" s="14"/>
      <c r="G474" s="149"/>
      <c r="H474" s="149"/>
      <c r="I474" s="14"/>
      <c r="J474" s="14"/>
      <c r="K474" s="39"/>
      <c r="L474" s="14"/>
      <c r="M474" s="14"/>
      <c r="N474" s="14"/>
      <c r="O474" s="39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</row>
    <row r="475">
      <c r="A475" s="14"/>
      <c r="B475" s="14"/>
      <c r="G475" s="149"/>
      <c r="H475" s="149"/>
      <c r="I475" s="14"/>
      <c r="J475" s="14"/>
      <c r="K475" s="39"/>
      <c r="L475" s="14"/>
      <c r="M475" s="14"/>
      <c r="N475" s="14"/>
      <c r="O475" s="39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</row>
    <row r="476">
      <c r="A476" s="14"/>
      <c r="B476" s="14"/>
      <c r="G476" s="149"/>
      <c r="H476" s="149"/>
      <c r="I476" s="14"/>
      <c r="J476" s="14"/>
      <c r="K476" s="39"/>
      <c r="L476" s="14"/>
      <c r="M476" s="14"/>
      <c r="N476" s="14"/>
      <c r="O476" s="39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</row>
    <row r="477">
      <c r="A477" s="14"/>
      <c r="B477" s="14"/>
      <c r="G477" s="149"/>
      <c r="H477" s="149"/>
      <c r="I477" s="14"/>
      <c r="J477" s="14"/>
      <c r="K477" s="39"/>
      <c r="L477" s="14"/>
      <c r="M477" s="14"/>
      <c r="N477" s="14"/>
      <c r="O477" s="39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</row>
    <row r="478">
      <c r="A478" s="14"/>
      <c r="B478" s="14"/>
      <c r="G478" s="149"/>
      <c r="H478" s="149"/>
      <c r="I478" s="14"/>
      <c r="J478" s="14"/>
      <c r="K478" s="39"/>
      <c r="L478" s="14"/>
      <c r="M478" s="14"/>
      <c r="N478" s="14"/>
      <c r="O478" s="39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</row>
    <row r="479">
      <c r="A479" s="14"/>
      <c r="B479" s="14"/>
      <c r="G479" s="149"/>
      <c r="H479" s="149"/>
      <c r="I479" s="14"/>
      <c r="J479" s="14"/>
      <c r="K479" s="39"/>
      <c r="L479" s="14"/>
      <c r="M479" s="14"/>
      <c r="N479" s="14"/>
      <c r="O479" s="39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</row>
    <row r="480">
      <c r="A480" s="14"/>
      <c r="B480" s="14"/>
      <c r="G480" s="149"/>
      <c r="H480" s="149"/>
      <c r="I480" s="14"/>
      <c r="J480" s="14"/>
      <c r="K480" s="39"/>
      <c r="L480" s="14"/>
      <c r="M480" s="14"/>
      <c r="N480" s="14"/>
      <c r="O480" s="39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</row>
    <row r="481">
      <c r="A481" s="14"/>
      <c r="B481" s="14"/>
      <c r="G481" s="149"/>
      <c r="H481" s="149"/>
      <c r="I481" s="14"/>
      <c r="J481" s="14"/>
      <c r="K481" s="39"/>
      <c r="L481" s="14"/>
      <c r="M481" s="14"/>
      <c r="N481" s="14"/>
      <c r="O481" s="39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</row>
    <row r="482">
      <c r="A482" s="14"/>
      <c r="B482" s="14"/>
      <c r="G482" s="149"/>
      <c r="H482" s="149"/>
      <c r="I482" s="14"/>
      <c r="J482" s="14"/>
      <c r="K482" s="39"/>
      <c r="L482" s="14"/>
      <c r="M482" s="14"/>
      <c r="N482" s="14"/>
      <c r="O482" s="39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</row>
    <row r="483">
      <c r="A483" s="14"/>
      <c r="B483" s="14"/>
      <c r="G483" s="149"/>
      <c r="H483" s="149"/>
      <c r="I483" s="14"/>
      <c r="J483" s="14"/>
      <c r="K483" s="39"/>
      <c r="L483" s="14"/>
      <c r="M483" s="14"/>
      <c r="N483" s="14"/>
      <c r="O483" s="39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</row>
    <row r="484">
      <c r="A484" s="14"/>
      <c r="B484" s="14"/>
      <c r="G484" s="149"/>
      <c r="H484" s="149"/>
      <c r="I484" s="14"/>
      <c r="J484" s="14"/>
      <c r="K484" s="39"/>
      <c r="L484" s="14"/>
      <c r="M484" s="14"/>
      <c r="N484" s="14"/>
      <c r="O484" s="39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</row>
    <row r="485">
      <c r="A485" s="14"/>
      <c r="B485" s="14"/>
      <c r="G485" s="149"/>
      <c r="H485" s="149"/>
      <c r="I485" s="14"/>
      <c r="J485" s="14"/>
      <c r="K485" s="39"/>
      <c r="L485" s="14"/>
      <c r="M485" s="14"/>
      <c r="N485" s="14"/>
      <c r="O485" s="39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</row>
    <row r="486">
      <c r="A486" s="14"/>
      <c r="B486" s="14"/>
      <c r="G486" s="149"/>
      <c r="H486" s="149"/>
      <c r="I486" s="14"/>
      <c r="J486" s="14"/>
      <c r="K486" s="39"/>
      <c r="L486" s="14"/>
      <c r="M486" s="14"/>
      <c r="N486" s="14"/>
      <c r="O486" s="39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</row>
    <row r="487">
      <c r="A487" s="14"/>
      <c r="B487" s="14"/>
      <c r="G487" s="149"/>
      <c r="H487" s="149"/>
      <c r="I487" s="14"/>
      <c r="J487" s="14"/>
      <c r="K487" s="39"/>
      <c r="L487" s="14"/>
      <c r="M487" s="14"/>
      <c r="N487" s="14"/>
      <c r="O487" s="39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</row>
    <row r="488">
      <c r="A488" s="14"/>
      <c r="B488" s="14"/>
      <c r="G488" s="149"/>
      <c r="H488" s="149"/>
      <c r="I488" s="14"/>
      <c r="J488" s="14"/>
      <c r="K488" s="39"/>
      <c r="L488" s="14"/>
      <c r="M488" s="14"/>
      <c r="N488" s="14"/>
      <c r="O488" s="39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</row>
    <row r="489">
      <c r="A489" s="14"/>
      <c r="B489" s="14"/>
      <c r="G489" s="149"/>
      <c r="H489" s="149"/>
      <c r="I489" s="14"/>
      <c r="J489" s="14"/>
      <c r="K489" s="39"/>
      <c r="L489" s="14"/>
      <c r="M489" s="14"/>
      <c r="N489" s="14"/>
      <c r="O489" s="39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</row>
    <row r="490">
      <c r="A490" s="14"/>
      <c r="B490" s="14"/>
      <c r="G490" s="149"/>
      <c r="H490" s="149"/>
      <c r="I490" s="14"/>
      <c r="J490" s="14"/>
      <c r="K490" s="39"/>
      <c r="L490" s="14"/>
      <c r="M490" s="14"/>
      <c r="N490" s="14"/>
      <c r="O490" s="39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</row>
    <row r="491">
      <c r="A491" s="14"/>
      <c r="B491" s="14"/>
      <c r="G491" s="149"/>
      <c r="H491" s="149"/>
      <c r="I491" s="14"/>
      <c r="J491" s="14"/>
      <c r="K491" s="39"/>
      <c r="L491" s="14"/>
      <c r="M491" s="14"/>
      <c r="N491" s="14"/>
      <c r="O491" s="39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</row>
    <row r="492">
      <c r="A492" s="14"/>
      <c r="B492" s="14"/>
      <c r="G492" s="149"/>
      <c r="H492" s="149"/>
      <c r="I492" s="14"/>
      <c r="J492" s="14"/>
      <c r="K492" s="39"/>
      <c r="L492" s="14"/>
      <c r="M492" s="14"/>
      <c r="N492" s="14"/>
      <c r="O492" s="39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</row>
    <row r="493">
      <c r="A493" s="14"/>
      <c r="B493" s="14"/>
      <c r="G493" s="149"/>
      <c r="H493" s="149"/>
      <c r="I493" s="14"/>
      <c r="J493" s="14"/>
      <c r="K493" s="39"/>
      <c r="L493" s="14"/>
      <c r="M493" s="14"/>
      <c r="N493" s="14"/>
      <c r="O493" s="39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</row>
    <row r="494">
      <c r="A494" s="14"/>
      <c r="B494" s="14"/>
      <c r="G494" s="149"/>
      <c r="H494" s="149"/>
      <c r="I494" s="14"/>
      <c r="J494" s="14"/>
      <c r="K494" s="39"/>
      <c r="L494" s="14"/>
      <c r="M494" s="14"/>
      <c r="N494" s="14"/>
      <c r="O494" s="39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</row>
    <row r="495">
      <c r="A495" s="14"/>
      <c r="B495" s="14"/>
      <c r="G495" s="149"/>
      <c r="H495" s="149"/>
      <c r="I495" s="14"/>
      <c r="J495" s="14"/>
      <c r="K495" s="39"/>
      <c r="L495" s="14"/>
      <c r="M495" s="14"/>
      <c r="N495" s="14"/>
      <c r="O495" s="39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</row>
    <row r="496">
      <c r="A496" s="14"/>
      <c r="B496" s="14"/>
      <c r="G496" s="149"/>
      <c r="H496" s="149"/>
      <c r="I496" s="14"/>
      <c r="J496" s="14"/>
      <c r="K496" s="39"/>
      <c r="L496" s="14"/>
      <c r="M496" s="14"/>
      <c r="N496" s="14"/>
      <c r="O496" s="39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</row>
    <row r="497">
      <c r="A497" s="14"/>
      <c r="B497" s="14"/>
      <c r="G497" s="149"/>
      <c r="H497" s="149"/>
      <c r="I497" s="14"/>
      <c r="J497" s="14"/>
      <c r="K497" s="39"/>
      <c r="L497" s="14"/>
      <c r="M497" s="14"/>
      <c r="N497" s="14"/>
      <c r="O497" s="39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</row>
    <row r="498">
      <c r="A498" s="14"/>
      <c r="B498" s="14"/>
      <c r="G498" s="149"/>
      <c r="H498" s="149"/>
      <c r="I498" s="14"/>
      <c r="J498" s="14"/>
      <c r="K498" s="39"/>
      <c r="L498" s="14"/>
      <c r="M498" s="14"/>
      <c r="N498" s="14"/>
      <c r="O498" s="39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</row>
    <row r="499">
      <c r="A499" s="14"/>
      <c r="B499" s="14"/>
      <c r="G499" s="149"/>
      <c r="H499" s="149"/>
      <c r="I499" s="14"/>
      <c r="J499" s="14"/>
      <c r="K499" s="39"/>
      <c r="L499" s="14"/>
      <c r="M499" s="14"/>
      <c r="N499" s="14"/>
      <c r="O499" s="39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</row>
    <row r="500">
      <c r="A500" s="14"/>
      <c r="B500" s="14"/>
      <c r="G500" s="149"/>
      <c r="H500" s="149"/>
      <c r="I500" s="14"/>
      <c r="J500" s="14"/>
      <c r="K500" s="39"/>
      <c r="L500" s="14"/>
      <c r="M500" s="14"/>
      <c r="N500" s="14"/>
      <c r="O500" s="39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</row>
    <row r="501">
      <c r="A501" s="14"/>
      <c r="B501" s="14"/>
      <c r="G501" s="149"/>
      <c r="H501" s="149"/>
      <c r="I501" s="14"/>
      <c r="J501" s="14"/>
      <c r="K501" s="39"/>
      <c r="L501" s="14"/>
      <c r="M501" s="14"/>
      <c r="N501" s="14"/>
      <c r="O501" s="39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</row>
    <row r="502">
      <c r="A502" s="14"/>
      <c r="B502" s="14"/>
      <c r="G502" s="149"/>
      <c r="H502" s="149"/>
      <c r="I502" s="14"/>
      <c r="J502" s="14"/>
      <c r="K502" s="39"/>
      <c r="L502" s="14"/>
      <c r="M502" s="14"/>
      <c r="N502" s="14"/>
      <c r="O502" s="39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</row>
    <row r="503">
      <c r="A503" s="14"/>
      <c r="B503" s="14"/>
      <c r="G503" s="149"/>
      <c r="H503" s="149"/>
      <c r="I503" s="14"/>
      <c r="J503" s="14"/>
      <c r="K503" s="39"/>
      <c r="L503" s="14"/>
      <c r="M503" s="14"/>
      <c r="N503" s="14"/>
      <c r="O503" s="39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</row>
    <row r="504">
      <c r="A504" s="14"/>
      <c r="B504" s="14"/>
      <c r="G504" s="149"/>
      <c r="H504" s="149"/>
      <c r="I504" s="14"/>
      <c r="J504" s="14"/>
      <c r="K504" s="39"/>
      <c r="L504" s="14"/>
      <c r="M504" s="14"/>
      <c r="N504" s="14"/>
      <c r="O504" s="39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</row>
    <row r="505">
      <c r="A505" s="14"/>
      <c r="B505" s="14"/>
      <c r="G505" s="149"/>
      <c r="H505" s="149"/>
      <c r="I505" s="14"/>
      <c r="J505" s="14"/>
      <c r="K505" s="39"/>
      <c r="L505" s="14"/>
      <c r="M505" s="14"/>
      <c r="N505" s="14"/>
      <c r="O505" s="39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</row>
    <row r="506">
      <c r="A506" s="14"/>
      <c r="B506" s="14"/>
      <c r="G506" s="149"/>
      <c r="H506" s="149"/>
      <c r="I506" s="14"/>
      <c r="J506" s="14"/>
      <c r="K506" s="39"/>
      <c r="L506" s="14"/>
      <c r="M506" s="14"/>
      <c r="N506" s="14"/>
      <c r="O506" s="39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</row>
    <row r="507">
      <c r="A507" s="14"/>
      <c r="B507" s="14"/>
      <c r="G507" s="149"/>
      <c r="H507" s="149"/>
      <c r="I507" s="14"/>
      <c r="J507" s="14"/>
      <c r="K507" s="39"/>
      <c r="L507" s="14"/>
      <c r="M507" s="14"/>
      <c r="N507" s="14"/>
      <c r="O507" s="39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</row>
    <row r="508">
      <c r="A508" s="14"/>
      <c r="B508" s="14"/>
      <c r="G508" s="149"/>
      <c r="H508" s="149"/>
      <c r="I508" s="14"/>
      <c r="J508" s="14"/>
      <c r="K508" s="39"/>
      <c r="L508" s="14"/>
      <c r="M508" s="14"/>
      <c r="N508" s="14"/>
      <c r="O508" s="39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</row>
    <row r="509">
      <c r="A509" s="14"/>
      <c r="B509" s="14"/>
      <c r="G509" s="149"/>
      <c r="H509" s="149"/>
      <c r="I509" s="14"/>
      <c r="J509" s="14"/>
      <c r="K509" s="39"/>
      <c r="L509" s="14"/>
      <c r="M509" s="14"/>
      <c r="N509" s="14"/>
      <c r="O509" s="39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</row>
    <row r="510">
      <c r="A510" s="14"/>
      <c r="B510" s="14"/>
      <c r="G510" s="149"/>
      <c r="H510" s="149"/>
      <c r="I510" s="14"/>
      <c r="J510" s="14"/>
      <c r="K510" s="39"/>
      <c r="L510" s="14"/>
      <c r="M510" s="14"/>
      <c r="N510" s="14"/>
      <c r="O510" s="39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</row>
    <row r="511">
      <c r="A511" s="14"/>
      <c r="B511" s="14"/>
      <c r="G511" s="149"/>
      <c r="H511" s="149"/>
      <c r="I511" s="14"/>
      <c r="J511" s="14"/>
      <c r="K511" s="39"/>
      <c r="L511" s="14"/>
      <c r="M511" s="14"/>
      <c r="N511" s="14"/>
      <c r="O511" s="39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</row>
    <row r="512">
      <c r="A512" s="14"/>
      <c r="B512" s="14"/>
      <c r="G512" s="149"/>
      <c r="H512" s="149"/>
      <c r="I512" s="14"/>
      <c r="J512" s="14"/>
      <c r="K512" s="39"/>
      <c r="L512" s="14"/>
      <c r="M512" s="14"/>
      <c r="N512" s="14"/>
      <c r="O512" s="39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</row>
    <row r="513">
      <c r="A513" s="14"/>
      <c r="B513" s="14"/>
      <c r="G513" s="149"/>
      <c r="H513" s="149"/>
      <c r="I513" s="14"/>
      <c r="J513" s="14"/>
      <c r="K513" s="39"/>
      <c r="L513" s="14"/>
      <c r="M513" s="14"/>
      <c r="N513" s="14"/>
      <c r="O513" s="39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</row>
    <row r="514">
      <c r="A514" s="14"/>
      <c r="B514" s="14"/>
      <c r="G514" s="149"/>
      <c r="H514" s="149"/>
      <c r="I514" s="14"/>
      <c r="J514" s="14"/>
      <c r="K514" s="39"/>
      <c r="L514" s="14"/>
      <c r="M514" s="14"/>
      <c r="N514" s="14"/>
      <c r="O514" s="39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</row>
    <row r="515">
      <c r="A515" s="14"/>
      <c r="B515" s="14"/>
      <c r="G515" s="149"/>
      <c r="H515" s="149"/>
      <c r="I515" s="14"/>
      <c r="J515" s="14"/>
      <c r="K515" s="39"/>
      <c r="L515" s="14"/>
      <c r="M515" s="14"/>
      <c r="N515" s="14"/>
      <c r="O515" s="39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</row>
    <row r="516">
      <c r="A516" s="14"/>
      <c r="B516" s="14"/>
      <c r="G516" s="149"/>
      <c r="H516" s="149"/>
      <c r="I516" s="14"/>
      <c r="J516" s="14"/>
      <c r="K516" s="39"/>
      <c r="L516" s="14"/>
      <c r="M516" s="14"/>
      <c r="N516" s="14"/>
      <c r="O516" s="39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</row>
    <row r="517">
      <c r="A517" s="14"/>
      <c r="B517" s="14"/>
      <c r="G517" s="149"/>
      <c r="H517" s="149"/>
      <c r="I517" s="14"/>
      <c r="J517" s="14"/>
      <c r="K517" s="39"/>
      <c r="L517" s="14"/>
      <c r="M517" s="14"/>
      <c r="N517" s="14"/>
      <c r="O517" s="39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</row>
    <row r="518">
      <c r="A518" s="14"/>
      <c r="B518" s="14"/>
      <c r="G518" s="149"/>
      <c r="H518" s="149"/>
      <c r="I518" s="14"/>
      <c r="J518" s="14"/>
      <c r="K518" s="39"/>
      <c r="L518" s="14"/>
      <c r="M518" s="14"/>
      <c r="N518" s="14"/>
      <c r="O518" s="39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</row>
    <row r="519">
      <c r="A519" s="14"/>
      <c r="B519" s="14"/>
      <c r="G519" s="149"/>
      <c r="H519" s="149"/>
      <c r="I519" s="14"/>
      <c r="J519" s="14"/>
      <c r="K519" s="39"/>
      <c r="L519" s="14"/>
      <c r="M519" s="14"/>
      <c r="N519" s="14"/>
      <c r="O519" s="39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</row>
    <row r="520">
      <c r="A520" s="14"/>
      <c r="B520" s="14"/>
      <c r="G520" s="149"/>
      <c r="H520" s="149"/>
      <c r="I520" s="14"/>
      <c r="J520" s="14"/>
      <c r="K520" s="39"/>
      <c r="L520" s="14"/>
      <c r="M520" s="14"/>
      <c r="N520" s="14"/>
      <c r="O520" s="39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</row>
    <row r="521">
      <c r="A521" s="14"/>
      <c r="B521" s="14"/>
      <c r="G521" s="149"/>
      <c r="H521" s="149"/>
      <c r="I521" s="14"/>
      <c r="J521" s="14"/>
      <c r="K521" s="39"/>
      <c r="L521" s="14"/>
      <c r="M521" s="14"/>
      <c r="N521" s="14"/>
      <c r="O521" s="39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</row>
    <row r="522">
      <c r="A522" s="14"/>
      <c r="B522" s="14"/>
      <c r="G522" s="149"/>
      <c r="H522" s="149"/>
      <c r="I522" s="14"/>
      <c r="J522" s="14"/>
      <c r="K522" s="39"/>
      <c r="L522" s="14"/>
      <c r="M522" s="14"/>
      <c r="N522" s="14"/>
      <c r="O522" s="39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</row>
    <row r="523">
      <c r="A523" s="14"/>
      <c r="B523" s="14"/>
      <c r="G523" s="149"/>
      <c r="H523" s="149"/>
      <c r="I523" s="14"/>
      <c r="J523" s="14"/>
      <c r="K523" s="39"/>
      <c r="L523" s="14"/>
      <c r="M523" s="14"/>
      <c r="N523" s="14"/>
      <c r="O523" s="39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</row>
    <row r="524">
      <c r="A524" s="14"/>
      <c r="B524" s="14"/>
      <c r="G524" s="149"/>
      <c r="H524" s="149"/>
      <c r="I524" s="14"/>
      <c r="J524" s="14"/>
      <c r="K524" s="39"/>
      <c r="L524" s="14"/>
      <c r="M524" s="14"/>
      <c r="N524" s="14"/>
      <c r="O524" s="39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</row>
    <row r="525">
      <c r="A525" s="14"/>
      <c r="B525" s="14"/>
      <c r="G525" s="149"/>
      <c r="H525" s="149"/>
      <c r="I525" s="14"/>
      <c r="J525" s="14"/>
      <c r="K525" s="39"/>
      <c r="L525" s="14"/>
      <c r="M525" s="14"/>
      <c r="N525" s="14"/>
      <c r="O525" s="39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</row>
    <row r="526">
      <c r="A526" s="14"/>
      <c r="B526" s="14"/>
      <c r="G526" s="149"/>
      <c r="H526" s="149"/>
      <c r="I526" s="14"/>
      <c r="J526" s="14"/>
      <c r="K526" s="39"/>
      <c r="L526" s="14"/>
      <c r="M526" s="14"/>
      <c r="N526" s="14"/>
      <c r="O526" s="39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</row>
    <row r="527">
      <c r="A527" s="14"/>
      <c r="B527" s="14"/>
      <c r="G527" s="149"/>
      <c r="H527" s="149"/>
      <c r="I527" s="14"/>
      <c r="J527" s="14"/>
      <c r="K527" s="39"/>
      <c r="L527" s="14"/>
      <c r="M527" s="14"/>
      <c r="N527" s="14"/>
      <c r="O527" s="39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</row>
    <row r="528">
      <c r="A528" s="14"/>
      <c r="B528" s="14"/>
      <c r="G528" s="149"/>
      <c r="H528" s="149"/>
      <c r="I528" s="14"/>
      <c r="J528" s="14"/>
      <c r="K528" s="39"/>
      <c r="L528" s="14"/>
      <c r="M528" s="14"/>
      <c r="N528" s="14"/>
      <c r="O528" s="39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</row>
    <row r="529">
      <c r="A529" s="14"/>
      <c r="B529" s="14"/>
      <c r="G529" s="149"/>
      <c r="H529" s="149"/>
      <c r="I529" s="14"/>
      <c r="J529" s="14"/>
      <c r="K529" s="39"/>
      <c r="L529" s="14"/>
      <c r="M529" s="14"/>
      <c r="N529" s="14"/>
      <c r="O529" s="39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</row>
    <row r="530">
      <c r="A530" s="14"/>
      <c r="B530" s="14"/>
      <c r="G530" s="149"/>
      <c r="H530" s="149"/>
      <c r="I530" s="14"/>
      <c r="J530" s="14"/>
      <c r="K530" s="39"/>
      <c r="L530" s="14"/>
      <c r="M530" s="14"/>
      <c r="N530" s="14"/>
      <c r="O530" s="39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</row>
    <row r="531">
      <c r="A531" s="14"/>
      <c r="B531" s="14"/>
      <c r="G531" s="149"/>
      <c r="H531" s="149"/>
      <c r="I531" s="14"/>
      <c r="J531" s="14"/>
      <c r="K531" s="39"/>
      <c r="L531" s="14"/>
      <c r="M531" s="14"/>
      <c r="N531" s="14"/>
      <c r="O531" s="39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</row>
    <row r="532">
      <c r="A532" s="14"/>
      <c r="B532" s="14"/>
      <c r="G532" s="149"/>
      <c r="H532" s="149"/>
      <c r="I532" s="14"/>
      <c r="J532" s="14"/>
      <c r="K532" s="39"/>
      <c r="L532" s="14"/>
      <c r="M532" s="14"/>
      <c r="N532" s="14"/>
      <c r="O532" s="39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</row>
    <row r="533">
      <c r="A533" s="14"/>
      <c r="B533" s="14"/>
      <c r="G533" s="149"/>
      <c r="H533" s="149"/>
      <c r="I533" s="14"/>
      <c r="J533" s="14"/>
      <c r="K533" s="39"/>
      <c r="L533" s="14"/>
      <c r="M533" s="14"/>
      <c r="N533" s="14"/>
      <c r="O533" s="39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</row>
    <row r="534">
      <c r="A534" s="14"/>
      <c r="B534" s="14"/>
      <c r="G534" s="149"/>
      <c r="H534" s="149"/>
      <c r="I534" s="14"/>
      <c r="J534" s="14"/>
      <c r="K534" s="39"/>
      <c r="L534" s="14"/>
      <c r="M534" s="14"/>
      <c r="N534" s="14"/>
      <c r="O534" s="39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</row>
    <row r="535">
      <c r="A535" s="14"/>
      <c r="B535" s="14"/>
      <c r="G535" s="149"/>
      <c r="H535" s="149"/>
      <c r="I535" s="14"/>
      <c r="J535" s="14"/>
      <c r="K535" s="39"/>
      <c r="L535" s="14"/>
      <c r="M535" s="14"/>
      <c r="N535" s="14"/>
      <c r="O535" s="39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</row>
    <row r="536">
      <c r="A536" s="14"/>
      <c r="B536" s="14"/>
      <c r="G536" s="149"/>
      <c r="H536" s="149"/>
      <c r="I536" s="14"/>
      <c r="J536" s="14"/>
      <c r="K536" s="39"/>
      <c r="L536" s="14"/>
      <c r="M536" s="14"/>
      <c r="N536" s="14"/>
      <c r="O536" s="39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</row>
    <row r="537">
      <c r="A537" s="14"/>
      <c r="B537" s="14"/>
      <c r="G537" s="149"/>
      <c r="H537" s="149"/>
      <c r="I537" s="14"/>
      <c r="J537" s="14"/>
      <c r="K537" s="39"/>
      <c r="L537" s="14"/>
      <c r="M537" s="14"/>
      <c r="N537" s="14"/>
      <c r="O537" s="39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</row>
    <row r="538">
      <c r="A538" s="14"/>
      <c r="B538" s="14"/>
      <c r="G538" s="149"/>
      <c r="H538" s="149"/>
      <c r="I538" s="14"/>
      <c r="J538" s="14"/>
      <c r="K538" s="39"/>
      <c r="L538" s="14"/>
      <c r="M538" s="14"/>
      <c r="N538" s="14"/>
      <c r="O538" s="39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</row>
    <row r="539">
      <c r="A539" s="14"/>
      <c r="B539" s="14"/>
      <c r="G539" s="149"/>
      <c r="H539" s="149"/>
      <c r="I539" s="14"/>
      <c r="J539" s="14"/>
      <c r="K539" s="39"/>
      <c r="L539" s="14"/>
      <c r="M539" s="14"/>
      <c r="N539" s="14"/>
      <c r="O539" s="39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</row>
    <row r="540">
      <c r="A540" s="14"/>
      <c r="B540" s="14"/>
      <c r="G540" s="149"/>
      <c r="H540" s="149"/>
      <c r="I540" s="14"/>
      <c r="J540" s="14"/>
      <c r="K540" s="39"/>
      <c r="L540" s="14"/>
      <c r="M540" s="14"/>
      <c r="N540" s="14"/>
      <c r="O540" s="39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</row>
    <row r="541">
      <c r="A541" s="14"/>
      <c r="B541" s="14"/>
      <c r="G541" s="149"/>
      <c r="H541" s="149"/>
      <c r="I541" s="14"/>
      <c r="J541" s="14"/>
      <c r="K541" s="39"/>
      <c r="L541" s="14"/>
      <c r="M541" s="14"/>
      <c r="N541" s="14"/>
      <c r="O541" s="39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</row>
    <row r="542">
      <c r="A542" s="14"/>
      <c r="B542" s="14"/>
      <c r="G542" s="149"/>
      <c r="H542" s="149"/>
      <c r="I542" s="14"/>
      <c r="J542" s="14"/>
      <c r="K542" s="39"/>
      <c r="L542" s="14"/>
      <c r="M542" s="14"/>
      <c r="N542" s="14"/>
      <c r="O542" s="39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</row>
    <row r="543">
      <c r="A543" s="14"/>
      <c r="B543" s="14"/>
      <c r="G543" s="149"/>
      <c r="H543" s="149"/>
      <c r="I543" s="14"/>
      <c r="J543" s="14"/>
      <c r="K543" s="39"/>
      <c r="L543" s="14"/>
      <c r="M543" s="14"/>
      <c r="N543" s="14"/>
      <c r="O543" s="39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</row>
    <row r="544">
      <c r="A544" s="14"/>
      <c r="B544" s="14"/>
      <c r="G544" s="149"/>
      <c r="H544" s="149"/>
      <c r="I544" s="14"/>
      <c r="J544" s="14"/>
      <c r="K544" s="39"/>
      <c r="L544" s="14"/>
      <c r="M544" s="14"/>
      <c r="N544" s="14"/>
      <c r="O544" s="39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</row>
    <row r="545">
      <c r="A545" s="14"/>
      <c r="B545" s="14"/>
      <c r="G545" s="149"/>
      <c r="H545" s="149"/>
      <c r="I545" s="14"/>
      <c r="J545" s="14"/>
      <c r="K545" s="39"/>
      <c r="L545" s="14"/>
      <c r="M545" s="14"/>
      <c r="N545" s="14"/>
      <c r="O545" s="39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</row>
    <row r="546">
      <c r="A546" s="14"/>
      <c r="B546" s="14"/>
      <c r="G546" s="149"/>
      <c r="H546" s="149"/>
      <c r="I546" s="14"/>
      <c r="J546" s="14"/>
      <c r="K546" s="39"/>
      <c r="L546" s="14"/>
      <c r="M546" s="14"/>
      <c r="N546" s="14"/>
      <c r="O546" s="39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</row>
    <row r="547">
      <c r="A547" s="14"/>
      <c r="B547" s="14"/>
      <c r="G547" s="149"/>
      <c r="H547" s="149"/>
      <c r="I547" s="14"/>
      <c r="J547" s="14"/>
      <c r="K547" s="39"/>
      <c r="L547" s="14"/>
      <c r="M547" s="14"/>
      <c r="N547" s="14"/>
      <c r="O547" s="39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</row>
    <row r="548">
      <c r="A548" s="14"/>
      <c r="B548" s="14"/>
      <c r="G548" s="149"/>
      <c r="H548" s="149"/>
      <c r="I548" s="14"/>
      <c r="J548" s="14"/>
      <c r="K548" s="39"/>
      <c r="L548" s="14"/>
      <c r="M548" s="14"/>
      <c r="N548" s="14"/>
      <c r="O548" s="39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</row>
    <row r="549">
      <c r="A549" s="14"/>
      <c r="B549" s="14"/>
      <c r="G549" s="149"/>
      <c r="H549" s="149"/>
      <c r="I549" s="14"/>
      <c r="J549" s="14"/>
      <c r="K549" s="39"/>
      <c r="L549" s="14"/>
      <c r="M549" s="14"/>
      <c r="N549" s="14"/>
      <c r="O549" s="39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</row>
    <row r="550">
      <c r="A550" s="14"/>
      <c r="B550" s="14"/>
      <c r="G550" s="149"/>
      <c r="H550" s="149"/>
      <c r="I550" s="14"/>
      <c r="J550" s="14"/>
      <c r="K550" s="39"/>
      <c r="L550" s="14"/>
      <c r="M550" s="14"/>
      <c r="N550" s="14"/>
      <c r="O550" s="39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</row>
    <row r="551">
      <c r="A551" s="14"/>
      <c r="B551" s="14"/>
      <c r="G551" s="149"/>
      <c r="H551" s="149"/>
      <c r="I551" s="14"/>
      <c r="J551" s="14"/>
      <c r="K551" s="39"/>
      <c r="L551" s="14"/>
      <c r="M551" s="14"/>
      <c r="N551" s="14"/>
      <c r="O551" s="39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</row>
    <row r="552">
      <c r="A552" s="14"/>
      <c r="B552" s="14"/>
      <c r="G552" s="149"/>
      <c r="H552" s="149"/>
      <c r="I552" s="14"/>
      <c r="J552" s="14"/>
      <c r="K552" s="39"/>
      <c r="L552" s="14"/>
      <c r="M552" s="14"/>
      <c r="N552" s="14"/>
      <c r="O552" s="39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</row>
    <row r="553">
      <c r="A553" s="14"/>
      <c r="B553" s="14"/>
      <c r="G553" s="149"/>
      <c r="H553" s="149"/>
      <c r="I553" s="14"/>
      <c r="J553" s="14"/>
      <c r="K553" s="39"/>
      <c r="L553" s="14"/>
      <c r="M553" s="14"/>
      <c r="N553" s="14"/>
      <c r="O553" s="39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</row>
    <row r="554">
      <c r="A554" s="14"/>
      <c r="B554" s="14"/>
      <c r="G554" s="149"/>
      <c r="H554" s="149"/>
      <c r="I554" s="14"/>
      <c r="J554" s="14"/>
      <c r="K554" s="39"/>
      <c r="L554" s="14"/>
      <c r="M554" s="14"/>
      <c r="N554" s="14"/>
      <c r="O554" s="39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</row>
    <row r="555">
      <c r="A555" s="14"/>
      <c r="B555" s="14"/>
      <c r="G555" s="149"/>
      <c r="H555" s="149"/>
      <c r="I555" s="14"/>
      <c r="J555" s="14"/>
      <c r="K555" s="39"/>
      <c r="L555" s="14"/>
      <c r="M555" s="14"/>
      <c r="N555" s="14"/>
      <c r="O555" s="39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</row>
    <row r="556">
      <c r="A556" s="14"/>
      <c r="B556" s="14"/>
      <c r="G556" s="149"/>
      <c r="H556" s="149"/>
      <c r="I556" s="14"/>
      <c r="J556" s="14"/>
      <c r="K556" s="39"/>
      <c r="L556" s="14"/>
      <c r="M556" s="14"/>
      <c r="N556" s="14"/>
      <c r="O556" s="39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</row>
    <row r="557">
      <c r="A557" s="14"/>
      <c r="B557" s="14"/>
      <c r="G557" s="149"/>
      <c r="H557" s="149"/>
      <c r="I557" s="14"/>
      <c r="J557" s="14"/>
      <c r="K557" s="39"/>
      <c r="L557" s="14"/>
      <c r="M557" s="14"/>
      <c r="N557" s="14"/>
      <c r="O557" s="39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</row>
    <row r="558">
      <c r="A558" s="14"/>
      <c r="B558" s="14"/>
      <c r="G558" s="149"/>
      <c r="H558" s="149"/>
      <c r="I558" s="14"/>
      <c r="J558" s="14"/>
      <c r="K558" s="39"/>
      <c r="L558" s="14"/>
      <c r="M558" s="14"/>
      <c r="N558" s="14"/>
      <c r="O558" s="39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</row>
    <row r="559">
      <c r="A559" s="14"/>
      <c r="B559" s="14"/>
      <c r="G559" s="149"/>
      <c r="H559" s="149"/>
      <c r="I559" s="14"/>
      <c r="J559" s="14"/>
      <c r="K559" s="39"/>
      <c r="L559" s="14"/>
      <c r="M559" s="14"/>
      <c r="N559" s="14"/>
      <c r="O559" s="39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</row>
    <row r="560">
      <c r="A560" s="14"/>
      <c r="B560" s="14"/>
      <c r="G560" s="149"/>
      <c r="H560" s="149"/>
      <c r="I560" s="14"/>
      <c r="J560" s="14"/>
      <c r="K560" s="39"/>
      <c r="L560" s="14"/>
      <c r="M560" s="14"/>
      <c r="N560" s="14"/>
      <c r="O560" s="39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</row>
    <row r="561">
      <c r="A561" s="14"/>
      <c r="B561" s="14"/>
      <c r="G561" s="149"/>
      <c r="H561" s="149"/>
      <c r="I561" s="14"/>
      <c r="J561" s="14"/>
      <c r="K561" s="39"/>
      <c r="L561" s="14"/>
      <c r="M561" s="14"/>
      <c r="N561" s="14"/>
      <c r="O561" s="39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</row>
    <row r="562">
      <c r="A562" s="14"/>
      <c r="B562" s="14"/>
      <c r="G562" s="149"/>
      <c r="H562" s="149"/>
      <c r="I562" s="14"/>
      <c r="J562" s="14"/>
      <c r="K562" s="39"/>
      <c r="L562" s="14"/>
      <c r="M562" s="14"/>
      <c r="N562" s="14"/>
      <c r="O562" s="39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</row>
    <row r="563">
      <c r="A563" s="14"/>
      <c r="B563" s="14"/>
      <c r="G563" s="149"/>
      <c r="H563" s="149"/>
      <c r="I563" s="14"/>
      <c r="J563" s="14"/>
      <c r="K563" s="39"/>
      <c r="L563" s="14"/>
      <c r="M563" s="14"/>
      <c r="N563" s="14"/>
      <c r="O563" s="39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</row>
    <row r="564">
      <c r="A564" s="14"/>
      <c r="B564" s="14"/>
      <c r="G564" s="149"/>
      <c r="H564" s="149"/>
      <c r="I564" s="14"/>
      <c r="J564" s="14"/>
      <c r="K564" s="39"/>
      <c r="L564" s="14"/>
      <c r="M564" s="14"/>
      <c r="N564" s="14"/>
      <c r="O564" s="39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</row>
    <row r="565">
      <c r="A565" s="14"/>
      <c r="B565" s="14"/>
      <c r="G565" s="149"/>
      <c r="H565" s="149"/>
      <c r="I565" s="14"/>
      <c r="J565" s="14"/>
      <c r="K565" s="39"/>
      <c r="L565" s="14"/>
      <c r="M565" s="14"/>
      <c r="N565" s="14"/>
      <c r="O565" s="39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</row>
    <row r="566">
      <c r="A566" s="14"/>
      <c r="B566" s="14"/>
      <c r="G566" s="149"/>
      <c r="H566" s="149"/>
      <c r="I566" s="14"/>
      <c r="J566" s="14"/>
      <c r="K566" s="39"/>
      <c r="L566" s="14"/>
      <c r="M566" s="14"/>
      <c r="N566" s="14"/>
      <c r="O566" s="39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</row>
    <row r="567">
      <c r="A567" s="14"/>
      <c r="B567" s="14"/>
      <c r="G567" s="149"/>
      <c r="H567" s="149"/>
      <c r="I567" s="14"/>
      <c r="J567" s="14"/>
      <c r="K567" s="39"/>
      <c r="L567" s="14"/>
      <c r="M567" s="14"/>
      <c r="N567" s="14"/>
      <c r="O567" s="39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</row>
    <row r="568">
      <c r="A568" s="14"/>
      <c r="B568" s="14"/>
      <c r="G568" s="149"/>
      <c r="H568" s="149"/>
      <c r="I568" s="14"/>
      <c r="J568" s="14"/>
      <c r="K568" s="39"/>
      <c r="L568" s="14"/>
      <c r="M568" s="14"/>
      <c r="N568" s="14"/>
      <c r="O568" s="39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</row>
    <row r="569">
      <c r="A569" s="14"/>
      <c r="B569" s="14"/>
      <c r="G569" s="149"/>
      <c r="H569" s="149"/>
      <c r="I569" s="14"/>
      <c r="J569" s="14"/>
      <c r="K569" s="39"/>
      <c r="L569" s="14"/>
      <c r="M569" s="14"/>
      <c r="N569" s="14"/>
      <c r="O569" s="39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</row>
    <row r="570">
      <c r="A570" s="14"/>
      <c r="B570" s="14"/>
      <c r="G570" s="149"/>
      <c r="H570" s="149"/>
      <c r="I570" s="14"/>
      <c r="J570" s="14"/>
      <c r="K570" s="39"/>
      <c r="L570" s="14"/>
      <c r="M570" s="14"/>
      <c r="N570" s="14"/>
      <c r="O570" s="39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</row>
    <row r="571">
      <c r="A571" s="14"/>
      <c r="B571" s="14"/>
      <c r="G571" s="149"/>
      <c r="H571" s="149"/>
      <c r="I571" s="14"/>
      <c r="J571" s="14"/>
      <c r="K571" s="39"/>
      <c r="L571" s="14"/>
      <c r="M571" s="14"/>
      <c r="N571" s="14"/>
      <c r="O571" s="39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</row>
    <row r="572">
      <c r="A572" s="14"/>
      <c r="B572" s="14"/>
      <c r="G572" s="149"/>
      <c r="H572" s="149"/>
      <c r="I572" s="14"/>
      <c r="J572" s="14"/>
      <c r="K572" s="39"/>
      <c r="L572" s="14"/>
      <c r="M572" s="14"/>
      <c r="N572" s="14"/>
      <c r="O572" s="39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</row>
    <row r="573">
      <c r="A573" s="14"/>
      <c r="B573" s="14"/>
      <c r="G573" s="149"/>
      <c r="H573" s="149"/>
      <c r="I573" s="14"/>
      <c r="J573" s="14"/>
      <c r="K573" s="39"/>
      <c r="L573" s="14"/>
      <c r="M573" s="14"/>
      <c r="N573" s="14"/>
      <c r="O573" s="39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</row>
    <row r="574">
      <c r="A574" s="14"/>
      <c r="B574" s="14"/>
      <c r="G574" s="149"/>
      <c r="H574" s="149"/>
      <c r="I574" s="14"/>
      <c r="J574" s="14"/>
      <c r="K574" s="39"/>
      <c r="L574" s="14"/>
      <c r="M574" s="14"/>
      <c r="N574" s="14"/>
      <c r="O574" s="39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</row>
    <row r="575">
      <c r="A575" s="14"/>
      <c r="B575" s="14"/>
      <c r="G575" s="149"/>
      <c r="H575" s="149"/>
      <c r="I575" s="14"/>
      <c r="J575" s="14"/>
      <c r="K575" s="39"/>
      <c r="L575" s="14"/>
      <c r="M575" s="14"/>
      <c r="N575" s="14"/>
      <c r="O575" s="39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</row>
    <row r="576">
      <c r="A576" s="14"/>
      <c r="B576" s="14"/>
      <c r="G576" s="149"/>
      <c r="H576" s="149"/>
      <c r="I576" s="14"/>
      <c r="J576" s="14"/>
      <c r="K576" s="39"/>
      <c r="L576" s="14"/>
      <c r="M576" s="14"/>
      <c r="N576" s="14"/>
      <c r="O576" s="39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</row>
    <row r="577">
      <c r="A577" s="14"/>
      <c r="B577" s="14"/>
      <c r="G577" s="149"/>
      <c r="H577" s="149"/>
      <c r="I577" s="14"/>
      <c r="J577" s="14"/>
      <c r="K577" s="39"/>
      <c r="L577" s="14"/>
      <c r="M577" s="14"/>
      <c r="N577" s="14"/>
      <c r="O577" s="39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</row>
    <row r="578">
      <c r="A578" s="14"/>
      <c r="B578" s="14"/>
      <c r="G578" s="149"/>
      <c r="H578" s="149"/>
      <c r="I578" s="14"/>
      <c r="J578" s="14"/>
      <c r="K578" s="39"/>
      <c r="L578" s="14"/>
      <c r="M578" s="14"/>
      <c r="N578" s="14"/>
      <c r="O578" s="39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</row>
  </sheetData>
  <mergeCells count="380">
    <mergeCell ref="R28:T28"/>
    <mergeCell ref="U28:V28"/>
    <mergeCell ref="W28:Y28"/>
    <mergeCell ref="Z28:AA28"/>
    <mergeCell ref="AB28:AD28"/>
    <mergeCell ref="AE28:AF28"/>
    <mergeCell ref="AG28:AH28"/>
    <mergeCell ref="R29:T29"/>
    <mergeCell ref="U29:V29"/>
    <mergeCell ref="W29:Y29"/>
    <mergeCell ref="Z29:AA29"/>
    <mergeCell ref="AB29:AD29"/>
    <mergeCell ref="AE29:AF29"/>
    <mergeCell ref="AG29:AH29"/>
    <mergeCell ref="AB5:AC5"/>
    <mergeCell ref="AB6:AC6"/>
    <mergeCell ref="AB7:AC7"/>
    <mergeCell ref="AB8:AC8"/>
    <mergeCell ref="AB9:AC9"/>
    <mergeCell ref="T11:U11"/>
    <mergeCell ref="T12:U12"/>
    <mergeCell ref="AC15:AD15"/>
    <mergeCell ref="AC16:AD16"/>
    <mergeCell ref="W11:X11"/>
    <mergeCell ref="W12:X12"/>
    <mergeCell ref="T14:U14"/>
    <mergeCell ref="AC14:AD14"/>
    <mergeCell ref="AG14:AH14"/>
    <mergeCell ref="T15:U15"/>
    <mergeCell ref="T16:U16"/>
    <mergeCell ref="AB20:AD20"/>
    <mergeCell ref="AE20:AF20"/>
    <mergeCell ref="AB21:AD21"/>
    <mergeCell ref="AE21:AF21"/>
    <mergeCell ref="AG21:AH21"/>
    <mergeCell ref="R18:AH18"/>
    <mergeCell ref="R19:Y19"/>
    <mergeCell ref="AB19:AH19"/>
    <mergeCell ref="U20:V20"/>
    <mergeCell ref="W20:Y20"/>
    <mergeCell ref="Z20:AA20"/>
    <mergeCell ref="AG20:AH20"/>
    <mergeCell ref="R20:T20"/>
    <mergeCell ref="R21:T21"/>
    <mergeCell ref="U21:V21"/>
    <mergeCell ref="W21:Y21"/>
    <mergeCell ref="Z21:AA21"/>
    <mergeCell ref="R22:T22"/>
    <mergeCell ref="U22:V22"/>
    <mergeCell ref="R30:T30"/>
    <mergeCell ref="U30:V30"/>
    <mergeCell ref="W30:Y30"/>
    <mergeCell ref="Z30:AA30"/>
    <mergeCell ref="AB30:AD30"/>
    <mergeCell ref="AE30:AF30"/>
    <mergeCell ref="AG30:AH30"/>
    <mergeCell ref="R37:T37"/>
    <mergeCell ref="U37:V37"/>
    <mergeCell ref="W37:Y37"/>
    <mergeCell ref="Z37:AA37"/>
    <mergeCell ref="AB37:AD37"/>
    <mergeCell ref="AE37:AF37"/>
    <mergeCell ref="AG37:AH37"/>
    <mergeCell ref="R38:T38"/>
    <mergeCell ref="U38:V38"/>
    <mergeCell ref="W38:Y38"/>
    <mergeCell ref="Z38:AA38"/>
    <mergeCell ref="AB38:AD38"/>
    <mergeCell ref="AE38:AF38"/>
    <mergeCell ref="AG38:AH38"/>
    <mergeCell ref="R26:T26"/>
    <mergeCell ref="U26:V26"/>
    <mergeCell ref="W26:Y26"/>
    <mergeCell ref="Z26:AA26"/>
    <mergeCell ref="AB26:AD26"/>
    <mergeCell ref="AE26:AF26"/>
    <mergeCell ref="AG26:AH26"/>
    <mergeCell ref="R27:T27"/>
    <mergeCell ref="U27:V27"/>
    <mergeCell ref="W27:Y27"/>
    <mergeCell ref="Z27:AA27"/>
    <mergeCell ref="AB27:AD27"/>
    <mergeCell ref="AE27:AF27"/>
    <mergeCell ref="AG27:AH27"/>
    <mergeCell ref="R31:T31"/>
    <mergeCell ref="U31:V31"/>
    <mergeCell ref="W31:Y31"/>
    <mergeCell ref="Z31:AA31"/>
    <mergeCell ref="AB31:AD31"/>
    <mergeCell ref="AE31:AF31"/>
    <mergeCell ref="AG31:AH31"/>
    <mergeCell ref="R32:T32"/>
    <mergeCell ref="U32:V32"/>
    <mergeCell ref="W32:Y32"/>
    <mergeCell ref="Z32:AA32"/>
    <mergeCell ref="AB32:AD32"/>
    <mergeCell ref="AE32:AF32"/>
    <mergeCell ref="AG32:AH32"/>
    <mergeCell ref="R33:T33"/>
    <mergeCell ref="U33:V33"/>
    <mergeCell ref="W33:Y33"/>
    <mergeCell ref="Z33:AA33"/>
    <mergeCell ref="AB33:AD33"/>
    <mergeCell ref="AE33:AF33"/>
    <mergeCell ref="AG33:AH33"/>
    <mergeCell ref="R34:T34"/>
    <mergeCell ref="U34:V34"/>
    <mergeCell ref="W34:Y34"/>
    <mergeCell ref="Z34:AA34"/>
    <mergeCell ref="AB34:AD34"/>
    <mergeCell ref="AE34:AF34"/>
    <mergeCell ref="AG34:AH34"/>
    <mergeCell ref="R39:T39"/>
    <mergeCell ref="U39:V39"/>
    <mergeCell ref="W39:Y39"/>
    <mergeCell ref="Z39:AA39"/>
    <mergeCell ref="AB39:AD39"/>
    <mergeCell ref="AE39:AF39"/>
    <mergeCell ref="AG39:AH39"/>
    <mergeCell ref="R44:T44"/>
    <mergeCell ref="U44:V44"/>
    <mergeCell ref="W44:Y44"/>
    <mergeCell ref="Z44:AA44"/>
    <mergeCell ref="AB44:AD44"/>
    <mergeCell ref="AE44:AF44"/>
    <mergeCell ref="AG44:AH44"/>
    <mergeCell ref="R45:T45"/>
    <mergeCell ref="U45:V45"/>
    <mergeCell ref="W45:Y45"/>
    <mergeCell ref="Z45:AA45"/>
    <mergeCell ref="AB45:AD45"/>
    <mergeCell ref="AE45:AF45"/>
    <mergeCell ref="AG45:AH45"/>
    <mergeCell ref="R35:T35"/>
    <mergeCell ref="U35:V35"/>
    <mergeCell ref="W35:Y35"/>
    <mergeCell ref="Z35:AA35"/>
    <mergeCell ref="AB35:AD35"/>
    <mergeCell ref="AE35:AF35"/>
    <mergeCell ref="AG35:AH35"/>
    <mergeCell ref="R36:T36"/>
    <mergeCell ref="U36:V36"/>
    <mergeCell ref="W36:Y36"/>
    <mergeCell ref="Z36:AA36"/>
    <mergeCell ref="AB36:AD36"/>
    <mergeCell ref="AE36:AF36"/>
    <mergeCell ref="AG36:AH36"/>
    <mergeCell ref="R40:T40"/>
    <mergeCell ref="U40:V40"/>
    <mergeCell ref="W40:Y40"/>
    <mergeCell ref="Z40:AA40"/>
    <mergeCell ref="AB40:AD40"/>
    <mergeCell ref="AE40:AF40"/>
    <mergeCell ref="AG40:AH40"/>
    <mergeCell ref="R41:T41"/>
    <mergeCell ref="U41:V41"/>
    <mergeCell ref="W41:Y41"/>
    <mergeCell ref="Z41:AA41"/>
    <mergeCell ref="AB41:AD41"/>
    <mergeCell ref="AE41:AF41"/>
    <mergeCell ref="AG41:AH41"/>
    <mergeCell ref="R42:T42"/>
    <mergeCell ref="U42:V42"/>
    <mergeCell ref="W42:Y42"/>
    <mergeCell ref="Z42:AA42"/>
    <mergeCell ref="AB42:AD42"/>
    <mergeCell ref="AE42:AF42"/>
    <mergeCell ref="AG42:AH42"/>
    <mergeCell ref="R43:T43"/>
    <mergeCell ref="U43:V43"/>
    <mergeCell ref="W43:Y43"/>
    <mergeCell ref="Z43:AA43"/>
    <mergeCell ref="AB43:AD43"/>
    <mergeCell ref="AE43:AF43"/>
    <mergeCell ref="AG43:AH43"/>
    <mergeCell ref="R46:T46"/>
    <mergeCell ref="U46:V46"/>
    <mergeCell ref="W46:Y46"/>
    <mergeCell ref="Z46:AA46"/>
    <mergeCell ref="AB46:AD46"/>
    <mergeCell ref="AE46:AF46"/>
    <mergeCell ref="AG46:AH46"/>
    <mergeCell ref="T9:U9"/>
    <mergeCell ref="T10:U10"/>
    <mergeCell ref="T5:U5"/>
    <mergeCell ref="T6:U6"/>
    <mergeCell ref="T7:U7"/>
    <mergeCell ref="V7:X7"/>
    <mergeCell ref="T8:U8"/>
    <mergeCell ref="V8:X8"/>
    <mergeCell ref="V9:X9"/>
    <mergeCell ref="V10:X10"/>
    <mergeCell ref="AQ17:AS17"/>
    <mergeCell ref="AT17:AV17"/>
    <mergeCell ref="AJ14:AM14"/>
    <mergeCell ref="AN14:AP14"/>
    <mergeCell ref="AQ14:AS14"/>
    <mergeCell ref="AJ15:AM15"/>
    <mergeCell ref="AJ16:AV16"/>
    <mergeCell ref="AJ17:AM17"/>
    <mergeCell ref="AN17:AP17"/>
    <mergeCell ref="AJ18:AM18"/>
    <mergeCell ref="AN18:AP18"/>
    <mergeCell ref="AQ18:AS18"/>
    <mergeCell ref="AT18:AV18"/>
    <mergeCell ref="AN19:AP19"/>
    <mergeCell ref="AQ19:AS19"/>
    <mergeCell ref="AT19:AV19"/>
    <mergeCell ref="AQ21:AS21"/>
    <mergeCell ref="AT21:AV21"/>
    <mergeCell ref="AJ19:AM19"/>
    <mergeCell ref="AJ20:AM20"/>
    <mergeCell ref="AN20:AP20"/>
    <mergeCell ref="AQ20:AS20"/>
    <mergeCell ref="AT20:AV20"/>
    <mergeCell ref="AJ21:AM21"/>
    <mergeCell ref="AN21:AP21"/>
    <mergeCell ref="AJ22:AM22"/>
    <mergeCell ref="AN22:AP22"/>
    <mergeCell ref="AQ22:AS22"/>
    <mergeCell ref="AT22:AV22"/>
    <mergeCell ref="AN23:AP23"/>
    <mergeCell ref="AQ23:AS23"/>
    <mergeCell ref="AT23:AV23"/>
    <mergeCell ref="AQ25:AS25"/>
    <mergeCell ref="AT25:AV25"/>
    <mergeCell ref="AJ23:AM23"/>
    <mergeCell ref="AJ24:AM24"/>
    <mergeCell ref="AN24:AP24"/>
    <mergeCell ref="AQ24:AS24"/>
    <mergeCell ref="AT24:AV24"/>
    <mergeCell ref="AJ25:AM25"/>
    <mergeCell ref="AN25:AP25"/>
    <mergeCell ref="AC2:AG2"/>
    <mergeCell ref="AC3:AG3"/>
    <mergeCell ref="B2:H2"/>
    <mergeCell ref="J2:N2"/>
    <mergeCell ref="O2:P3"/>
    <mergeCell ref="R2:Z2"/>
    <mergeCell ref="B3:H3"/>
    <mergeCell ref="J3:N3"/>
    <mergeCell ref="R3:Z3"/>
    <mergeCell ref="G5:H5"/>
    <mergeCell ref="J5:N6"/>
    <mergeCell ref="O5:P6"/>
    <mergeCell ref="V5:X5"/>
    <mergeCell ref="AK5:AS5"/>
    <mergeCell ref="V6:X6"/>
    <mergeCell ref="AQ6:AS6"/>
    <mergeCell ref="AJ6:AM6"/>
    <mergeCell ref="AN6:AP6"/>
    <mergeCell ref="AJ7:AM7"/>
    <mergeCell ref="AN7:AP7"/>
    <mergeCell ref="AQ7:AS7"/>
    <mergeCell ref="AN8:AP8"/>
    <mergeCell ref="AQ8:AS8"/>
    <mergeCell ref="AJ8:AM8"/>
    <mergeCell ref="AJ9:AM9"/>
    <mergeCell ref="AN9:AP9"/>
    <mergeCell ref="AQ9:AS9"/>
    <mergeCell ref="AJ10:AM10"/>
    <mergeCell ref="AN10:AP10"/>
    <mergeCell ref="AQ10:AS10"/>
    <mergeCell ref="AC12:AD12"/>
    <mergeCell ref="T13:U13"/>
    <mergeCell ref="AC13:AD13"/>
    <mergeCell ref="AG13:AH13"/>
    <mergeCell ref="AJ13:AM13"/>
    <mergeCell ref="AN13:AP13"/>
    <mergeCell ref="AQ13:AS13"/>
    <mergeCell ref="AJ11:AM11"/>
    <mergeCell ref="AN11:AP11"/>
    <mergeCell ref="AQ11:AS11"/>
    <mergeCell ref="AG12:AH12"/>
    <mergeCell ref="AJ12:AM12"/>
    <mergeCell ref="AN12:AP12"/>
    <mergeCell ref="AQ12:AS12"/>
    <mergeCell ref="W22:Y22"/>
    <mergeCell ref="Z22:AA22"/>
    <mergeCell ref="AB22:AD22"/>
    <mergeCell ref="AE22:AF22"/>
    <mergeCell ref="AG22:AH22"/>
    <mergeCell ref="R23:T23"/>
    <mergeCell ref="U23:V23"/>
    <mergeCell ref="W23:Y23"/>
    <mergeCell ref="Z23:AA23"/>
    <mergeCell ref="AB23:AD23"/>
    <mergeCell ref="AE23:AF23"/>
    <mergeCell ref="AG23:AH23"/>
    <mergeCell ref="R24:T24"/>
    <mergeCell ref="U24:V24"/>
    <mergeCell ref="W24:Y24"/>
    <mergeCell ref="Z24:AA24"/>
    <mergeCell ref="AB24:AD24"/>
    <mergeCell ref="AE24:AF24"/>
    <mergeCell ref="AG24:AH24"/>
    <mergeCell ref="R25:T25"/>
    <mergeCell ref="U25:V25"/>
    <mergeCell ref="W25:Y25"/>
    <mergeCell ref="Z25:AA25"/>
    <mergeCell ref="AB25:AD25"/>
    <mergeCell ref="AE25:AF25"/>
    <mergeCell ref="AG25:AH25"/>
    <mergeCell ref="E33:F33"/>
    <mergeCell ref="G34:H34"/>
    <mergeCell ref="B35:H35"/>
    <mergeCell ref="G36:H36"/>
    <mergeCell ref="G37:H37"/>
    <mergeCell ref="G38:H38"/>
    <mergeCell ref="G39:H39"/>
    <mergeCell ref="R47:T47"/>
    <mergeCell ref="R48:T48"/>
    <mergeCell ref="U48:V48"/>
    <mergeCell ref="W48:Y48"/>
    <mergeCell ref="Z48:AA48"/>
    <mergeCell ref="AB48:AD48"/>
    <mergeCell ref="AE48:AF48"/>
    <mergeCell ref="AG48:AH48"/>
    <mergeCell ref="G47:H47"/>
    <mergeCell ref="U47:V47"/>
    <mergeCell ref="W47:Y47"/>
    <mergeCell ref="Z47:AA47"/>
    <mergeCell ref="AB47:AD47"/>
    <mergeCell ref="AE47:AF47"/>
    <mergeCell ref="AG47:AH47"/>
    <mergeCell ref="G48:H48"/>
    <mergeCell ref="G49:H49"/>
    <mergeCell ref="G50:H50"/>
    <mergeCell ref="G40:H40"/>
    <mergeCell ref="G41:H41"/>
    <mergeCell ref="B42:H42"/>
    <mergeCell ref="G43:H43"/>
    <mergeCell ref="G44:H44"/>
    <mergeCell ref="G45:H45"/>
    <mergeCell ref="G46:H46"/>
    <mergeCell ref="E5:F5"/>
    <mergeCell ref="B7:C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B18:C18"/>
    <mergeCell ref="E18:F18"/>
    <mergeCell ref="J18:K18"/>
    <mergeCell ref="M18:N18"/>
    <mergeCell ref="M19:N19"/>
    <mergeCell ref="M20:N20"/>
    <mergeCell ref="M21:N21"/>
    <mergeCell ref="M22:N22"/>
    <mergeCell ref="M23:N23"/>
    <mergeCell ref="E19:F19"/>
    <mergeCell ref="E20:F20"/>
    <mergeCell ref="E21:F21"/>
    <mergeCell ref="E22:F22"/>
    <mergeCell ref="E23:F23"/>
    <mergeCell ref="E24:F24"/>
    <mergeCell ref="E25:F25"/>
    <mergeCell ref="M31:N31"/>
    <mergeCell ref="M32:N32"/>
    <mergeCell ref="M33:N33"/>
    <mergeCell ref="M24:N24"/>
    <mergeCell ref="M25:N25"/>
    <mergeCell ref="M26:N26"/>
    <mergeCell ref="M27:N27"/>
    <mergeCell ref="M28:N28"/>
    <mergeCell ref="M29:N29"/>
    <mergeCell ref="M30:N30"/>
    <mergeCell ref="E26:F26"/>
    <mergeCell ref="E27:F27"/>
    <mergeCell ref="E28:F28"/>
    <mergeCell ref="E29:F29"/>
    <mergeCell ref="E30:F30"/>
    <mergeCell ref="E31:F31"/>
    <mergeCell ref="E32:F32"/>
  </mergeCells>
  <conditionalFormatting sqref="M14">
    <cfRule type="expression" dxfId="0" priority="1">
      <formula>and(GT(M14,N14),Input!$AC$3=TRUE)</formula>
    </cfRule>
  </conditionalFormatting>
  <conditionalFormatting sqref="M14">
    <cfRule type="expression" dxfId="1" priority="2">
      <formula>GT(M14,N14)</formula>
    </cfRule>
  </conditionalFormatting>
  <conditionalFormatting sqref="N14">
    <cfRule type="expression" dxfId="0" priority="3">
      <formula>and(GT(N14,M14),Input!$AC$3=TRUE)</formula>
    </cfRule>
  </conditionalFormatting>
  <conditionalFormatting sqref="N14">
    <cfRule type="expression" dxfId="1" priority="4">
      <formula>GT(N14,M14)</formula>
    </cfRule>
  </conditionalFormatting>
  <conditionalFormatting sqref="W21:Y42">
    <cfRule type="expression" dxfId="2" priority="5">
      <formula>and(GT(W21,AB21),Input!$AC$3=TRUE)</formula>
    </cfRule>
  </conditionalFormatting>
  <conditionalFormatting sqref="W21:Y42">
    <cfRule type="expression" dxfId="3" priority="6">
      <formula>GT(W21,AB21)</formula>
    </cfRule>
  </conditionalFormatting>
  <conditionalFormatting sqref="AB21:AD42">
    <cfRule type="expression" dxfId="4" priority="7">
      <formula>and(GT(AB21,W21),Input!$AC$3=TRUE)</formula>
    </cfRule>
  </conditionalFormatting>
  <conditionalFormatting sqref="AB21:AD42">
    <cfRule type="expression" dxfId="3" priority="8">
      <formula>GT(AB21,W21)</formula>
    </cfRule>
  </conditionalFormatting>
  <conditionalFormatting sqref="AC3:AG3 E5:F5 J5:N6 T5:T16 U5:U10 AB5:AC9 AN7:AS11 E8:E15 F8:G12 W11:X12 U12:U16 AC12:AD16 AG12:AG14 AH12 F15 R18:AH18 E19:F31 M19:N31 G32:H32 O32:P32">
    <cfRule type="expression" dxfId="5" priority="9">
      <formula>Input!$AC$3=TRUE</formula>
    </cfRule>
  </conditionalFormatting>
  <conditionalFormatting sqref="N15">
    <cfRule type="expression" dxfId="0" priority="10">
      <formula>and(AC3=true,gt(N15,M15))</formula>
    </cfRule>
  </conditionalFormatting>
  <conditionalFormatting sqref="N15">
    <cfRule type="expression" dxfId="1" priority="11">
      <formula>gt(N15,M15)</formula>
    </cfRule>
  </conditionalFormatting>
  <conditionalFormatting sqref="N16">
    <cfRule type="expression" dxfId="0" priority="12">
      <formula>and(AC3=true,gt(M16,N16))</formula>
    </cfRule>
  </conditionalFormatting>
  <conditionalFormatting sqref="M15">
    <cfRule type="expression" dxfId="0" priority="13">
      <formula>and(AC3=true,gt(M15,N15))</formula>
    </cfRule>
  </conditionalFormatting>
  <conditionalFormatting sqref="M15">
    <cfRule type="expression" dxfId="1" priority="14">
      <formula>gt(M15,N15)</formula>
    </cfRule>
  </conditionalFormatting>
  <conditionalFormatting sqref="N16">
    <cfRule type="expression" dxfId="1" priority="15">
      <formula>gt(M16,N16)</formula>
    </cfRule>
  </conditionalFormatting>
  <conditionalFormatting sqref="M16">
    <cfRule type="expression" dxfId="0" priority="16">
      <formula>and(AC3=true,gt(N16,M16))</formula>
    </cfRule>
  </conditionalFormatting>
  <conditionalFormatting sqref="B2:H3 J2:P3 R2:Z3 AC2:AG2 B5:C5 G5:H5 O5:P6 R5:R16 V5:V12 W5:X10 Z5:Z9 AJ5:AM14 AN5:AS6 B7:C15 E7:G7 H7:H15 M8:N18 O8:O14 J9:K33 AB12:AB16 AF12:AF14 AN12:AS14 L15:L18 AJ16:AS25 AT17:AV25 B18:C33 E18:F18 G18:H31 O18:P31 R19:AH42 E32:F33 L32 M32:N33 G33:H33 O33:P33">
    <cfRule type="expression" dxfId="6" priority="17">
      <formula>Input!$AC$3</formula>
    </cfRule>
  </conditionalFormatting>
  <conditionalFormatting sqref="A1:AZ578">
    <cfRule type="expression" dxfId="7" priority="18">
      <formula>Input!$AC$3=TRUE</formula>
    </cfRule>
  </conditionalFormatting>
  <conditionalFormatting sqref="N14">
    <cfRule type="expression" dxfId="0" priority="19">
      <formula>and(GT(N14,M14),Input!$AC$3=TRUE)</formula>
    </cfRule>
  </conditionalFormatting>
  <conditionalFormatting sqref="M16">
    <cfRule type="expression" dxfId="1" priority="20">
      <formula>gt(N16,M16)</formula>
    </cfRule>
  </conditionalFormatting>
  <dataValidations>
    <dataValidation type="list" allowBlank="1" sqref="E18 M18">
      <formula1>Sets!$G$1:$AB$1</formula1>
    </dataValidation>
    <dataValidation type="list" allowBlank="1" sqref="G12">
      <formula1>"None,5%,10%,15%,Rigour"</formula1>
    </dataValidation>
    <dataValidation type="list" allowBlank="1" sqref="E22 M22">
      <formula1>Items!$A$502:$A$570</formula1>
    </dataValidation>
    <dataValidation type="list" allowBlank="1" sqref="E25 M25">
      <formula1>Items!$A$264:$A$282</formula1>
    </dataValidation>
    <dataValidation type="list" allowBlank="1" sqref="E23 M23">
      <formula1>Items!$A$190:$A$237</formula1>
    </dataValidation>
    <dataValidation type="list" allowBlank="1" sqref="E19 M19">
      <formula1>Items!$A$2:$A$188</formula1>
    </dataValidation>
    <dataValidation type="list" allowBlank="1" sqref="T16">
      <formula1>"On task (default),Off task"</formula1>
    </dataValidation>
    <dataValidation type="list" allowBlank="1" sqref="AN8:AN11 AQ8:AQ11">
      <formula1>"On,Off"</formula1>
    </dataValidation>
    <dataValidation type="list" allowBlank="1" sqref="AN7 AQ7">
      <formula1>'Prayer drain'!$B$4:$B$10</formula1>
    </dataValidation>
    <dataValidation type="list" allowBlank="1" sqref="F8">
      <formula1>Potions!$A$3:$A$7</formula1>
    </dataValidation>
    <dataValidation type="list" allowBlank="1" sqref="E27 M27">
      <formula1>Items!$A$329:$A$369</formula1>
    </dataValidation>
    <dataValidation type="list" allowBlank="1" sqref="AC13">
      <formula1>"Undead,Demon,Dragon,Kalphite,Kurask,Vorkath,Fire"</formula1>
    </dataValidation>
    <dataValidation type="list" allowBlank="1" sqref="F15">
      <formula1>"D pick spec,None"</formula1>
    </dataValidation>
    <dataValidation type="list" allowBlank="1" showErrorMessage="1" sqref="E20 M20">
      <formula1>'Combat options'!$A$3:$A$11</formula1>
    </dataValidation>
    <dataValidation type="list" allowBlank="1" sqref="F10">
      <formula1>Potions!$A$12:$A$16</formula1>
    </dataValidation>
    <dataValidation type="list" allowBlank="1" sqref="AC16">
      <formula1>"1x1,2x2,3x3"</formula1>
    </dataValidation>
    <dataValidation type="list" allowBlank="1" sqref="E30 M30">
      <formula1>Items!$A$446:$A$475</formula1>
    </dataValidation>
    <dataValidation type="list" allowBlank="1" sqref="E26 M26">
      <formula1>Items!$A$284:$A$327</formula1>
    </dataValidation>
    <dataValidation type="list" allowBlank="1" sqref="AG13">
      <formula1>"Off (default),10%,30%"</formula1>
    </dataValidation>
    <dataValidation type="list" allowBlank="1" sqref="E24 M24">
      <formula1>Items!$A$239:$A$262</formula1>
    </dataValidation>
    <dataValidation type="list" allowBlank="1" sqref="T13">
      <formula1>"Completed (default),Not completed"</formula1>
    </dataValidation>
    <dataValidation type="list" allowBlank="1" sqref="F12">
      <formula1>Potions!$A$22:$A$25</formula1>
    </dataValidation>
    <dataValidation type="list" allowBlank="1" sqref="E21 M21">
      <formula1>Items!$A$572:$A$617</formula1>
    </dataValidation>
    <dataValidation type="list" allowBlank="1" sqref="G8:G10">
      <formula1>Prayers!$A$3:$A$8</formula1>
    </dataValidation>
    <dataValidation type="list" allowBlank="1" sqref="E28 M28">
      <formula1>Items!$A$371:$A$411</formula1>
    </dataValidation>
    <dataValidation type="list" allowBlank="1" sqref="E29 M29">
      <formula1>Items!$A$413:$A$444</formula1>
    </dataValidation>
    <dataValidation type="list" allowBlank="1" sqref="F9">
      <formula1>Potions!$A$8:$A$11</formula1>
    </dataValidation>
    <dataValidation type="decimal" allowBlank="1" showDropDown="1" sqref="AC15">
      <formula1>1.0</formula1>
      <formula2>100.0</formula2>
    </dataValidation>
    <dataValidation type="list" allowBlank="1" sqref="R18">
      <formula1>"Show damage per second,Show damage per second average,Show max hits,Show special max hits,Show accuracy,Show special accuracy,Show cannon accuracy,Show EXP rate,Show EXP rate average,Show special attack DPS"</formula1>
    </dataValidation>
    <dataValidation type="list" allowBlank="1" sqref="F11">
      <formula1>Potions!$A$17:$A$21</formula1>
    </dataValidation>
    <dataValidation type="list" allowBlank="1" sqref="E31 M31">
      <formula1>Items!$A$477:$A$500</formula1>
    </dataValidation>
    <dataValidation type="list" allowBlank="1" sqref="G11">
      <formula1>"None,5%,10%,15%,Augury"</formula1>
    </dataValidation>
    <dataValidation type="list" allowBlank="1" sqref="J5">
      <formula1>'NPC stats'!$A$3:$A$605</formula1>
    </dataValidation>
  </dataValidation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19" width="11.57"/>
  </cols>
  <sheetData>
    <row r="1">
      <c r="A1" s="155"/>
      <c r="E1" s="156"/>
      <c r="K1" s="155"/>
      <c r="L1" s="155"/>
      <c r="M1" s="155"/>
      <c r="N1" s="157"/>
      <c r="O1" s="156"/>
      <c r="P1" s="156"/>
      <c r="Q1" s="156"/>
      <c r="R1" s="156"/>
      <c r="S1" s="156"/>
    </row>
    <row r="2">
      <c r="A2" s="157" t="s">
        <v>115</v>
      </c>
      <c r="B2" s="158" t="str">
        <f>Input!E5</f>
        <v/>
      </c>
      <c r="C2" s="156" t="str">
        <f>"Level: "&amp;'Combat level'!B16</f>
        <v>Level: 126.1</v>
      </c>
      <c r="D2" s="156"/>
      <c r="E2" s="156"/>
      <c r="F2" s="156"/>
      <c r="K2" s="159">
        <f>TODAY()</f>
        <v>44034</v>
      </c>
      <c r="L2" s="160">
        <v>43985.0</v>
      </c>
      <c r="M2" s="156">
        <f>DATEDIF(max(L2, 'Update Log'!A2:A108),K2,"d")</f>
        <v>39</v>
      </c>
      <c r="N2" s="157"/>
      <c r="O2" s="156"/>
      <c r="P2" s="156"/>
      <c r="Q2" s="156"/>
      <c r="R2" s="156"/>
      <c r="S2" s="156"/>
    </row>
    <row r="3">
      <c r="A3" s="156"/>
      <c r="B3" s="156"/>
      <c r="C3" s="156"/>
      <c r="D3" s="156"/>
      <c r="E3" s="156"/>
      <c r="F3" s="156"/>
      <c r="G3" s="156"/>
      <c r="H3" s="156"/>
      <c r="I3" s="156"/>
      <c r="J3" s="156"/>
      <c r="M3" s="156"/>
      <c r="N3" s="156"/>
      <c r="O3" s="156"/>
      <c r="P3" s="156"/>
      <c r="Q3" s="156"/>
      <c r="R3" s="156"/>
      <c r="S3" s="156"/>
    </row>
    <row r="4">
      <c r="A4" s="161"/>
      <c r="S4" s="156"/>
    </row>
    <row r="5">
      <c r="A5" s="157" t="s">
        <v>116</v>
      </c>
      <c r="B5" s="157" t="s">
        <v>117</v>
      </c>
      <c r="C5" s="157" t="s">
        <v>118</v>
      </c>
      <c r="D5" s="157" t="s">
        <v>119</v>
      </c>
      <c r="E5" s="157"/>
      <c r="F5" s="157" t="str">
        <f>Potions!A1</f>
        <v>Potion</v>
      </c>
      <c r="G5" s="157" t="str">
        <f>Potions!B1</f>
        <v>Multiplier</v>
      </c>
      <c r="H5" s="157" t="str">
        <f>Potions!C1</f>
        <v>Additional</v>
      </c>
      <c r="I5" s="157" t="s">
        <v>120</v>
      </c>
      <c r="J5" s="157"/>
      <c r="K5" s="157" t="str">
        <f>Prayers!A1</f>
        <v>Prayer</v>
      </c>
      <c r="L5" s="157" t="s">
        <v>121</v>
      </c>
      <c r="M5" s="157" t="s">
        <v>122</v>
      </c>
      <c r="N5" s="156"/>
      <c r="O5" s="162"/>
      <c r="S5" s="156"/>
    </row>
    <row r="6">
      <c r="A6" s="157" t="s">
        <v>21</v>
      </c>
      <c r="B6" s="163">
        <f>'Combat level'!D5</f>
        <v>1</v>
      </c>
      <c r="C6" s="158">
        <f>Input!E8</f>
        <v>99</v>
      </c>
      <c r="D6" s="156">
        <f t="shared" ref="D6:D14" si="1">INT(IF(ISNUMBER(C6)=TRUE,C6,B6))</f>
        <v>99</v>
      </c>
      <c r="E6" s="157"/>
      <c r="F6" s="158" t="str">
        <f>Input!F8</f>
        <v>Super attack</v>
      </c>
      <c r="G6" s="156">
        <f t="array" ref="G6">IF(ISNUMBER($F6)=TRUE,0,INDEX(Potions!$A$1:$C$27,MATCH($F6,Potions!$A$1:$A$27,0),MATCH(G$5,Potions!$A$1:$C$1,0)))</f>
        <v>0.15</v>
      </c>
      <c r="H6" s="156">
        <f t="array" ref="H6">IF(ISNUMBER($F6)=TRUE,$F6,INDEX(Potions!$A$1:$C$27,MATCH($F6,Potions!$A$1:$A$27,0),MATCH(H$5,Potions!$A$1:$C$1,0)))</f>
        <v>5</v>
      </c>
      <c r="I6" s="156">
        <f t="shared" ref="I6:I13" si="2">INT(IF(ISERROR(D6+D6*G6+H6)=TRUE,D6,D6+D6*G6+H6))</f>
        <v>118</v>
      </c>
      <c r="J6" s="164"/>
      <c r="K6" s="158" t="str">
        <f>Input!G8</f>
        <v>Piety</v>
      </c>
      <c r="L6" s="156">
        <f t="array" ref="L6">IF(ISERROR(INDEX(Prayers!$A$1:$G$13,MATCH($K6,Prayers!$A$1:$A$13,0),MATCH($A6,Prayers!$A$1:$G$1,0)))=TRUE,K6,INDEX(Prayers!$A$1:$G$13,MATCH($K6,Prayers!$A$1:$A$13,0),MATCH($A6,Prayers!$A$1:$G$1,0)))</f>
        <v>0.2</v>
      </c>
      <c r="M6" s="156">
        <f t="shared" ref="M6:M14" si="3">INT(I6+I6*L6)</f>
        <v>141</v>
      </c>
      <c r="N6" s="156"/>
      <c r="O6" s="162"/>
      <c r="P6" s="162"/>
      <c r="S6" s="156"/>
    </row>
    <row r="7">
      <c r="A7" s="157" t="s">
        <v>27</v>
      </c>
      <c r="B7" s="156">
        <f>'Combat level'!D6</f>
        <v>1</v>
      </c>
      <c r="C7" s="158">
        <f>Input!E9</f>
        <v>99</v>
      </c>
      <c r="D7" s="156">
        <f t="shared" si="1"/>
        <v>99</v>
      </c>
      <c r="E7" s="157"/>
      <c r="F7" s="158" t="str">
        <f>Input!F9</f>
        <v>Super strength</v>
      </c>
      <c r="G7" s="156">
        <f t="array" ref="G7">IF(ISNUMBER($F7)=TRUE,0,INDEX(Potions!$A$1:$C$27,MATCH($F7,Potions!$A$1:$A$27,0),MATCH(G$5,Potions!$A$1:$C$1,0)))</f>
        <v>0.15</v>
      </c>
      <c r="H7" s="156">
        <f t="array" ref="H7">IF(ISNUMBER($F7)=TRUE,$F7,INDEX(Potions!$A$1:$C$27,MATCH($F7,Potions!$A$1:$A$27,0),MATCH(H$5,Potions!$A$1:$C$1,0)))</f>
        <v>5</v>
      </c>
      <c r="I7" s="156">
        <f t="shared" si="2"/>
        <v>118</v>
      </c>
      <c r="J7" s="157"/>
      <c r="K7" s="158" t="str">
        <f>Input!G9</f>
        <v>Piety</v>
      </c>
      <c r="L7" s="156">
        <f t="array" ref="L7">IF(ISERROR(INDEX(Prayers!$A$1:$G$13,MATCH($K7,Prayers!$A$1:$A$13,0),MATCH($A7,Prayers!$A$1:$G$1,0)))=TRUE,K7,INDEX(Prayers!$A$1:$G$13,MATCH($K7,Prayers!$A$1:$A$13,0),MATCH($A7,Prayers!$A$1:$G$1,0)))</f>
        <v>0.23</v>
      </c>
      <c r="M7" s="156">
        <f t="shared" si="3"/>
        <v>145</v>
      </c>
      <c r="N7" s="156"/>
      <c r="O7" s="162"/>
      <c r="P7" s="162"/>
      <c r="S7" s="156"/>
    </row>
    <row r="8">
      <c r="A8" s="157" t="s">
        <v>31</v>
      </c>
      <c r="B8" s="156">
        <f>'Combat level'!D3</f>
        <v>1</v>
      </c>
      <c r="C8" s="158">
        <f>Input!E10</f>
        <v>99</v>
      </c>
      <c r="D8" s="156">
        <f t="shared" si="1"/>
        <v>99</v>
      </c>
      <c r="E8" s="157"/>
      <c r="F8" s="158" t="str">
        <f>Input!F10</f>
        <v>Super defence</v>
      </c>
      <c r="G8" s="156">
        <f t="array" ref="G8">IF(ISNUMBER($F8)=TRUE,0,INDEX(Potions!$A$1:$C$27,MATCH($F8,Potions!$A$1:$A$27,0),MATCH(G$5,Potions!$A$1:$C$1,0)))</f>
        <v>0.15</v>
      </c>
      <c r="H8" s="156">
        <f t="array" ref="H8">IF(ISNUMBER($F8)=TRUE,$F8,INDEX(Potions!$A$1:$C$27,MATCH($F8,Potions!$A$1:$A$27,0),MATCH(H$5,Potions!$A$1:$C$1,0)))</f>
        <v>5</v>
      </c>
      <c r="I8" s="156">
        <f t="shared" si="2"/>
        <v>118</v>
      </c>
      <c r="J8" s="157"/>
      <c r="K8" s="158" t="str">
        <f>IF(AND(ISBLANK(Input!G10),OR(K9=Prayers!A10,K10=Prayers!A9)),0.25,Input!G10)</f>
        <v>Piety</v>
      </c>
      <c r="L8" s="156">
        <f t="array" ref="L8">IF(ISERROR(INDEX(Prayers!$A$1:$G$13,MATCH($K8,Prayers!$A$1:$A$13,0),MATCH($A8,Prayers!$A$1:$G$1,0)))=TRUE,K8,INDEX(Prayers!$A$1:$G$13,MATCH($K8,Prayers!$A$1:$A$13,0),MATCH($A8,Prayers!$A$1:$G$1,0)))</f>
        <v>0.25</v>
      </c>
      <c r="M8" s="156">
        <f t="shared" si="3"/>
        <v>147</v>
      </c>
      <c r="N8" s="156"/>
      <c r="O8" s="162"/>
      <c r="P8" s="162"/>
      <c r="S8" s="156"/>
    </row>
    <row r="9">
      <c r="A9" s="157" t="s">
        <v>35</v>
      </c>
      <c r="B9" s="156">
        <f>'Combat level'!D8</f>
        <v>1</v>
      </c>
      <c r="C9" s="158">
        <f>Input!E11</f>
        <v>99</v>
      </c>
      <c r="D9" s="156">
        <f t="shared" si="1"/>
        <v>99</v>
      </c>
      <c r="E9" s="157"/>
      <c r="F9" s="158" t="str">
        <f>Input!F11</f>
        <v>Imbued heart</v>
      </c>
      <c r="G9" s="156">
        <f t="array" ref="G9">IF(ISNUMBER($F9)=TRUE,0,INDEX(Potions!$A$1:$C$27,MATCH($F9,Potions!$A$1:$A$27,0),MATCH(G$5,Potions!$A$1:$C$1,0)))</f>
        <v>0.1</v>
      </c>
      <c r="H9" s="156">
        <f t="array" ref="H9">IF(ISNUMBER($F9)=TRUE,$F9,INDEX(Potions!$A$1:$C$27,MATCH($F9,Potions!$A$1:$A$27,0),MATCH(H$5,Potions!$A$1:$C$1,0)))</f>
        <v>1</v>
      </c>
      <c r="I9" s="156">
        <f t="shared" si="2"/>
        <v>109</v>
      </c>
      <c r="J9" s="164"/>
      <c r="K9" s="158" t="str">
        <f>Input!G11</f>
        <v>Augury</v>
      </c>
      <c r="L9" s="156">
        <f t="array" ref="L9">IF(ISERROR(INDEX(Prayers!$A$1:$G$13,MATCH($K9,Prayers!$A$1:$A$13,0),MATCH($A9,Prayers!$A$1:$G$1,0)))=TRUE,K9,INDEX(Prayers!$A$1:$G$13,MATCH($K9,Prayers!$A$1:$A$13,0),MATCH($A9,Prayers!$A$1:$G$1,0)))</f>
        <v>0.25</v>
      </c>
      <c r="M9" s="156">
        <f t="shared" si="3"/>
        <v>136</v>
      </c>
      <c r="N9" s="156"/>
      <c r="O9" s="162"/>
      <c r="P9" s="162"/>
      <c r="S9" s="156"/>
    </row>
    <row r="10">
      <c r="A10" s="157" t="s">
        <v>123</v>
      </c>
      <c r="B10" s="156">
        <f>'Combat level'!D7</f>
        <v>1</v>
      </c>
      <c r="C10" s="158">
        <f>Input!E12</f>
        <v>99</v>
      </c>
      <c r="D10" s="156">
        <f t="shared" si="1"/>
        <v>99</v>
      </c>
      <c r="E10" s="157"/>
      <c r="F10" s="158" t="str">
        <f>Input!F12</f>
        <v>Ranging</v>
      </c>
      <c r="G10" s="156">
        <f t="array" ref="G10">IF(ISNUMBER($F10)=TRUE,0,INDEX(Potions!$A$1:$C$27,MATCH($F10,Potions!$A$1:$A$27,0),MATCH(G$5,Potions!$A$1:$C$1,0)))</f>
        <v>0.1</v>
      </c>
      <c r="H10" s="156">
        <f t="array" ref="H10">IF(ISNUMBER($F10)=TRUE,$F10,INDEX(Potions!$A$1:$C$27,MATCH($F10,Potions!$A$1:$A$27,0),MATCH(H$5,Potions!$A$1:$C$1,0)))</f>
        <v>4</v>
      </c>
      <c r="I10" s="156">
        <f t="shared" si="2"/>
        <v>112</v>
      </c>
      <c r="J10" s="157"/>
      <c r="K10" s="158" t="str">
        <f>Input!G12</f>
        <v>Rigour</v>
      </c>
      <c r="L10" s="156">
        <f t="array" ref="L10">IF(ISERROR(INDEX(Prayers!$A$1:$G$13,MATCH($K10,Prayers!$A$1:$A$13,0),MATCH($A10,Prayers!$A$1:$G$1,0)))=TRUE,K10,INDEX(Prayers!$A$1:$G$13,MATCH($K10,Prayers!$A$1:$A$13,0),MATCH($A10,Prayers!$A$1:$G$1,0)))</f>
        <v>0.2</v>
      </c>
      <c r="M10" s="156">
        <f t="shared" si="3"/>
        <v>134</v>
      </c>
      <c r="N10" s="156"/>
      <c r="O10" s="162"/>
      <c r="P10" s="162"/>
      <c r="S10" s="156"/>
    </row>
    <row r="11">
      <c r="A11" s="157" t="s">
        <v>124</v>
      </c>
      <c r="B11" s="156">
        <f t="shared" ref="B11:C11" si="4">B10</f>
        <v>1</v>
      </c>
      <c r="C11" s="158">
        <f t="shared" si="4"/>
        <v>99</v>
      </c>
      <c r="D11" s="156">
        <f t="shared" si="1"/>
        <v>99</v>
      </c>
      <c r="E11" s="157"/>
      <c r="F11" s="158" t="str">
        <f>Input!F12</f>
        <v>Ranging</v>
      </c>
      <c r="G11" s="156">
        <f t="array" ref="G11">IF(ISNUMBER($F11)=TRUE,0,INDEX(Potions!$A$1:$C$27,MATCH($F11,Potions!$A$1:$A$27,0),MATCH(G$5,Potions!$A$1:$C$1,0)))</f>
        <v>0.1</v>
      </c>
      <c r="H11" s="156">
        <f t="array" ref="H11">IF(ISNUMBER($F11)=TRUE,$F11,INDEX(Potions!$A$1:$C$27,MATCH($F11,Potions!$A$1:$A$27,0),MATCH(H$5,Potions!$A$1:$C$1,0)))</f>
        <v>4</v>
      </c>
      <c r="I11" s="156">
        <f t="shared" si="2"/>
        <v>112</v>
      </c>
      <c r="J11" s="157"/>
      <c r="K11" s="158" t="str">
        <f>K10</f>
        <v>Rigour</v>
      </c>
      <c r="L11" s="156">
        <f t="array" ref="L11">IF(ISERROR(INDEX(Prayers!$A$1:$G$13,MATCH($K11,Prayers!$A$1:$A$13,0),MATCH($A11,Prayers!$A$1:$G$1,0)))=TRUE,K11,INDEX(Prayers!$A$1:$G$13,MATCH($K11,Prayers!$A$1:$A$13,0),MATCH($A11,Prayers!$A$1:$G$1,0)))</f>
        <v>0.23</v>
      </c>
      <c r="M11" s="156">
        <f t="shared" si="3"/>
        <v>137</v>
      </c>
      <c r="N11" s="156"/>
      <c r="O11" s="162"/>
      <c r="P11" s="162"/>
      <c r="S11" s="156"/>
    </row>
    <row r="12">
      <c r="A12" s="157" t="s">
        <v>45</v>
      </c>
      <c r="B12" s="156">
        <f>'Combat level'!D2</f>
        <v>10</v>
      </c>
      <c r="C12" s="158">
        <f>Input!E13</f>
        <v>99</v>
      </c>
      <c r="D12" s="156">
        <f t="shared" si="1"/>
        <v>99</v>
      </c>
      <c r="E12" s="156"/>
      <c r="F12" s="156"/>
      <c r="G12" s="156"/>
      <c r="H12" s="156"/>
      <c r="I12" s="156">
        <f t="shared" si="2"/>
        <v>99</v>
      </c>
      <c r="J12" s="156"/>
      <c r="K12" s="156"/>
      <c r="L12" s="156"/>
      <c r="M12" s="156">
        <f t="shared" si="3"/>
        <v>99</v>
      </c>
      <c r="N12" s="156"/>
      <c r="O12" s="162"/>
      <c r="P12" s="162"/>
      <c r="S12" s="156"/>
    </row>
    <row r="13">
      <c r="A13" s="157" t="s">
        <v>49</v>
      </c>
      <c r="B13" s="156">
        <f>'Combat level'!D4</f>
        <v>1</v>
      </c>
      <c r="C13" s="158">
        <f>Input!E14</f>
        <v>99</v>
      </c>
      <c r="D13" s="156">
        <f t="shared" si="1"/>
        <v>99</v>
      </c>
      <c r="E13" s="156"/>
      <c r="F13" s="156"/>
      <c r="G13" s="156"/>
      <c r="H13" s="156"/>
      <c r="I13" s="156">
        <f t="shared" si="2"/>
        <v>99</v>
      </c>
      <c r="J13" s="156"/>
      <c r="K13" s="156"/>
      <c r="L13" s="156"/>
      <c r="M13" s="156">
        <f t="shared" si="3"/>
        <v>99</v>
      </c>
      <c r="N13" s="156"/>
      <c r="O13" s="162"/>
      <c r="P13" s="162"/>
      <c r="S13" s="156"/>
    </row>
    <row r="14">
      <c r="A14" s="157" t="s">
        <v>52</v>
      </c>
      <c r="B14" s="156"/>
      <c r="C14" s="158">
        <f>Input!E15</f>
        <v>99</v>
      </c>
      <c r="D14" s="156">
        <f t="shared" si="1"/>
        <v>99</v>
      </c>
      <c r="E14" s="156"/>
      <c r="F14" s="158" t="str">
        <f>Input!F15</f>
        <v/>
      </c>
      <c r="G14" s="156"/>
      <c r="H14" s="156">
        <f>if(F14="D pick spec",3,0)</f>
        <v>0</v>
      </c>
      <c r="I14" s="156">
        <f>D14+H14</f>
        <v>99</v>
      </c>
      <c r="J14" s="156"/>
      <c r="K14" s="156"/>
      <c r="L14" s="156"/>
      <c r="M14" s="156">
        <f t="shared" si="3"/>
        <v>99</v>
      </c>
      <c r="N14" s="156"/>
      <c r="O14" s="162"/>
      <c r="P14" s="162"/>
      <c r="S14" s="156"/>
    </row>
    <row r="15">
      <c r="A15" s="156"/>
      <c r="B15" s="156"/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62"/>
      <c r="P15" s="162"/>
      <c r="S15" s="156"/>
    </row>
    <row r="16">
      <c r="A16" s="165"/>
      <c r="H16" s="156"/>
      <c r="I16" s="156"/>
      <c r="J16" s="156"/>
      <c r="K16" s="156"/>
      <c r="L16" s="156"/>
      <c r="M16" s="156"/>
      <c r="N16" s="156"/>
      <c r="O16" s="162"/>
      <c r="P16" s="162"/>
      <c r="S16" s="156"/>
    </row>
    <row r="17">
      <c r="A17" s="157"/>
      <c r="B17" s="157" t="s">
        <v>125</v>
      </c>
      <c r="C17" s="157" t="s">
        <v>126</v>
      </c>
      <c r="D17" s="157" t="s">
        <v>127</v>
      </c>
      <c r="E17" s="157" t="s">
        <v>128</v>
      </c>
      <c r="F17" s="157" t="s">
        <v>129</v>
      </c>
      <c r="G17" s="157" t="s">
        <v>130</v>
      </c>
      <c r="H17" s="157" t="s">
        <v>131</v>
      </c>
      <c r="I17" s="156"/>
      <c r="J17" s="156"/>
      <c r="K17" s="156"/>
      <c r="L17" s="156"/>
      <c r="M17" s="156"/>
      <c r="N17" s="156"/>
      <c r="S17" s="156"/>
    </row>
    <row r="18">
      <c r="A18" s="157" t="str">
        <f t="shared" ref="A18:A23" si="5">A6</f>
        <v>Attack</v>
      </c>
      <c r="B18" s="158" t="str">
        <f>Input!E20</f>
        <v>*choose spell* *magic*</v>
      </c>
      <c r="C18" s="156" t="str">
        <f>IFERROR(__xludf.DUMMYFUNCTION("IF(ISBLANK(B18)=TRUE,0,SPLIT(B18,""*"",true))"),"choose spell")</f>
        <v>choose spell</v>
      </c>
      <c r="D18" s="166" t="str">
        <f>IFERROR(__xludf.DUMMYFUNCTION("""COMPUTED_VALUE""")," ")</f>
        <v> </v>
      </c>
      <c r="E18" s="156" t="str">
        <f>IFERROR(__xludf.DUMMYFUNCTION("""COMPUTED_VALUE"""),"magic")</f>
        <v>magic</v>
      </c>
      <c r="F18" s="156">
        <f>IF(OR(E18="Stab",E18="Slash",E18="Crush")=TRUE,IF(C18="ACCURATE",11,IF(C18="CONTROLLED",9,8)),8)</f>
        <v>8</v>
      </c>
      <c r="G18" s="156">
        <f t="shared" ref="G18:G23" si="6">F18+M6</f>
        <v>149</v>
      </c>
      <c r="H18" s="156" t="b">
        <f>if(C18="rapid",if(and(3&lt;Distance,Distance&lt;7),100%,75%),if(C18="accurate",if(Distance&gt;6,50%,if(and(Distance&gt;3,Distance&lt;7),75%,100%)),if(C18="long",if(Distance&lt;4,50%,if(and(Distance&gt;3,Distance&lt;7),75%,100%)))))</f>
        <v>0</v>
      </c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</row>
    <row r="19">
      <c r="A19" s="157" t="str">
        <f t="shared" si="5"/>
        <v>Strength</v>
      </c>
      <c r="B19" s="158" t="str">
        <f t="shared" ref="B19:B23" si="7">$B$18</f>
        <v>*choose spell* *magic*</v>
      </c>
      <c r="C19" s="156" t="str">
        <f>IFERROR(__xludf.DUMMYFUNCTION("IF(ISBLANK(B19)=TRUE,0,SPLIT(B19,""*"",true))"),"choose spell")</f>
        <v>choose spell</v>
      </c>
      <c r="D19" s="166" t="str">
        <f>IFERROR(__xludf.DUMMYFUNCTION("""COMPUTED_VALUE""")," ")</f>
        <v> </v>
      </c>
      <c r="E19" s="156" t="str">
        <f>IFERROR(__xludf.DUMMYFUNCTION("""COMPUTED_VALUE"""),"magic")</f>
        <v>magic</v>
      </c>
      <c r="F19" s="156">
        <f>IF(OR(E19="Stab",E19="Slash",E19="Crush")=TRUE,IF(C19="AGGRESSIVE",11,IF(C19="CONTROLLED",9,8)),8)</f>
        <v>8</v>
      </c>
      <c r="G19" s="156">
        <f t="shared" si="6"/>
        <v>153</v>
      </c>
      <c r="H19" s="156" t="b">
        <f>if(C19="rapid",if(and(3&lt;Distance,Distance&lt;7),100%,75%),if(C19="accurate",if(Distance&gt;6,50%,if(and(Distance&gt;3,Distance&lt;7),75%,100%)),if(C19="long",if(Distance&lt;4,50%,if(and(Distance&gt;3,Distance&lt;7),75%,100%)))))</f>
        <v>0</v>
      </c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56"/>
    </row>
    <row r="20">
      <c r="A20" s="157" t="str">
        <f t="shared" si="5"/>
        <v>Defence</v>
      </c>
      <c r="B20" s="158" t="str">
        <f t="shared" si="7"/>
        <v>*choose spell* *magic*</v>
      </c>
      <c r="C20" s="156" t="str">
        <f>IFERROR(__xludf.DUMMYFUNCTION("IF(ISBLANK(B20)=TRUE,0,SPLIT(B20,""*"",true))"),"choose spell")</f>
        <v>choose spell</v>
      </c>
      <c r="D20" s="166" t="str">
        <f>IFERROR(__xludf.DUMMYFUNCTION("""COMPUTED_VALUE""")," ")</f>
        <v> </v>
      </c>
      <c r="E20" s="156" t="str">
        <f>IFERROR(__xludf.DUMMYFUNCTION("""COMPUTED_VALUE"""),"magic")</f>
        <v>magic</v>
      </c>
      <c r="F20" s="156">
        <f>IF(C20="DEFENSIVE",11,IF(C20="LONG",11,IF(C20="CONTROLLED",9,8)))</f>
        <v>8</v>
      </c>
      <c r="G20" s="156">
        <f t="shared" si="6"/>
        <v>155</v>
      </c>
      <c r="H20" s="156" t="b">
        <f>if(C20="rapid",if(and(3&lt;Distance,Distance&lt;7),100%,75%),if(C20="accurate",if(Distance&gt;6,50%,if(and(Distance&gt;3,Distance&lt;7),75%,100%)),if(C20="long",if(Distance&lt;4,50%,if(and(Distance&gt;3,Distance&lt;7),75%,100%)))))</f>
        <v>0</v>
      </c>
      <c r="I20" s="156"/>
      <c r="J20" s="156"/>
      <c r="K20" s="156"/>
      <c r="L20" s="156"/>
      <c r="M20" s="156"/>
      <c r="N20" s="156"/>
      <c r="O20" s="156"/>
      <c r="P20" s="156"/>
      <c r="Q20" s="156"/>
      <c r="R20" s="156"/>
      <c r="S20" s="156"/>
    </row>
    <row r="21">
      <c r="A21" s="157" t="str">
        <f t="shared" si="5"/>
        <v>Magic</v>
      </c>
      <c r="B21" s="158" t="str">
        <f t="shared" si="7"/>
        <v>*choose spell* *magic*</v>
      </c>
      <c r="C21" s="156" t="str">
        <f>IFERROR(__xludf.DUMMYFUNCTION("IF(ISBLANK(B21)=TRUE,0,SPLIT(B21,""*"",true))"),"choose spell")</f>
        <v>choose spell</v>
      </c>
      <c r="D21" s="166" t="str">
        <f>IFERROR(__xludf.DUMMYFUNCTION("""COMPUTED_VALUE""")," ")</f>
        <v> </v>
      </c>
      <c r="E21" s="156" t="str">
        <f>IFERROR(__xludf.DUMMYFUNCTION("""COMPUTED_VALUE"""),"magic")</f>
        <v>magic</v>
      </c>
      <c r="F21" s="156">
        <f>IF(E21=A21,IF(C21="ACCURATE",11,IF(C21="LONG",9,8)),8)</f>
        <v>8</v>
      </c>
      <c r="G21" s="156">
        <f t="shared" si="6"/>
        <v>144</v>
      </c>
      <c r="H21" s="156" t="b">
        <f>if(C21="rapid",if(and(3&lt;Distance,Distance&lt;7),100%,75%),if(C21="accurate",if(Distance&gt;6,50%,if(and(Distance&gt;3,Distance&lt;7),75%,100%)),if(C21="long",if(Distance&lt;4,50%,if(and(Distance&gt;3,Distance&lt;7),75%,100%)))))</f>
        <v>0</v>
      </c>
      <c r="I21" s="156"/>
      <c r="J21" s="156"/>
      <c r="K21" s="156"/>
      <c r="L21" s="156"/>
      <c r="M21" s="156"/>
      <c r="N21" s="157"/>
      <c r="O21" s="156"/>
      <c r="P21" s="156"/>
      <c r="Q21" s="156"/>
      <c r="R21" s="156"/>
      <c r="S21" s="156"/>
    </row>
    <row r="22">
      <c r="A22" s="157" t="str">
        <f t="shared" si="5"/>
        <v>Ranged attack</v>
      </c>
      <c r="B22" s="158" t="str">
        <f t="shared" si="7"/>
        <v>*choose spell* *magic*</v>
      </c>
      <c r="C22" s="156" t="str">
        <f>IFERROR(__xludf.DUMMYFUNCTION("IF(ISBLANK(B22)=TRUE,0,SPLIT(B22,""*"",true))"),"choose spell")</f>
        <v>choose spell</v>
      </c>
      <c r="D22" s="166" t="str">
        <f>IFERROR(__xludf.DUMMYFUNCTION("""COMPUTED_VALUE""")," ")</f>
        <v> </v>
      </c>
      <c r="E22" s="156" t="str">
        <f>IFERROR(__xludf.DUMMYFUNCTION("""COMPUTED_VALUE"""),"magic")</f>
        <v>magic</v>
      </c>
      <c r="F22" s="156">
        <f>IF(E22&amp;" attack"=A22,IF(C22="ACCURATE",11,8),8)</f>
        <v>8</v>
      </c>
      <c r="G22" s="156">
        <f t="shared" si="6"/>
        <v>142</v>
      </c>
      <c r="H22" s="156" t="b">
        <f>if(C22="rapid",if(and(3&lt;Distance,Distance&lt;7),100%,75%),if(C22="accurate",if(Distance&gt;6,50%,if(and(Distance&gt;3,Distance&lt;7),75%,100%)),if(C22="long",if(Distance&lt;4,50%,if(and(Distance&gt;3,Distance&lt;7),75%,100%)))))</f>
        <v>0</v>
      </c>
      <c r="I22" s="156"/>
      <c r="J22" s="156"/>
      <c r="K22" s="156"/>
      <c r="L22" s="156"/>
      <c r="M22" s="156"/>
      <c r="N22" s="157"/>
      <c r="O22" s="156"/>
      <c r="P22" s="156"/>
      <c r="Q22" s="156"/>
      <c r="R22" s="156"/>
      <c r="S22" s="156"/>
    </row>
    <row r="23">
      <c r="A23" s="157" t="str">
        <f t="shared" si="5"/>
        <v>Ranged strength</v>
      </c>
      <c r="B23" s="158" t="str">
        <f t="shared" si="7"/>
        <v>*choose spell* *magic*</v>
      </c>
      <c r="C23" s="156" t="str">
        <f>IFERROR(__xludf.DUMMYFUNCTION("IF(ISBLANK(B23)=TRUE,0,SPLIT(B23,""*"",true))"),"choose spell")</f>
        <v>choose spell</v>
      </c>
      <c r="D23" s="166" t="str">
        <f>IFERROR(__xludf.DUMMYFUNCTION("""COMPUTED_VALUE""")," ")</f>
        <v> </v>
      </c>
      <c r="E23" s="156" t="str">
        <f>IFERROR(__xludf.DUMMYFUNCTION("""COMPUTED_VALUE"""),"magic")</f>
        <v>magic</v>
      </c>
      <c r="F23" s="156">
        <f>IF(E23&amp;" strength"=A23,IF(C23="ACCURATE",11,8),8)</f>
        <v>8</v>
      </c>
      <c r="G23" s="156">
        <f t="shared" si="6"/>
        <v>145</v>
      </c>
      <c r="H23" s="156" t="b">
        <f>if(C23="rapid",if(and(3&lt;Distance,Distance&lt;7),100%,75%),if(C23="accurate",if(Distance&gt;6,50%,if(and(Distance&gt;3,Distance&lt;7),75%,100%)),if(C23="long",if(Distance&lt;4,50%,if(and(Distance&gt;3,Distance&lt;7),75%,100%)))))</f>
        <v>0</v>
      </c>
      <c r="I23" s="156"/>
      <c r="J23" s="156"/>
      <c r="K23" s="156"/>
      <c r="L23" s="156"/>
      <c r="M23" s="156"/>
      <c r="N23" s="157"/>
      <c r="O23" s="156"/>
      <c r="P23" s="156"/>
      <c r="Q23" s="156"/>
      <c r="R23" s="156"/>
      <c r="S23" s="156"/>
    </row>
    <row r="24">
      <c r="A24" s="156"/>
      <c r="B24" s="156"/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</row>
    <row r="25">
      <c r="A25" s="156"/>
      <c r="B25" s="156"/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</row>
    <row r="26">
      <c r="A26" s="167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56"/>
    </row>
    <row r="27">
      <c r="A27" s="156"/>
      <c r="B27" s="157" t="str">
        <f t="shared" ref="B27:G27" si="8">B17</f>
        <v>Combat option</v>
      </c>
      <c r="C27" s="157" t="str">
        <f t="shared" si="8"/>
        <v>Experience</v>
      </c>
      <c r="D27" s="157" t="str">
        <f t="shared" si="8"/>
        <v>Blank</v>
      </c>
      <c r="E27" s="157" t="str">
        <f t="shared" si="8"/>
        <v>Style</v>
      </c>
      <c r="F27" s="157" t="str">
        <f t="shared" si="8"/>
        <v>Bonus</v>
      </c>
      <c r="G27" s="157" t="str">
        <f t="shared" si="8"/>
        <v>Invisible level(2/3)</v>
      </c>
      <c r="H27" s="157" t="s">
        <v>131</v>
      </c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</row>
    <row r="28">
      <c r="A28" s="157" t="str">
        <f t="shared" ref="A28:A33" si="9">A18</f>
        <v>Attack</v>
      </c>
      <c r="B28" s="158" t="str">
        <f>Input!M20</f>
        <v/>
      </c>
      <c r="C28" s="156">
        <f>IFERROR(__xludf.DUMMYFUNCTION("IF(ISBLANK(B28)=TRUE,0,SPLIT(B28,""*"",true))"),0.0)</f>
        <v>0</v>
      </c>
      <c r="D28" s="166"/>
      <c r="E28" s="156"/>
      <c r="F28" s="156">
        <f>IF(OR(E28="Stab",E28="Slash",E28="Crush")=TRUE,IF(C28="ACCURATE",11,IF(C28="CONTROLLED",9,8)),8)</f>
        <v>8</v>
      </c>
      <c r="G28" s="156">
        <f t="shared" ref="G28:G33" si="10">M6+F28</f>
        <v>149</v>
      </c>
      <c r="H28" s="156" t="b">
        <f>if(C28="rapid",if(and(3&lt;Distance,Distance&lt;7),100%,75%),if(C28="accurate",if(Distance&gt;6,50%,if(and(Distance&gt;3,Distance&lt;7),75%,100%)),if(C28="long",if(Distance&lt;4,50%,if(and(Distance&gt;3,Distance&lt;7),75%,100%)))))</f>
        <v>0</v>
      </c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</row>
    <row r="29">
      <c r="A29" s="157" t="str">
        <f t="shared" si="9"/>
        <v>Strength</v>
      </c>
      <c r="B29" s="158" t="str">
        <f t="shared" ref="B29:B33" si="11">$B$28</f>
        <v/>
      </c>
      <c r="C29" s="156">
        <f>IFERROR(__xludf.DUMMYFUNCTION("IF(ISBLANK(B29)=TRUE,0,SPLIT(B29,""*"",true))"),0.0)</f>
        <v>0</v>
      </c>
      <c r="D29" s="166"/>
      <c r="E29" s="156"/>
      <c r="F29" s="156">
        <f>IF(OR(E29="Stab",E29="Slash",E29="Crush")=TRUE,IF(C29="AGGRESSIVE",11,IF(C29="CONTROLLED",9,8)),8)</f>
        <v>8</v>
      </c>
      <c r="G29" s="156">
        <f t="shared" si="10"/>
        <v>153</v>
      </c>
      <c r="H29" s="156" t="b">
        <f>if(C29="rapid",if(and(3&lt;Distance,Distance&lt;7),100%,75%),if(C29="accurate",if(Distance&gt;6,50%,if(and(Distance&gt;3,Distance&lt;7),75%,100%)),if(C29="long",if(Distance&lt;4,50%,if(and(Distance&gt;3,Distance&lt;7),75%,100%)))))</f>
        <v>0</v>
      </c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</row>
    <row r="30">
      <c r="A30" s="157" t="str">
        <f t="shared" si="9"/>
        <v>Defence</v>
      </c>
      <c r="B30" s="158" t="str">
        <f t="shared" si="11"/>
        <v/>
      </c>
      <c r="C30" s="156">
        <f>IFERROR(__xludf.DUMMYFUNCTION("IF(ISBLANK(B30)=TRUE,0,SPLIT(B30,""*"",true))"),0.0)</f>
        <v>0</v>
      </c>
      <c r="D30" s="166"/>
      <c r="E30" s="156"/>
      <c r="F30" s="156">
        <f>IF(C30="DEFENSIVE",11,IF(C30="LONG",11,IF(C30="CONTROLLED",9,8)))</f>
        <v>8</v>
      </c>
      <c r="G30" s="156">
        <f t="shared" si="10"/>
        <v>155</v>
      </c>
      <c r="H30" s="156" t="b">
        <f>if(C30="rapid",if(and(3&lt;Distance,Distance&lt;7),100%,75%),if(C30="accurate",if(Distance&gt;6,50%,if(and(Distance&gt;3,Distance&lt;7),75%,100%)),if(C30="long",if(Distance&lt;4,50%,if(and(Distance&gt;3,Distance&lt;7),75%,100%)))))</f>
        <v>0</v>
      </c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</row>
    <row r="31">
      <c r="A31" s="157" t="str">
        <f t="shared" si="9"/>
        <v>Magic</v>
      </c>
      <c r="B31" s="158" t="str">
        <f t="shared" si="11"/>
        <v/>
      </c>
      <c r="C31" s="156">
        <f>IFERROR(__xludf.DUMMYFUNCTION("IF(ISBLANK(B31)=TRUE,0,SPLIT(B31,""*"",true))"),0.0)</f>
        <v>0</v>
      </c>
      <c r="D31" s="166"/>
      <c r="E31" s="156"/>
      <c r="F31" s="156">
        <f>IF(E31=A31,IF(C31="ACCURATE",11,IF(C31="LONG",9,8)),8)</f>
        <v>8</v>
      </c>
      <c r="G31" s="156">
        <f t="shared" si="10"/>
        <v>144</v>
      </c>
      <c r="H31" s="156" t="b">
        <f>if(C31="rapid",if(and(3&lt;Distance,Distance&lt;7),100%,75%),if(C31="accurate",if(Distance&gt;6,50%,if(and(Distance&gt;3,Distance&lt;7),75%,100%)),if(C31="long",if(Distance&lt;4,50%,if(and(Distance&gt;3,Distance&lt;7),75%,100%)))))</f>
        <v>0</v>
      </c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6"/>
    </row>
    <row r="32">
      <c r="A32" s="157" t="str">
        <f t="shared" si="9"/>
        <v>Ranged attack</v>
      </c>
      <c r="B32" s="158" t="str">
        <f t="shared" si="11"/>
        <v/>
      </c>
      <c r="C32" s="156">
        <f>IFERROR(__xludf.DUMMYFUNCTION("IF(ISBLANK(B32)=TRUE,0,SPLIT(B32,""*"",true))"),0.0)</f>
        <v>0</v>
      </c>
      <c r="D32" s="166"/>
      <c r="E32" s="156"/>
      <c r="F32" s="156">
        <f>IF(E32&amp;" attack"=A32,IF(C32="ACCURATE",11,8),8)</f>
        <v>8</v>
      </c>
      <c r="G32" s="156">
        <f t="shared" si="10"/>
        <v>142</v>
      </c>
      <c r="H32" s="156" t="b">
        <f>if(C32="rapid",if(and(3&lt;Distance,Distance&lt;7),100%,75%),if(C32="accurate",if(Distance&gt;6,50%,if(and(Distance&gt;3,Distance&lt;7),75%,100%)),if(C32="long",if(Distance&lt;4,50%,if(and(Distance&gt;3,Distance&lt;7),75%,100%)))))</f>
        <v>0</v>
      </c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56"/>
    </row>
    <row r="33">
      <c r="A33" s="157" t="str">
        <f t="shared" si="9"/>
        <v>Ranged strength</v>
      </c>
      <c r="B33" s="158" t="str">
        <f t="shared" si="11"/>
        <v/>
      </c>
      <c r="C33" s="156">
        <f>IFERROR(__xludf.DUMMYFUNCTION("IF(ISBLANK(B33)=TRUE,0,SPLIT(B33,""*"",true))"),0.0)</f>
        <v>0</v>
      </c>
      <c r="D33" s="166"/>
      <c r="E33" s="156"/>
      <c r="F33" s="156">
        <f>IF(E33&amp;" strength"=A33,IF(C33="ACCURATE",11,8),8)</f>
        <v>8</v>
      </c>
      <c r="G33" s="156">
        <f t="shared" si="10"/>
        <v>145</v>
      </c>
      <c r="H33" s="156" t="b">
        <f>if(C33="rapid",if(and(3&lt;Distance,Distance&lt;7),100%,75%),if(C33="accurate",if(Distance&gt;6,50%,if(and(Distance&gt;3,Distance&lt;7),75%,100%)),if(C33="long",if(Distance&lt;4,50%,if(and(Distance&gt;3,Distance&lt;7),75%,100%)))))</f>
        <v>0</v>
      </c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</row>
    <row r="34">
      <c r="A34" s="156"/>
      <c r="B34" s="156"/>
      <c r="C34" s="156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</row>
    <row r="35">
      <c r="A35" s="156"/>
      <c r="B35" s="156"/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6"/>
    </row>
    <row r="36">
      <c r="A36" s="165"/>
      <c r="B36" s="165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56"/>
      <c r="R36" s="156"/>
      <c r="S36" s="156"/>
    </row>
    <row r="37">
      <c r="A37" s="157" t="s">
        <v>59</v>
      </c>
      <c r="B37" s="157" t="s">
        <v>132</v>
      </c>
      <c r="C37" s="157" t="str">
        <f>Items!B1</f>
        <v>Stab attack</v>
      </c>
      <c r="D37" s="157" t="str">
        <f>Items!C1</f>
        <v>Slash attack</v>
      </c>
      <c r="E37" s="157" t="str">
        <f>Items!D1</f>
        <v>Crush attack</v>
      </c>
      <c r="F37" s="157" t="str">
        <f>Items!E1</f>
        <v>Magic attack</v>
      </c>
      <c r="G37" s="157" t="str">
        <f>Items!F1</f>
        <v>Ranged attack</v>
      </c>
      <c r="H37" s="157" t="str">
        <f>Items!G1</f>
        <v>Stab defence</v>
      </c>
      <c r="I37" s="157" t="str">
        <f>Items!H1</f>
        <v>Slash defence</v>
      </c>
      <c r="J37" s="157" t="str">
        <f>Items!I1</f>
        <v>Crush defence</v>
      </c>
      <c r="K37" s="157" t="str">
        <f>Items!J1</f>
        <v>Magic defence</v>
      </c>
      <c r="L37" s="157" t="str">
        <f>Items!K1</f>
        <v>Ranged defence</v>
      </c>
      <c r="M37" s="157" t="str">
        <f>Items!L1</f>
        <v>Melee strength</v>
      </c>
      <c r="N37" s="157" t="str">
        <f>Items!M1</f>
        <v>Ranged strength</v>
      </c>
      <c r="O37" s="157" t="str">
        <f>Items!N1</f>
        <v>Magic damage</v>
      </c>
      <c r="P37" s="157" t="str">
        <f>Items!O1</f>
        <v>Prayer</v>
      </c>
      <c r="Q37" s="157"/>
      <c r="R37" s="157"/>
      <c r="S37" s="156"/>
    </row>
    <row r="38">
      <c r="A38" s="157" t="s">
        <v>64</v>
      </c>
      <c r="B38" s="158" t="str">
        <f>IF(ISBLANK(Input!E19),"None",Input!E19)</f>
        <v>Harmonised nightmare staff</v>
      </c>
      <c r="C38" s="156" t="str">
        <f t="array" ref="C38">IF(ISERROR(INDEX(Items!$A$1:$V$698,MATCH($B38,Items!$A$1:$A$698,0),MATCH(C$37,Items!$A$1:$V$1,0)))=TRUE,,INDEX(Items!$A$1:$V$698,MATCH($B38,Items!$A$1:$A$698,0),MATCH(C$37,Items!$A$1:$V$1,0)))</f>
        <v/>
      </c>
      <c r="D38" s="156" t="str">
        <f t="array" ref="D38">IF(ISERROR(INDEX(Items!$A$1:$V$698,MATCH($B38,Items!$A$1:$A$698,0),MATCH(D$37,Items!$A$1:$V$1,0)))=TRUE,,INDEX(Items!$A$1:$V$698,MATCH($B38,Items!$A$1:$A$698,0),MATCH(D$37,Items!$A$1:$V$1,0)))</f>
        <v/>
      </c>
      <c r="E38" s="156" t="str">
        <f t="array" ref="E38">IF(ISERROR(INDEX(Items!$A$1:$V$698,MATCH($B38,Items!$A$1:$A$698,0),MATCH(E$37,Items!$A$1:$V$1,0)))=TRUE,,INDEX(Items!$A$1:$V$698,MATCH($B38,Items!$A$1:$A$698,0),MATCH(E$37,Items!$A$1:$V$1,0)))</f>
        <v/>
      </c>
      <c r="F38" s="156">
        <f t="array" ref="F38">IF(ISERROR(INDEX(Items!$A$1:$V$698,MATCH($B38,Items!$A$1:$A$698,0),MATCH(F$37,Items!$A$1:$V$1,0)))=TRUE,,INDEX(Items!$A$1:$V$698,MATCH($B38,Items!$A$1:$A$698,0),MATCH(F$37,Items!$A$1:$V$1,0)))</f>
        <v>16</v>
      </c>
      <c r="G38" s="156" t="str">
        <f t="array" ref="G38">IF(ISERROR(INDEX(Items!$A$1:$V$698,MATCH($B38,Items!$A$1:$A$698,0),MATCH(G$37,Items!$A$1:$V$1,0)))=TRUE,,INDEX(Items!$A$1:$V$698,MATCH($B38,Items!$A$1:$A$698,0),MATCH(G$37,Items!$A$1:$V$1,0)))</f>
        <v/>
      </c>
      <c r="H38" s="156" t="str">
        <f t="array" ref="H38">IF(ISERROR(INDEX(Items!$A$1:$V$698,MATCH($B38,Items!$A$1:$A$698,0),MATCH(H$37,Items!$A$1:$V$1,0)))=TRUE,,INDEX(Items!$A$1:$V$698,MATCH($B38,Items!$A$1:$A$698,0),MATCH(H$37,Items!$A$1:$V$1,0)))</f>
        <v/>
      </c>
      <c r="I38" s="156" t="str">
        <f t="array" ref="I38">IF(ISERROR(INDEX(Items!$A$1:$V$698,MATCH($B38,Items!$A$1:$A$698,0),MATCH(I$37,Items!$A$1:$V$1,0)))=TRUE,,INDEX(Items!$A$1:$V$698,MATCH($B38,Items!$A$1:$A$698,0),MATCH(I$37,Items!$A$1:$V$1,0)))</f>
        <v/>
      </c>
      <c r="J38" s="156" t="str">
        <f t="array" ref="J38">IF(ISERROR(INDEX(Items!$A$1:$V$698,MATCH($B38,Items!$A$1:$A$698,0),MATCH(J$37,Items!$A$1:$V$1,0)))=TRUE,,INDEX(Items!$A$1:$V$698,MATCH($B38,Items!$A$1:$A$698,0),MATCH(J$37,Items!$A$1:$V$1,0)))</f>
        <v/>
      </c>
      <c r="K38" s="156">
        <f t="array" ref="K38">IF(ISERROR(INDEX(Items!$A$1:$V$698,MATCH($B38,Items!$A$1:$A$698,0),MATCH(K$37,Items!$A$1:$V$1,0)))=TRUE,,INDEX(Items!$A$1:$V$698,MATCH($B38,Items!$A$1:$A$698,0),MATCH(K$37,Items!$A$1:$V$1,0)))</f>
        <v>14</v>
      </c>
      <c r="L38" s="156" t="str">
        <f t="array" ref="L38">IF(ISERROR(INDEX(Items!$A$1:$V$698,MATCH($B38,Items!$A$1:$A$698,0),MATCH(L$37,Items!$A$1:$V$1,0)))=TRUE,,INDEX(Items!$A$1:$V$698,MATCH($B38,Items!$A$1:$A$698,0),MATCH(L$37,Items!$A$1:$V$1,0)))</f>
        <v/>
      </c>
      <c r="M38" s="156" t="str">
        <f t="array" ref="M38">IF(ISERROR(INDEX(Items!$A$1:$V$698,MATCH($B38,Items!$A$1:$A$698,0),MATCH(M$37,Items!$A$1:$V$1,0)))=TRUE,,INDEX(Items!$A$1:$V$698,MATCH($B38,Items!$A$1:$A$698,0),MATCH(M$37,Items!$A$1:$V$1,0)))</f>
        <v/>
      </c>
      <c r="N38" s="156" t="str">
        <f t="array" ref="N38">IF(ISERROR(INDEX(Items!$A$1:$V$698,MATCH($B38,Items!$A$1:$A$698,0),MATCH(N$37,Items!$A$1:$V$1,0)))=TRUE,,INDEX(Items!$A$1:$V$698,MATCH($B38,Items!$A$1:$A$698,0),MATCH(N$37,Items!$A$1:$V$1,0)))</f>
        <v/>
      </c>
      <c r="O38" s="156">
        <f t="array" ref="O38">IF(ISERROR(INDEX(Items!$A$1:$V$698,MATCH($B38,Items!$A$1:$A$698,0),MATCH(O$37,Items!$A$1:$V$1,0)))=TRUE,,INDEX(Items!$A$1:$V$698,MATCH($B38,Items!$A$1:$A$698,0),MATCH(O$37,Items!$A$1:$V$1,0)))</f>
        <v>0.15</v>
      </c>
      <c r="P38" s="156" t="str">
        <f t="array" ref="P38">IF(ISERROR(INDEX(Items!$A$1:$V$698,MATCH($B38,Items!$A$1:$A$698,0),MATCH(P$37,Items!$A$1:$V$1,0)))=TRUE,,INDEX(Items!$A$1:$V$698,MATCH($B38,Items!$A$1:$A$698,0),MATCH(P$37,Items!$A$1:$V$1,0)))</f>
        <v/>
      </c>
      <c r="Q38" s="156"/>
      <c r="R38" s="156"/>
      <c r="S38" s="156"/>
    </row>
    <row r="39">
      <c r="A39" s="157" t="s">
        <v>71</v>
      </c>
      <c r="B39" s="158" t="str">
        <f>Input!E21</f>
        <v>Fire surge</v>
      </c>
      <c r="C39" s="156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</row>
    <row r="40">
      <c r="A40" s="157" t="s">
        <v>75</v>
      </c>
      <c r="B40" s="158" t="str">
        <f>Input!E22</f>
        <v/>
      </c>
      <c r="C40" s="156" t="str">
        <f t="array" ref="C40">IF(ISERROR(INDEX(Items!$A$1:$V$698,MATCH($B40,Items!$A$1:$A$698,0),MATCH(C$37,Items!$A$1:$V$1,0)))=TRUE,,INDEX(Items!$A$1:$V$698,MATCH($B40,Items!$A$1:$A$698,0),MATCH(C$37,Items!$A$1:$V$1,0)))</f>
        <v/>
      </c>
      <c r="D40" s="156" t="str">
        <f t="array" ref="D40">IF(ISERROR(INDEX(Items!$A$1:$V$698,MATCH($B40,Items!$A$1:$A$698,0),MATCH(D$37,Items!$A$1:$V$1,0)))=TRUE,,INDEX(Items!$A$1:$V$698,MATCH($B40,Items!$A$1:$A$698,0),MATCH(D$37,Items!$A$1:$V$1,0)))</f>
        <v/>
      </c>
      <c r="E40" s="156" t="str">
        <f t="array" ref="E40">IF(ISERROR(INDEX(Items!$A$1:$V$698,MATCH($B40,Items!$A$1:$A$698,0),MATCH(E$37,Items!$A$1:$V$1,0)))=TRUE,,INDEX(Items!$A$1:$V$698,MATCH($B40,Items!$A$1:$A$698,0),MATCH(E$37,Items!$A$1:$V$1,0)))</f>
        <v/>
      </c>
      <c r="F40" s="156" t="str">
        <f t="array" ref="F40">IF(ISERROR(INDEX(Items!$A$1:$V$698,MATCH($B40,Items!$A$1:$A$698,0),MATCH(F$37,Items!$A$1:$V$1,0)))=TRUE,,INDEX(Items!$A$1:$V$698,MATCH($B40,Items!$A$1:$A$698,0),MATCH(F$37,Items!$A$1:$V$1,0)))</f>
        <v/>
      </c>
      <c r="G40" s="156" t="str">
        <f t="array" ref="G40">IF(ISERROR(INDEX(Items!$A$1:$V$698,MATCH($B40,Items!$A$1:$A$698,0),MATCH(G$37,Items!$A$1:$V$1,0)))=TRUE,,INDEX(Items!$A$1:$V$698,MATCH($B40,Items!$A$1:$A$698,0),MATCH(G$37,Items!$A$1:$V$1,0)))</f>
        <v/>
      </c>
      <c r="H40" s="156" t="str">
        <f t="array" ref="H40">IF(ISERROR(INDEX(Items!$A$1:$V$698,MATCH($B40,Items!$A$1:$A$698,0),MATCH(H$37,Items!$A$1:$V$1,0)))=TRUE,,INDEX(Items!$A$1:$V$698,MATCH($B40,Items!$A$1:$A$698,0),MATCH(H$37,Items!$A$1:$V$1,0)))</f>
        <v/>
      </c>
      <c r="I40" s="156" t="str">
        <f t="array" ref="I40">IF(ISERROR(INDEX(Items!$A$1:$V$698,MATCH($B40,Items!$A$1:$A$698,0),MATCH(I$37,Items!$A$1:$V$1,0)))=TRUE,,INDEX(Items!$A$1:$V$698,MATCH($B40,Items!$A$1:$A$698,0),MATCH(I$37,Items!$A$1:$V$1,0)))</f>
        <v/>
      </c>
      <c r="J40" s="156" t="str">
        <f t="array" ref="J40">IF(ISERROR(INDEX(Items!$A$1:$V$698,MATCH($B40,Items!$A$1:$A$698,0),MATCH(J$37,Items!$A$1:$V$1,0)))=TRUE,,INDEX(Items!$A$1:$V$698,MATCH($B40,Items!$A$1:$A$698,0),MATCH(J$37,Items!$A$1:$V$1,0)))</f>
        <v/>
      </c>
      <c r="K40" s="156" t="str">
        <f t="array" ref="K40">IF(ISERROR(INDEX(Items!$A$1:$V$698,MATCH($B40,Items!$A$1:$A$698,0),MATCH(K$37,Items!$A$1:$V$1,0)))=TRUE,,INDEX(Items!$A$1:$V$698,MATCH($B40,Items!$A$1:$A$698,0),MATCH(K$37,Items!$A$1:$V$1,0)))</f>
        <v/>
      </c>
      <c r="L40" s="156" t="str">
        <f t="array" ref="L40">IF(ISERROR(INDEX(Items!$A$1:$V$698,MATCH($B40,Items!$A$1:$A$698,0),MATCH(L$37,Items!$A$1:$V$1,0)))=TRUE,,INDEX(Items!$A$1:$V$698,MATCH($B40,Items!$A$1:$A$698,0),MATCH(L$37,Items!$A$1:$V$1,0)))</f>
        <v/>
      </c>
      <c r="M40" s="156" t="str">
        <f t="array" ref="M40">IF(ISERROR(INDEX(Items!$A$1:$V$698,MATCH($B40,Items!$A$1:$A$698,0),MATCH(M$37,Items!$A$1:$V$1,0)))=TRUE,,INDEX(Items!$A$1:$V$698,MATCH($B40,Items!$A$1:$A$698,0),MATCH(M$37,Items!$A$1:$V$1,0)))</f>
        <v/>
      </c>
      <c r="N40" s="156" t="str">
        <f t="array" ref="N40">IF(ISERROR(INDEX(Items!$A$1:$V$698,MATCH($B40,Items!$A$1:$A$698,0),MATCH(N$37,Items!$A$1:$V$1,0)))=TRUE,,INDEX(Items!$A$1:$V$698,MATCH($B40,Items!$A$1:$A$698,0),MATCH(N$37,Items!$A$1:$V$1,0)))</f>
        <v/>
      </c>
      <c r="O40" s="156" t="str">
        <f t="array" ref="O40">IF(ISERROR(INDEX(Items!$A$1:$V$698,MATCH($B40,Items!$A$1:$A$698,0),MATCH(O$37,Items!$A$1:$V$1,0)))=TRUE,,INDEX(Items!$A$1:$V$698,MATCH($B40,Items!$A$1:$A$698,0),MATCH(O$37,Items!$A$1:$V$1,0)))</f>
        <v/>
      </c>
      <c r="P40" s="156" t="str">
        <f t="array" ref="P40">IF(ISERROR(INDEX(Items!$A$1:$V$698,MATCH($B40,Items!$A$1:$A$698,0),MATCH(P$37,Items!$A$1:$V$1,0)))=TRUE,,INDEX(Items!$A$1:$V$698,MATCH($B40,Items!$A$1:$A$698,0),MATCH(P$37,Items!$A$1:$V$1,0)))</f>
        <v/>
      </c>
      <c r="Q40" s="156"/>
      <c r="R40" s="156"/>
      <c r="S40" s="156"/>
    </row>
    <row r="41">
      <c r="A41" s="157" t="s">
        <v>78</v>
      </c>
      <c r="B41" s="158" t="str">
        <f>Input!E23</f>
        <v>Ancestral hat</v>
      </c>
      <c r="C41" s="156" t="str">
        <f t="array" ref="C41">IF(ISERROR(INDEX(Items!$A$1:$V$698,MATCH($B41,Items!$A$1:$A$698,0),MATCH(C$37,Items!$A$1:$V$1,0)))=TRUE,,INDEX(Items!$A$1:$V$698,MATCH($B41,Items!$A$1:$A$698,0),MATCH(C$37,Items!$A$1:$V$1,0)))</f>
        <v/>
      </c>
      <c r="D41" s="156" t="str">
        <f t="array" ref="D41">IF(ISERROR(INDEX(Items!$A$1:$V$698,MATCH($B41,Items!$A$1:$A$698,0),MATCH(D$37,Items!$A$1:$V$1,0)))=TRUE,,INDEX(Items!$A$1:$V$698,MATCH($B41,Items!$A$1:$A$698,0),MATCH(D$37,Items!$A$1:$V$1,0)))</f>
        <v/>
      </c>
      <c r="E41" s="156" t="str">
        <f t="array" ref="E41">IF(ISERROR(INDEX(Items!$A$1:$V$698,MATCH($B41,Items!$A$1:$A$698,0),MATCH(E$37,Items!$A$1:$V$1,0)))=TRUE,,INDEX(Items!$A$1:$V$698,MATCH($B41,Items!$A$1:$A$698,0),MATCH(E$37,Items!$A$1:$V$1,0)))</f>
        <v/>
      </c>
      <c r="F41" s="156">
        <f t="array" ref="F41">IF(ISERROR(INDEX(Items!$A$1:$V$698,MATCH($B41,Items!$A$1:$A$698,0),MATCH(F$37,Items!$A$1:$V$1,0)))=TRUE,,INDEX(Items!$A$1:$V$698,MATCH($B41,Items!$A$1:$A$698,0),MATCH(F$37,Items!$A$1:$V$1,0)))</f>
        <v>8</v>
      </c>
      <c r="G41" s="156">
        <f t="array" ref="G41">IF(ISERROR(INDEX(Items!$A$1:$V$698,MATCH($B41,Items!$A$1:$A$698,0),MATCH(G$37,Items!$A$1:$V$1,0)))=TRUE,,INDEX(Items!$A$1:$V$698,MATCH($B41,Items!$A$1:$A$698,0),MATCH(G$37,Items!$A$1:$V$1,0)))</f>
        <v>-2</v>
      </c>
      <c r="H41" s="156">
        <f t="array" ref="H41">IF(ISERROR(INDEX(Items!$A$1:$V$698,MATCH($B41,Items!$A$1:$A$698,0),MATCH(H$37,Items!$A$1:$V$1,0)))=TRUE,,INDEX(Items!$A$1:$V$698,MATCH($B41,Items!$A$1:$A$698,0),MATCH(H$37,Items!$A$1:$V$1,0)))</f>
        <v>12</v>
      </c>
      <c r="I41" s="156">
        <f t="array" ref="I41">IF(ISERROR(INDEX(Items!$A$1:$V$698,MATCH($B41,Items!$A$1:$A$698,0),MATCH(I$37,Items!$A$1:$V$1,0)))=TRUE,,INDEX(Items!$A$1:$V$698,MATCH($B41,Items!$A$1:$A$698,0),MATCH(I$37,Items!$A$1:$V$1,0)))</f>
        <v>11</v>
      </c>
      <c r="J41" s="156">
        <f t="array" ref="J41">IF(ISERROR(INDEX(Items!$A$1:$V$698,MATCH($B41,Items!$A$1:$A$698,0),MATCH(J$37,Items!$A$1:$V$1,0)))=TRUE,,INDEX(Items!$A$1:$V$698,MATCH($B41,Items!$A$1:$A$698,0),MATCH(J$37,Items!$A$1:$V$1,0)))</f>
        <v>13</v>
      </c>
      <c r="K41" s="156">
        <f t="array" ref="K41">IF(ISERROR(INDEX(Items!$A$1:$V$698,MATCH($B41,Items!$A$1:$A$698,0),MATCH(K$37,Items!$A$1:$V$1,0)))=TRUE,,INDEX(Items!$A$1:$V$698,MATCH($B41,Items!$A$1:$A$698,0),MATCH(K$37,Items!$A$1:$V$1,0)))</f>
        <v>5</v>
      </c>
      <c r="L41" s="156">
        <f t="array" ref="L41">IF(ISERROR(INDEX(Items!$A$1:$V$698,MATCH($B41,Items!$A$1:$A$698,0),MATCH(L$37,Items!$A$1:$V$1,0)))=TRUE,,INDEX(Items!$A$1:$V$698,MATCH($B41,Items!$A$1:$A$698,0),MATCH(L$37,Items!$A$1:$V$1,0)))</f>
        <v>0</v>
      </c>
      <c r="M41" s="156" t="str">
        <f t="array" ref="M41">IF(ISERROR(INDEX(Items!$A$1:$V$698,MATCH($B41,Items!$A$1:$A$698,0),MATCH(M$37,Items!$A$1:$V$1,0)))=TRUE,,INDEX(Items!$A$1:$V$698,MATCH($B41,Items!$A$1:$A$698,0),MATCH(M$37,Items!$A$1:$V$1,0)))</f>
        <v/>
      </c>
      <c r="N41" s="156" t="str">
        <f t="array" ref="N41">IF(ISERROR(INDEX(Items!$A$1:$V$698,MATCH($B41,Items!$A$1:$A$698,0),MATCH(N$37,Items!$A$1:$V$1,0)))=TRUE,,INDEX(Items!$A$1:$V$698,MATCH($B41,Items!$A$1:$A$698,0),MATCH(N$37,Items!$A$1:$V$1,0)))</f>
        <v/>
      </c>
      <c r="O41" s="156">
        <f t="array" ref="O41">IF(ISERROR(INDEX(Items!$A$1:$V$698,MATCH($B41,Items!$A$1:$A$698,0),MATCH(O$37,Items!$A$1:$V$1,0)))=TRUE,,INDEX(Items!$A$1:$V$698,MATCH($B41,Items!$A$1:$A$698,0),MATCH(O$37,Items!$A$1:$V$1,0)))</f>
        <v>0.02</v>
      </c>
      <c r="P41" s="156" t="str">
        <f t="array" ref="P41">IF(ISERROR(INDEX(Items!$A$1:$V$698,MATCH($B41,Items!$A$1:$A$698,0),MATCH(P$37,Items!$A$1:$V$1,0)))=TRUE,,INDEX(Items!$A$1:$V$698,MATCH($B41,Items!$A$1:$A$698,0),MATCH(P$37,Items!$A$1:$V$1,0)))</f>
        <v/>
      </c>
      <c r="Q41" s="156"/>
      <c r="R41" s="156"/>
      <c r="S41" s="156"/>
    </row>
    <row r="42">
      <c r="A42" s="157" t="s">
        <v>82</v>
      </c>
      <c r="B42" s="158" t="str">
        <f>Input!E24</f>
        <v>God cape (i)</v>
      </c>
      <c r="C42" s="156" t="str">
        <f t="array" ref="C42">IF(ISERROR(INDEX(Items!$A$1:$V$698,MATCH($B42,Items!$A$1:$A$698,0),MATCH(C$37,Items!$A$1:$V$1,0)))=TRUE,,INDEX(Items!$A$1:$V$698,MATCH($B42,Items!$A$1:$A$698,0),MATCH(C$37,Items!$A$1:$V$1,0)))</f>
        <v/>
      </c>
      <c r="D42" s="156" t="str">
        <f t="array" ref="D42">IF(ISERROR(INDEX(Items!$A$1:$V$698,MATCH($B42,Items!$A$1:$A$698,0),MATCH(D$37,Items!$A$1:$V$1,0)))=TRUE,,INDEX(Items!$A$1:$V$698,MATCH($B42,Items!$A$1:$A$698,0),MATCH(D$37,Items!$A$1:$V$1,0)))</f>
        <v/>
      </c>
      <c r="E42" s="156" t="str">
        <f t="array" ref="E42">IF(ISERROR(INDEX(Items!$A$1:$V$698,MATCH($B42,Items!$A$1:$A$698,0),MATCH(E$37,Items!$A$1:$V$1,0)))=TRUE,,INDEX(Items!$A$1:$V$698,MATCH($B42,Items!$A$1:$A$698,0),MATCH(E$37,Items!$A$1:$V$1,0)))</f>
        <v/>
      </c>
      <c r="F42" s="156">
        <f t="array" ref="F42">IF(ISERROR(INDEX(Items!$A$1:$V$698,MATCH($B42,Items!$A$1:$A$698,0),MATCH(F$37,Items!$A$1:$V$1,0)))=TRUE,,INDEX(Items!$A$1:$V$698,MATCH($B42,Items!$A$1:$A$698,0),MATCH(F$37,Items!$A$1:$V$1,0)))</f>
        <v>15</v>
      </c>
      <c r="G42" s="156" t="str">
        <f t="array" ref="G42">IF(ISERROR(INDEX(Items!$A$1:$V$698,MATCH($B42,Items!$A$1:$A$698,0),MATCH(G$37,Items!$A$1:$V$1,0)))=TRUE,,INDEX(Items!$A$1:$V$698,MATCH($B42,Items!$A$1:$A$698,0),MATCH(G$37,Items!$A$1:$V$1,0)))</f>
        <v/>
      </c>
      <c r="H42" s="156">
        <f t="array" ref="H42">IF(ISERROR(INDEX(Items!$A$1:$V$698,MATCH($B42,Items!$A$1:$A$698,0),MATCH(H$37,Items!$A$1:$V$1,0)))=TRUE,,INDEX(Items!$A$1:$V$698,MATCH($B42,Items!$A$1:$A$698,0),MATCH(H$37,Items!$A$1:$V$1,0)))</f>
        <v>3</v>
      </c>
      <c r="I42" s="156">
        <f t="array" ref="I42">IF(ISERROR(INDEX(Items!$A$1:$V$698,MATCH($B42,Items!$A$1:$A$698,0),MATCH(I$37,Items!$A$1:$V$1,0)))=TRUE,,INDEX(Items!$A$1:$V$698,MATCH($B42,Items!$A$1:$A$698,0),MATCH(I$37,Items!$A$1:$V$1,0)))</f>
        <v>3</v>
      </c>
      <c r="J42" s="156">
        <f t="array" ref="J42">IF(ISERROR(INDEX(Items!$A$1:$V$698,MATCH($B42,Items!$A$1:$A$698,0),MATCH(J$37,Items!$A$1:$V$1,0)))=TRUE,,INDEX(Items!$A$1:$V$698,MATCH($B42,Items!$A$1:$A$698,0),MATCH(J$37,Items!$A$1:$V$1,0)))</f>
        <v>3</v>
      </c>
      <c r="K42" s="156">
        <f t="array" ref="K42">IF(ISERROR(INDEX(Items!$A$1:$V$698,MATCH($B42,Items!$A$1:$A$698,0),MATCH(K$37,Items!$A$1:$V$1,0)))=TRUE,,INDEX(Items!$A$1:$V$698,MATCH($B42,Items!$A$1:$A$698,0),MATCH(K$37,Items!$A$1:$V$1,0)))</f>
        <v>15</v>
      </c>
      <c r="L42" s="156" t="str">
        <f t="array" ref="L42">IF(ISERROR(INDEX(Items!$A$1:$V$698,MATCH($B42,Items!$A$1:$A$698,0),MATCH(L$37,Items!$A$1:$V$1,0)))=TRUE,,INDEX(Items!$A$1:$V$698,MATCH($B42,Items!$A$1:$A$698,0),MATCH(L$37,Items!$A$1:$V$1,0)))</f>
        <v/>
      </c>
      <c r="M42" s="156" t="str">
        <f t="array" ref="M42">IF(ISERROR(INDEX(Items!$A$1:$V$698,MATCH($B42,Items!$A$1:$A$698,0),MATCH(M$37,Items!$A$1:$V$1,0)))=TRUE,,INDEX(Items!$A$1:$V$698,MATCH($B42,Items!$A$1:$A$698,0),MATCH(M$37,Items!$A$1:$V$1,0)))</f>
        <v/>
      </c>
      <c r="N42" s="156" t="str">
        <f t="array" ref="N42">IF(ISERROR(INDEX(Items!$A$1:$V$698,MATCH($B42,Items!$A$1:$A$698,0),MATCH(N$37,Items!$A$1:$V$1,0)))=TRUE,,INDEX(Items!$A$1:$V$698,MATCH($B42,Items!$A$1:$A$698,0),MATCH(N$37,Items!$A$1:$V$1,0)))</f>
        <v/>
      </c>
      <c r="O42" s="156">
        <f t="array" ref="O42">IF(ISERROR(INDEX(Items!$A$1:$V$698,MATCH($B42,Items!$A$1:$A$698,0),MATCH(O$37,Items!$A$1:$V$1,0)))=TRUE,,INDEX(Items!$A$1:$V$698,MATCH($B42,Items!$A$1:$A$698,0),MATCH(O$37,Items!$A$1:$V$1,0)))</f>
        <v>0.02</v>
      </c>
      <c r="P42" s="156" t="str">
        <f t="array" ref="P42">IF(ISERROR(INDEX(Items!$A$1:$V$698,MATCH($B42,Items!$A$1:$A$698,0),MATCH(P$37,Items!$A$1:$V$1,0)))=TRUE,,INDEX(Items!$A$1:$V$698,MATCH($B42,Items!$A$1:$A$698,0),MATCH(P$37,Items!$A$1:$V$1,0)))</f>
        <v/>
      </c>
      <c r="Q42" s="156"/>
      <c r="R42" s="156"/>
      <c r="S42" s="156"/>
    </row>
    <row r="43">
      <c r="A43" s="157" t="s">
        <v>86</v>
      </c>
      <c r="B43" s="158" t="str">
        <f>Input!E25</f>
        <v>Occult necklace</v>
      </c>
      <c r="C43" s="156" t="str">
        <f t="array" ref="C43">IF(ISERROR(INDEX(Items!$A$1:$V$698,MATCH($B43,Items!$A$1:$A$698,0),MATCH(C$37,Items!$A$1:$V$1,0)))=TRUE,,INDEX(Items!$A$1:$V$698,MATCH($B43,Items!$A$1:$A$698,0),MATCH(C$37,Items!$A$1:$V$1,0)))</f>
        <v/>
      </c>
      <c r="D43" s="156" t="str">
        <f t="array" ref="D43">IF(ISERROR(INDEX(Items!$A$1:$V$698,MATCH($B43,Items!$A$1:$A$698,0),MATCH(D$37,Items!$A$1:$V$1,0)))=TRUE,,INDEX(Items!$A$1:$V$698,MATCH($B43,Items!$A$1:$A$698,0),MATCH(D$37,Items!$A$1:$V$1,0)))</f>
        <v/>
      </c>
      <c r="E43" s="156" t="str">
        <f t="array" ref="E43">IF(ISERROR(INDEX(Items!$A$1:$V$698,MATCH($B43,Items!$A$1:$A$698,0),MATCH(E$37,Items!$A$1:$V$1,0)))=TRUE,,INDEX(Items!$A$1:$V$698,MATCH($B43,Items!$A$1:$A$698,0),MATCH(E$37,Items!$A$1:$V$1,0)))</f>
        <v/>
      </c>
      <c r="F43" s="156">
        <f t="array" ref="F43">IF(ISERROR(INDEX(Items!$A$1:$V$698,MATCH($B43,Items!$A$1:$A$698,0),MATCH(F$37,Items!$A$1:$V$1,0)))=TRUE,,INDEX(Items!$A$1:$V$698,MATCH($B43,Items!$A$1:$A$698,0),MATCH(F$37,Items!$A$1:$V$1,0)))</f>
        <v>12</v>
      </c>
      <c r="G43" s="156" t="str">
        <f t="array" ref="G43">IF(ISERROR(INDEX(Items!$A$1:$V$698,MATCH($B43,Items!$A$1:$A$698,0),MATCH(G$37,Items!$A$1:$V$1,0)))=TRUE,,INDEX(Items!$A$1:$V$698,MATCH($B43,Items!$A$1:$A$698,0),MATCH(G$37,Items!$A$1:$V$1,0)))</f>
        <v/>
      </c>
      <c r="H43" s="156" t="str">
        <f t="array" ref="H43">IF(ISERROR(INDEX(Items!$A$1:$V$698,MATCH($B43,Items!$A$1:$A$698,0),MATCH(H$37,Items!$A$1:$V$1,0)))=TRUE,,INDEX(Items!$A$1:$V$698,MATCH($B43,Items!$A$1:$A$698,0),MATCH(H$37,Items!$A$1:$V$1,0)))</f>
        <v/>
      </c>
      <c r="I43" s="156" t="str">
        <f t="array" ref="I43">IF(ISERROR(INDEX(Items!$A$1:$V$698,MATCH($B43,Items!$A$1:$A$698,0),MATCH(I$37,Items!$A$1:$V$1,0)))=TRUE,,INDEX(Items!$A$1:$V$698,MATCH($B43,Items!$A$1:$A$698,0),MATCH(I$37,Items!$A$1:$V$1,0)))</f>
        <v/>
      </c>
      <c r="J43" s="156" t="str">
        <f t="array" ref="J43">IF(ISERROR(INDEX(Items!$A$1:$V$698,MATCH($B43,Items!$A$1:$A$698,0),MATCH(J$37,Items!$A$1:$V$1,0)))=TRUE,,INDEX(Items!$A$1:$V$698,MATCH($B43,Items!$A$1:$A$698,0),MATCH(J$37,Items!$A$1:$V$1,0)))</f>
        <v/>
      </c>
      <c r="K43" s="156" t="str">
        <f t="array" ref="K43">IF(ISERROR(INDEX(Items!$A$1:$V$698,MATCH($B43,Items!$A$1:$A$698,0),MATCH(K$37,Items!$A$1:$V$1,0)))=TRUE,,INDEX(Items!$A$1:$V$698,MATCH($B43,Items!$A$1:$A$698,0),MATCH(K$37,Items!$A$1:$V$1,0)))</f>
        <v/>
      </c>
      <c r="L43" s="156" t="str">
        <f t="array" ref="L43">IF(ISERROR(INDEX(Items!$A$1:$V$698,MATCH($B43,Items!$A$1:$A$698,0),MATCH(L$37,Items!$A$1:$V$1,0)))=TRUE,,INDEX(Items!$A$1:$V$698,MATCH($B43,Items!$A$1:$A$698,0),MATCH(L$37,Items!$A$1:$V$1,0)))</f>
        <v/>
      </c>
      <c r="M43" s="156" t="str">
        <f t="array" ref="M43">IF(ISERROR(INDEX(Items!$A$1:$V$698,MATCH($B43,Items!$A$1:$A$698,0),MATCH(M$37,Items!$A$1:$V$1,0)))=TRUE,,INDEX(Items!$A$1:$V$698,MATCH($B43,Items!$A$1:$A$698,0),MATCH(M$37,Items!$A$1:$V$1,0)))</f>
        <v/>
      </c>
      <c r="N43" s="156" t="str">
        <f t="array" ref="N43">IF(ISERROR(INDEX(Items!$A$1:$V$698,MATCH($B43,Items!$A$1:$A$698,0),MATCH(N$37,Items!$A$1:$V$1,0)))=TRUE,,INDEX(Items!$A$1:$V$698,MATCH($B43,Items!$A$1:$A$698,0),MATCH(N$37,Items!$A$1:$V$1,0)))</f>
        <v/>
      </c>
      <c r="O43" s="156">
        <f t="array" ref="O43">IF(ISERROR(INDEX(Items!$A$1:$V$698,MATCH($B43,Items!$A$1:$A$698,0),MATCH(O$37,Items!$A$1:$V$1,0)))=TRUE,,INDEX(Items!$A$1:$V$698,MATCH($B43,Items!$A$1:$A$698,0),MATCH(O$37,Items!$A$1:$V$1,0)))</f>
        <v>0.1</v>
      </c>
      <c r="P43" s="156">
        <f t="array" ref="P43">IF(ISERROR(INDEX(Items!$A$1:$V$698,MATCH($B43,Items!$A$1:$A$698,0),MATCH(P$37,Items!$A$1:$V$1,0)))=TRUE,,INDEX(Items!$A$1:$V$698,MATCH($B43,Items!$A$1:$A$698,0),MATCH(P$37,Items!$A$1:$V$1,0)))</f>
        <v>2</v>
      </c>
      <c r="Q43" s="156"/>
      <c r="R43" s="156"/>
      <c r="S43" s="156"/>
    </row>
    <row r="44">
      <c r="A44" s="157" t="s">
        <v>90</v>
      </c>
      <c r="B44" s="158" t="str">
        <f>Input!E26</f>
        <v>Ancestral robe top</v>
      </c>
      <c r="C44" s="156" t="str">
        <f t="array" ref="C44">IF(ISERROR(INDEX(Items!$A$1:$V$698,MATCH($B44,Items!$A$1:$A$698,0),MATCH(C$37,Items!$A$1:$V$1,0)))=TRUE,,INDEX(Items!$A$1:$V$698,MATCH($B44,Items!$A$1:$A$698,0),MATCH(C$37,Items!$A$1:$V$1,0)))</f>
        <v/>
      </c>
      <c r="D44" s="156" t="str">
        <f t="array" ref="D44">IF(ISERROR(INDEX(Items!$A$1:$V$698,MATCH($B44,Items!$A$1:$A$698,0),MATCH(D$37,Items!$A$1:$V$1,0)))=TRUE,,INDEX(Items!$A$1:$V$698,MATCH($B44,Items!$A$1:$A$698,0),MATCH(D$37,Items!$A$1:$V$1,0)))</f>
        <v/>
      </c>
      <c r="E44" s="156" t="str">
        <f t="array" ref="E44">IF(ISERROR(INDEX(Items!$A$1:$V$698,MATCH($B44,Items!$A$1:$A$698,0),MATCH(E$37,Items!$A$1:$V$1,0)))=TRUE,,INDEX(Items!$A$1:$V$698,MATCH($B44,Items!$A$1:$A$698,0),MATCH(E$37,Items!$A$1:$V$1,0)))</f>
        <v/>
      </c>
      <c r="F44" s="156">
        <f t="array" ref="F44">IF(ISERROR(INDEX(Items!$A$1:$V$698,MATCH($B44,Items!$A$1:$A$698,0),MATCH(F$37,Items!$A$1:$V$1,0)))=TRUE,,INDEX(Items!$A$1:$V$698,MATCH($B44,Items!$A$1:$A$698,0),MATCH(F$37,Items!$A$1:$V$1,0)))</f>
        <v>35</v>
      </c>
      <c r="G44" s="156">
        <f t="array" ref="G44">IF(ISERROR(INDEX(Items!$A$1:$V$698,MATCH($B44,Items!$A$1:$A$698,0),MATCH(G$37,Items!$A$1:$V$1,0)))=TRUE,,INDEX(Items!$A$1:$V$698,MATCH($B44,Items!$A$1:$A$698,0),MATCH(G$37,Items!$A$1:$V$1,0)))</f>
        <v>-8</v>
      </c>
      <c r="H44" s="156">
        <f t="array" ref="H44">IF(ISERROR(INDEX(Items!$A$1:$V$698,MATCH($B44,Items!$A$1:$A$698,0),MATCH(H$37,Items!$A$1:$V$1,0)))=TRUE,,INDEX(Items!$A$1:$V$698,MATCH($B44,Items!$A$1:$A$698,0),MATCH(H$37,Items!$A$1:$V$1,0)))</f>
        <v>42</v>
      </c>
      <c r="I44" s="156">
        <f t="array" ref="I44">IF(ISERROR(INDEX(Items!$A$1:$V$698,MATCH($B44,Items!$A$1:$A$698,0),MATCH(I$37,Items!$A$1:$V$1,0)))=TRUE,,INDEX(Items!$A$1:$V$698,MATCH($B44,Items!$A$1:$A$698,0),MATCH(I$37,Items!$A$1:$V$1,0)))</f>
        <v>31</v>
      </c>
      <c r="J44" s="156">
        <f t="array" ref="J44">IF(ISERROR(INDEX(Items!$A$1:$V$698,MATCH($B44,Items!$A$1:$A$698,0),MATCH(J$37,Items!$A$1:$V$1,0)))=TRUE,,INDEX(Items!$A$1:$V$698,MATCH($B44,Items!$A$1:$A$698,0),MATCH(J$37,Items!$A$1:$V$1,0)))</f>
        <v>51</v>
      </c>
      <c r="K44" s="156">
        <f t="array" ref="K44">IF(ISERROR(INDEX(Items!$A$1:$V$698,MATCH($B44,Items!$A$1:$A$698,0),MATCH(K$37,Items!$A$1:$V$1,0)))=TRUE,,INDEX(Items!$A$1:$V$698,MATCH($B44,Items!$A$1:$A$698,0),MATCH(K$37,Items!$A$1:$V$1,0)))</f>
        <v>28</v>
      </c>
      <c r="L44" s="156">
        <f t="array" ref="L44">IF(ISERROR(INDEX(Items!$A$1:$V$698,MATCH($B44,Items!$A$1:$A$698,0),MATCH(L$37,Items!$A$1:$V$1,0)))=TRUE,,INDEX(Items!$A$1:$V$698,MATCH($B44,Items!$A$1:$A$698,0),MATCH(L$37,Items!$A$1:$V$1,0)))</f>
        <v>0</v>
      </c>
      <c r="M44" s="156" t="str">
        <f t="array" ref="M44">IF(ISERROR(INDEX(Items!$A$1:$V$698,MATCH($B44,Items!$A$1:$A$698,0),MATCH(M$37,Items!$A$1:$V$1,0)))=TRUE,,INDEX(Items!$A$1:$V$698,MATCH($B44,Items!$A$1:$A$698,0),MATCH(M$37,Items!$A$1:$V$1,0)))</f>
        <v/>
      </c>
      <c r="N44" s="156" t="str">
        <f t="array" ref="N44">IF(ISERROR(INDEX(Items!$A$1:$V$698,MATCH($B44,Items!$A$1:$A$698,0),MATCH(N$37,Items!$A$1:$V$1,0)))=TRUE,,INDEX(Items!$A$1:$V$698,MATCH($B44,Items!$A$1:$A$698,0),MATCH(N$37,Items!$A$1:$V$1,0)))</f>
        <v/>
      </c>
      <c r="O44" s="156">
        <f t="array" ref="O44">IF(ISERROR(INDEX(Items!$A$1:$V$698,MATCH($B44,Items!$A$1:$A$698,0),MATCH(O$37,Items!$A$1:$V$1,0)))=TRUE,,INDEX(Items!$A$1:$V$698,MATCH($B44,Items!$A$1:$A$698,0),MATCH(O$37,Items!$A$1:$V$1,0)))</f>
        <v>0.02</v>
      </c>
      <c r="P44" s="156" t="str">
        <f t="array" ref="P44">IF(ISERROR(INDEX(Items!$A$1:$V$698,MATCH($B44,Items!$A$1:$A$698,0),MATCH(P$37,Items!$A$1:$V$1,0)))=TRUE,,INDEX(Items!$A$1:$V$698,MATCH($B44,Items!$A$1:$A$698,0),MATCH(P$37,Items!$A$1:$V$1,0)))</f>
        <v/>
      </c>
      <c r="Q44" s="156"/>
      <c r="R44" s="156"/>
      <c r="S44" s="156"/>
    </row>
    <row r="45">
      <c r="A45" s="157" t="s">
        <v>94</v>
      </c>
      <c r="B45" s="158" t="str">
        <f>Input!E27</f>
        <v>Ancestral robe bottoms</v>
      </c>
      <c r="C45" s="156" t="str">
        <f t="array" ref="C45">IF(ISERROR(INDEX(Items!$A$1:$V$698,MATCH($B45,Items!$A$1:$A$698,0),MATCH(C$37,Items!$A$1:$V$1,0)))=TRUE,,INDEX(Items!$A$1:$V$698,MATCH($B45,Items!$A$1:$A$698,0),MATCH(C$37,Items!$A$1:$V$1,0)))</f>
        <v/>
      </c>
      <c r="D45" s="156" t="str">
        <f t="array" ref="D45">IF(ISERROR(INDEX(Items!$A$1:$V$698,MATCH($B45,Items!$A$1:$A$698,0),MATCH(D$37,Items!$A$1:$V$1,0)))=TRUE,,INDEX(Items!$A$1:$V$698,MATCH($B45,Items!$A$1:$A$698,0),MATCH(D$37,Items!$A$1:$V$1,0)))</f>
        <v/>
      </c>
      <c r="E45" s="156" t="str">
        <f t="array" ref="E45">IF(ISERROR(INDEX(Items!$A$1:$V$698,MATCH($B45,Items!$A$1:$A$698,0),MATCH(E$37,Items!$A$1:$V$1,0)))=TRUE,,INDEX(Items!$A$1:$V$698,MATCH($B45,Items!$A$1:$A$698,0),MATCH(E$37,Items!$A$1:$V$1,0)))</f>
        <v/>
      </c>
      <c r="F45" s="156">
        <f t="array" ref="F45">IF(ISERROR(INDEX(Items!$A$1:$V$698,MATCH($B45,Items!$A$1:$A$698,0),MATCH(F$37,Items!$A$1:$V$1,0)))=TRUE,,INDEX(Items!$A$1:$V$698,MATCH($B45,Items!$A$1:$A$698,0),MATCH(F$37,Items!$A$1:$V$1,0)))</f>
        <v>26</v>
      </c>
      <c r="G45" s="156">
        <f t="array" ref="G45">IF(ISERROR(INDEX(Items!$A$1:$V$698,MATCH($B45,Items!$A$1:$A$698,0),MATCH(G$37,Items!$A$1:$V$1,0)))=TRUE,,INDEX(Items!$A$1:$V$698,MATCH($B45,Items!$A$1:$A$698,0),MATCH(G$37,Items!$A$1:$V$1,0)))</f>
        <v>-7</v>
      </c>
      <c r="H45" s="156">
        <f t="array" ref="H45">IF(ISERROR(INDEX(Items!$A$1:$V$698,MATCH($B45,Items!$A$1:$A$698,0),MATCH(H$37,Items!$A$1:$V$1,0)))=TRUE,,INDEX(Items!$A$1:$V$698,MATCH($B45,Items!$A$1:$A$698,0),MATCH(H$37,Items!$A$1:$V$1,0)))</f>
        <v>27</v>
      </c>
      <c r="I45" s="156">
        <f t="array" ref="I45">IF(ISERROR(INDEX(Items!$A$1:$V$698,MATCH($B45,Items!$A$1:$A$698,0),MATCH(I$37,Items!$A$1:$V$1,0)))=TRUE,,INDEX(Items!$A$1:$V$698,MATCH($B45,Items!$A$1:$A$698,0),MATCH(I$37,Items!$A$1:$V$1,0)))</f>
        <v>24</v>
      </c>
      <c r="J45" s="156">
        <f t="array" ref="J45">IF(ISERROR(INDEX(Items!$A$1:$V$698,MATCH($B45,Items!$A$1:$A$698,0),MATCH(J$37,Items!$A$1:$V$1,0)))=TRUE,,INDEX(Items!$A$1:$V$698,MATCH($B45,Items!$A$1:$A$698,0),MATCH(J$37,Items!$A$1:$V$1,0)))</f>
        <v>30</v>
      </c>
      <c r="K45" s="156">
        <f t="array" ref="K45">IF(ISERROR(INDEX(Items!$A$1:$V$698,MATCH($B45,Items!$A$1:$A$698,0),MATCH(K$37,Items!$A$1:$V$1,0)))=TRUE,,INDEX(Items!$A$1:$V$698,MATCH($B45,Items!$A$1:$A$698,0),MATCH(K$37,Items!$A$1:$V$1,0)))</f>
        <v>28</v>
      </c>
      <c r="L45" s="156">
        <f t="array" ref="L45">IF(ISERROR(INDEX(Items!$A$1:$V$698,MATCH($B45,Items!$A$1:$A$698,0),MATCH(L$37,Items!$A$1:$V$1,0)))=TRUE,,INDEX(Items!$A$1:$V$698,MATCH($B45,Items!$A$1:$A$698,0),MATCH(L$37,Items!$A$1:$V$1,0)))</f>
        <v>0</v>
      </c>
      <c r="M45" s="156" t="str">
        <f t="array" ref="M45">IF(ISERROR(INDEX(Items!$A$1:$V$698,MATCH($B45,Items!$A$1:$A$698,0),MATCH(M$37,Items!$A$1:$V$1,0)))=TRUE,,INDEX(Items!$A$1:$V$698,MATCH($B45,Items!$A$1:$A$698,0),MATCH(M$37,Items!$A$1:$V$1,0)))</f>
        <v/>
      </c>
      <c r="N45" s="156" t="str">
        <f t="array" ref="N45">IF(ISERROR(INDEX(Items!$A$1:$V$698,MATCH($B45,Items!$A$1:$A$698,0),MATCH(N$37,Items!$A$1:$V$1,0)))=TRUE,,INDEX(Items!$A$1:$V$698,MATCH($B45,Items!$A$1:$A$698,0),MATCH(N$37,Items!$A$1:$V$1,0)))</f>
        <v/>
      </c>
      <c r="O45" s="156">
        <f t="array" ref="O45">IF(ISERROR(INDEX(Items!$A$1:$V$698,MATCH($B45,Items!$A$1:$A$698,0),MATCH(O$37,Items!$A$1:$V$1,0)))=TRUE,,INDEX(Items!$A$1:$V$698,MATCH($B45,Items!$A$1:$A$698,0),MATCH(O$37,Items!$A$1:$V$1,0)))</f>
        <v>0.02</v>
      </c>
      <c r="P45" s="156" t="str">
        <f t="array" ref="P45">IF(ISERROR(INDEX(Items!$A$1:$V$698,MATCH($B45,Items!$A$1:$A$698,0),MATCH(P$37,Items!$A$1:$V$1,0)))=TRUE,,INDEX(Items!$A$1:$V$698,MATCH($B45,Items!$A$1:$A$698,0),MATCH(P$37,Items!$A$1:$V$1,0)))</f>
        <v/>
      </c>
      <c r="Q45" s="156"/>
      <c r="R45" s="156"/>
      <c r="S45" s="156"/>
    </row>
    <row r="46">
      <c r="A46" s="157" t="s">
        <v>98</v>
      </c>
      <c r="B46" s="158" t="str">
        <f>Input!E28</f>
        <v>Tome of fire</v>
      </c>
      <c r="C46" s="156" t="str">
        <f t="array" ref="C46">IF(ISERROR(INDEX(Items!$A$1:$V$698,MATCH($B46,Items!$A$1:$A$698,0),MATCH(C$37,Items!$A$1:$V$1,0)))=TRUE,,INDEX(Items!$A$1:$V$698,MATCH($B46,Items!$A$1:$A$698,0),MATCH(C$37,Items!$A$1:$V$1,0)))</f>
        <v/>
      </c>
      <c r="D46" s="156" t="str">
        <f t="array" ref="D46">IF(ISERROR(INDEX(Items!$A$1:$V$698,MATCH($B46,Items!$A$1:$A$698,0),MATCH(D$37,Items!$A$1:$V$1,0)))=TRUE,,INDEX(Items!$A$1:$V$698,MATCH($B46,Items!$A$1:$A$698,0),MATCH(D$37,Items!$A$1:$V$1,0)))</f>
        <v/>
      </c>
      <c r="E46" s="156" t="str">
        <f t="array" ref="E46">IF(ISERROR(INDEX(Items!$A$1:$V$698,MATCH($B46,Items!$A$1:$A$698,0),MATCH(E$37,Items!$A$1:$V$1,0)))=TRUE,,INDEX(Items!$A$1:$V$698,MATCH($B46,Items!$A$1:$A$698,0),MATCH(E$37,Items!$A$1:$V$1,0)))</f>
        <v/>
      </c>
      <c r="F46" s="156">
        <f t="array" ref="F46">IF(ISERROR(INDEX(Items!$A$1:$V$698,MATCH($B46,Items!$A$1:$A$698,0),MATCH(F$37,Items!$A$1:$V$1,0)))=TRUE,,INDEX(Items!$A$1:$V$698,MATCH($B46,Items!$A$1:$A$698,0),MATCH(F$37,Items!$A$1:$V$1,0)))</f>
        <v>8</v>
      </c>
      <c r="G46" s="156" t="str">
        <f t="array" ref="G46">IF(ISERROR(INDEX(Items!$A$1:$V$698,MATCH($B46,Items!$A$1:$A$698,0),MATCH(G$37,Items!$A$1:$V$1,0)))=TRUE,,INDEX(Items!$A$1:$V$698,MATCH($B46,Items!$A$1:$A$698,0),MATCH(G$37,Items!$A$1:$V$1,0)))</f>
        <v/>
      </c>
      <c r="H46" s="156" t="str">
        <f t="array" ref="H46">IF(ISERROR(INDEX(Items!$A$1:$V$698,MATCH($B46,Items!$A$1:$A$698,0),MATCH(H$37,Items!$A$1:$V$1,0)))=TRUE,,INDEX(Items!$A$1:$V$698,MATCH($B46,Items!$A$1:$A$698,0),MATCH(H$37,Items!$A$1:$V$1,0)))</f>
        <v/>
      </c>
      <c r="I46" s="156" t="str">
        <f t="array" ref="I46">IF(ISERROR(INDEX(Items!$A$1:$V$698,MATCH($B46,Items!$A$1:$A$698,0),MATCH(I$37,Items!$A$1:$V$1,0)))=TRUE,,INDEX(Items!$A$1:$V$698,MATCH($B46,Items!$A$1:$A$698,0),MATCH(I$37,Items!$A$1:$V$1,0)))</f>
        <v/>
      </c>
      <c r="J46" s="156" t="str">
        <f t="array" ref="J46">IF(ISERROR(INDEX(Items!$A$1:$V$698,MATCH($B46,Items!$A$1:$A$698,0),MATCH(J$37,Items!$A$1:$V$1,0)))=TRUE,,INDEX(Items!$A$1:$V$698,MATCH($B46,Items!$A$1:$A$698,0),MATCH(J$37,Items!$A$1:$V$1,0)))</f>
        <v/>
      </c>
      <c r="K46" s="156">
        <f t="array" ref="K46">IF(ISERROR(INDEX(Items!$A$1:$V$698,MATCH($B46,Items!$A$1:$A$698,0),MATCH(K$37,Items!$A$1:$V$1,0)))=TRUE,,INDEX(Items!$A$1:$V$698,MATCH($B46,Items!$A$1:$A$698,0),MATCH(K$37,Items!$A$1:$V$1,0)))</f>
        <v>8</v>
      </c>
      <c r="L46" s="156" t="str">
        <f t="array" ref="L46">IF(ISERROR(INDEX(Items!$A$1:$V$698,MATCH($B46,Items!$A$1:$A$698,0),MATCH(L$37,Items!$A$1:$V$1,0)))=TRUE,,INDEX(Items!$A$1:$V$698,MATCH($B46,Items!$A$1:$A$698,0),MATCH(L$37,Items!$A$1:$V$1,0)))</f>
        <v/>
      </c>
      <c r="M46" s="156" t="str">
        <f t="array" ref="M46">IF(ISERROR(INDEX(Items!$A$1:$V$698,MATCH($B46,Items!$A$1:$A$698,0),MATCH(M$37,Items!$A$1:$V$1,0)))=TRUE,,INDEX(Items!$A$1:$V$698,MATCH($B46,Items!$A$1:$A$698,0),MATCH(M$37,Items!$A$1:$V$1,0)))</f>
        <v/>
      </c>
      <c r="N46" s="156" t="str">
        <f t="array" ref="N46">IF(ISERROR(INDEX(Items!$A$1:$V$698,MATCH($B46,Items!$A$1:$A$698,0),MATCH(N$37,Items!$A$1:$V$1,0)))=TRUE,,INDEX(Items!$A$1:$V$698,MATCH($B46,Items!$A$1:$A$698,0),MATCH(N$37,Items!$A$1:$V$1,0)))</f>
        <v/>
      </c>
      <c r="O46" s="156" t="str">
        <f t="array" ref="O46">IF(ISERROR(INDEX(Items!$A$1:$V$698,MATCH($B46,Items!$A$1:$A$698,0),MATCH(O$37,Items!$A$1:$V$1,0)))=TRUE,,INDEX(Items!$A$1:$V$698,MATCH($B46,Items!$A$1:$A$698,0),MATCH(O$37,Items!$A$1:$V$1,0)))</f>
        <v/>
      </c>
      <c r="P46" s="156" t="str">
        <f t="array" ref="P46">IF(ISERROR(INDEX(Items!$A$1:$V$698,MATCH($B46,Items!$A$1:$A$698,0),MATCH(P$37,Items!$A$1:$V$1,0)))=TRUE,,INDEX(Items!$A$1:$V$698,MATCH($B46,Items!$A$1:$A$698,0),MATCH(P$37,Items!$A$1:$V$1,0)))</f>
        <v/>
      </c>
      <c r="Q46" s="156"/>
      <c r="R46" s="156"/>
      <c r="S46" s="156"/>
    </row>
    <row r="47">
      <c r="A47" s="157" t="s">
        <v>102</v>
      </c>
      <c r="B47" s="158" t="str">
        <f>Input!E29</f>
        <v>Tormented bracelet</v>
      </c>
      <c r="C47" s="156" t="str">
        <f t="array" ref="C47">IF(ISERROR(INDEX(Items!$A$1:$V$698,MATCH($B47,Items!$A$1:$A$698,0),MATCH(C$37,Items!$A$1:$V$1,0)))=TRUE,,INDEX(Items!$A$1:$V$698,MATCH($B47,Items!$A$1:$A$698,0),MATCH(C$37,Items!$A$1:$V$1,0)))</f>
        <v/>
      </c>
      <c r="D47" s="156" t="str">
        <f t="array" ref="D47">IF(ISERROR(INDEX(Items!$A$1:$V$698,MATCH($B47,Items!$A$1:$A$698,0),MATCH(D$37,Items!$A$1:$V$1,0)))=TRUE,,INDEX(Items!$A$1:$V$698,MATCH($B47,Items!$A$1:$A$698,0),MATCH(D$37,Items!$A$1:$V$1,0)))</f>
        <v/>
      </c>
      <c r="E47" s="156" t="str">
        <f t="array" ref="E47">IF(ISERROR(INDEX(Items!$A$1:$V$698,MATCH($B47,Items!$A$1:$A$698,0),MATCH(E$37,Items!$A$1:$V$1,0)))=TRUE,,INDEX(Items!$A$1:$V$698,MATCH($B47,Items!$A$1:$A$698,0),MATCH(E$37,Items!$A$1:$V$1,0)))</f>
        <v/>
      </c>
      <c r="F47" s="156">
        <f t="array" ref="F47">IF(ISERROR(INDEX(Items!$A$1:$V$698,MATCH($B47,Items!$A$1:$A$698,0),MATCH(F$37,Items!$A$1:$V$1,0)))=TRUE,,INDEX(Items!$A$1:$V$698,MATCH($B47,Items!$A$1:$A$698,0),MATCH(F$37,Items!$A$1:$V$1,0)))</f>
        <v>10</v>
      </c>
      <c r="G47" s="156" t="str">
        <f t="array" ref="G47">IF(ISERROR(INDEX(Items!$A$1:$V$698,MATCH($B47,Items!$A$1:$A$698,0),MATCH(G$37,Items!$A$1:$V$1,0)))=TRUE,,INDEX(Items!$A$1:$V$698,MATCH($B47,Items!$A$1:$A$698,0),MATCH(G$37,Items!$A$1:$V$1,0)))</f>
        <v/>
      </c>
      <c r="H47" s="156" t="str">
        <f t="array" ref="H47">IF(ISERROR(INDEX(Items!$A$1:$V$698,MATCH($B47,Items!$A$1:$A$698,0),MATCH(H$37,Items!$A$1:$V$1,0)))=TRUE,,INDEX(Items!$A$1:$V$698,MATCH($B47,Items!$A$1:$A$698,0),MATCH(H$37,Items!$A$1:$V$1,0)))</f>
        <v/>
      </c>
      <c r="I47" s="156" t="str">
        <f t="array" ref="I47">IF(ISERROR(INDEX(Items!$A$1:$V$698,MATCH($B47,Items!$A$1:$A$698,0),MATCH(I$37,Items!$A$1:$V$1,0)))=TRUE,,INDEX(Items!$A$1:$V$698,MATCH($B47,Items!$A$1:$A$698,0),MATCH(I$37,Items!$A$1:$V$1,0)))</f>
        <v/>
      </c>
      <c r="J47" s="156" t="str">
        <f t="array" ref="J47">IF(ISERROR(INDEX(Items!$A$1:$V$698,MATCH($B47,Items!$A$1:$A$698,0),MATCH(J$37,Items!$A$1:$V$1,0)))=TRUE,,INDEX(Items!$A$1:$V$698,MATCH($B47,Items!$A$1:$A$698,0),MATCH(J$37,Items!$A$1:$V$1,0)))</f>
        <v/>
      </c>
      <c r="K47" s="156" t="str">
        <f t="array" ref="K47">IF(ISERROR(INDEX(Items!$A$1:$V$698,MATCH($B47,Items!$A$1:$A$698,0),MATCH(K$37,Items!$A$1:$V$1,0)))=TRUE,,INDEX(Items!$A$1:$V$698,MATCH($B47,Items!$A$1:$A$698,0),MATCH(K$37,Items!$A$1:$V$1,0)))</f>
        <v/>
      </c>
      <c r="L47" s="156" t="str">
        <f t="array" ref="L47">IF(ISERROR(INDEX(Items!$A$1:$V$698,MATCH($B47,Items!$A$1:$A$698,0),MATCH(L$37,Items!$A$1:$V$1,0)))=TRUE,,INDEX(Items!$A$1:$V$698,MATCH($B47,Items!$A$1:$A$698,0),MATCH(L$37,Items!$A$1:$V$1,0)))</f>
        <v/>
      </c>
      <c r="M47" s="156" t="str">
        <f t="array" ref="M47">IF(ISERROR(INDEX(Items!$A$1:$V$698,MATCH($B47,Items!$A$1:$A$698,0),MATCH(M$37,Items!$A$1:$V$1,0)))=TRUE,,INDEX(Items!$A$1:$V$698,MATCH($B47,Items!$A$1:$A$698,0),MATCH(M$37,Items!$A$1:$V$1,0)))</f>
        <v/>
      </c>
      <c r="N47" s="156" t="str">
        <f t="array" ref="N47">IF(ISERROR(INDEX(Items!$A$1:$V$698,MATCH($B47,Items!$A$1:$A$698,0),MATCH(N$37,Items!$A$1:$V$1,0)))=TRUE,,INDEX(Items!$A$1:$V$698,MATCH($B47,Items!$A$1:$A$698,0),MATCH(N$37,Items!$A$1:$V$1,0)))</f>
        <v/>
      </c>
      <c r="O47" s="156">
        <f t="array" ref="O47">IF(ISERROR(INDEX(Items!$A$1:$V$698,MATCH($B47,Items!$A$1:$A$698,0),MATCH(O$37,Items!$A$1:$V$1,0)))=TRUE,,INDEX(Items!$A$1:$V$698,MATCH($B47,Items!$A$1:$A$698,0),MATCH(O$37,Items!$A$1:$V$1,0)))</f>
        <v>0.05</v>
      </c>
      <c r="P47" s="156">
        <f t="array" ref="P47">IF(ISERROR(INDEX(Items!$A$1:$V$698,MATCH($B47,Items!$A$1:$A$698,0),MATCH(P$37,Items!$A$1:$V$1,0)))=TRUE,,INDEX(Items!$A$1:$V$698,MATCH($B47,Items!$A$1:$A$698,0),MATCH(P$37,Items!$A$1:$V$1,0)))</f>
        <v>2</v>
      </c>
      <c r="Q47" s="156"/>
      <c r="R47" s="156"/>
      <c r="S47" s="156"/>
    </row>
    <row r="48">
      <c r="A48" s="157" t="s">
        <v>106</v>
      </c>
      <c r="B48" s="158" t="str">
        <f>Input!E30</f>
        <v>Eternal boots</v>
      </c>
      <c r="C48" s="156" t="str">
        <f t="array" ref="C48">IF(ISERROR(INDEX(Items!$A$1:$V$698,MATCH($B48,Items!$A$1:$A$698,0),MATCH(C$37,Items!$A$1:$V$1,0)))=TRUE,,INDEX(Items!$A$1:$V$698,MATCH($B48,Items!$A$1:$A$698,0),MATCH(C$37,Items!$A$1:$V$1,0)))</f>
        <v/>
      </c>
      <c r="D48" s="156" t="str">
        <f t="array" ref="D48">IF(ISERROR(INDEX(Items!$A$1:$V$698,MATCH($B48,Items!$A$1:$A$698,0),MATCH(D$37,Items!$A$1:$V$1,0)))=TRUE,,INDEX(Items!$A$1:$V$698,MATCH($B48,Items!$A$1:$A$698,0),MATCH(D$37,Items!$A$1:$V$1,0)))</f>
        <v/>
      </c>
      <c r="E48" s="156" t="str">
        <f t="array" ref="E48">IF(ISERROR(INDEX(Items!$A$1:$V$698,MATCH($B48,Items!$A$1:$A$698,0),MATCH(E$37,Items!$A$1:$V$1,0)))=TRUE,,INDEX(Items!$A$1:$V$698,MATCH($B48,Items!$A$1:$A$698,0),MATCH(E$37,Items!$A$1:$V$1,0)))</f>
        <v/>
      </c>
      <c r="F48" s="156">
        <f t="array" ref="F48">IF(ISERROR(INDEX(Items!$A$1:$V$698,MATCH($B48,Items!$A$1:$A$698,0),MATCH(F$37,Items!$A$1:$V$1,0)))=TRUE,,INDEX(Items!$A$1:$V$698,MATCH($B48,Items!$A$1:$A$698,0),MATCH(F$37,Items!$A$1:$V$1,0)))</f>
        <v>8</v>
      </c>
      <c r="G48" s="156" t="str">
        <f t="array" ref="G48">IF(ISERROR(INDEX(Items!$A$1:$V$698,MATCH($B48,Items!$A$1:$A$698,0),MATCH(G$37,Items!$A$1:$V$1,0)))=TRUE,,INDEX(Items!$A$1:$V$698,MATCH($B48,Items!$A$1:$A$698,0),MATCH(G$37,Items!$A$1:$V$1,0)))</f>
        <v/>
      </c>
      <c r="H48" s="156">
        <f t="array" ref="H48">IF(ISERROR(INDEX(Items!$A$1:$V$698,MATCH($B48,Items!$A$1:$A$698,0),MATCH(H$37,Items!$A$1:$V$1,0)))=TRUE,,INDEX(Items!$A$1:$V$698,MATCH($B48,Items!$A$1:$A$698,0),MATCH(H$37,Items!$A$1:$V$1,0)))</f>
        <v>5</v>
      </c>
      <c r="I48" s="156">
        <f t="array" ref="I48">IF(ISERROR(INDEX(Items!$A$1:$V$698,MATCH($B48,Items!$A$1:$A$698,0),MATCH(I$37,Items!$A$1:$V$1,0)))=TRUE,,INDEX(Items!$A$1:$V$698,MATCH($B48,Items!$A$1:$A$698,0),MATCH(I$37,Items!$A$1:$V$1,0)))</f>
        <v>5</v>
      </c>
      <c r="J48" s="156">
        <f t="array" ref="J48">IF(ISERROR(INDEX(Items!$A$1:$V$698,MATCH($B48,Items!$A$1:$A$698,0),MATCH(J$37,Items!$A$1:$V$1,0)))=TRUE,,INDEX(Items!$A$1:$V$698,MATCH($B48,Items!$A$1:$A$698,0),MATCH(J$37,Items!$A$1:$V$1,0)))</f>
        <v>5</v>
      </c>
      <c r="K48" s="156">
        <f t="array" ref="K48">IF(ISERROR(INDEX(Items!$A$1:$V$698,MATCH($B48,Items!$A$1:$A$698,0),MATCH(K$37,Items!$A$1:$V$1,0)))=TRUE,,INDEX(Items!$A$1:$V$698,MATCH($B48,Items!$A$1:$A$698,0),MATCH(K$37,Items!$A$1:$V$1,0)))</f>
        <v>8</v>
      </c>
      <c r="L48" s="156">
        <f t="array" ref="L48">IF(ISERROR(INDEX(Items!$A$1:$V$698,MATCH($B48,Items!$A$1:$A$698,0),MATCH(L$37,Items!$A$1:$V$1,0)))=TRUE,,INDEX(Items!$A$1:$V$698,MATCH($B48,Items!$A$1:$A$698,0),MATCH(L$37,Items!$A$1:$V$1,0)))</f>
        <v>5</v>
      </c>
      <c r="M48" s="156" t="str">
        <f t="array" ref="M48">IF(ISERROR(INDEX(Items!$A$1:$V$698,MATCH($B48,Items!$A$1:$A$698,0),MATCH(M$37,Items!$A$1:$V$1,0)))=TRUE,,INDEX(Items!$A$1:$V$698,MATCH($B48,Items!$A$1:$A$698,0),MATCH(M$37,Items!$A$1:$V$1,0)))</f>
        <v/>
      </c>
      <c r="N48" s="156" t="str">
        <f t="array" ref="N48">IF(ISERROR(INDEX(Items!$A$1:$V$698,MATCH($B48,Items!$A$1:$A$698,0),MATCH(N$37,Items!$A$1:$V$1,0)))=TRUE,,INDEX(Items!$A$1:$V$698,MATCH($B48,Items!$A$1:$A$698,0),MATCH(N$37,Items!$A$1:$V$1,0)))</f>
        <v/>
      </c>
      <c r="O48" s="156" t="str">
        <f t="array" ref="O48">IF(ISERROR(INDEX(Items!$A$1:$V$698,MATCH($B48,Items!$A$1:$A$698,0),MATCH(O$37,Items!$A$1:$V$1,0)))=TRUE,,INDEX(Items!$A$1:$V$698,MATCH($B48,Items!$A$1:$A$698,0),MATCH(O$37,Items!$A$1:$V$1,0)))</f>
        <v/>
      </c>
      <c r="P48" s="156" t="str">
        <f t="array" ref="P48">IF(ISERROR(INDEX(Items!$A$1:$V$698,MATCH($B48,Items!$A$1:$A$698,0),MATCH(P$37,Items!$A$1:$V$1,0)))=TRUE,,INDEX(Items!$A$1:$V$698,MATCH($B48,Items!$A$1:$A$698,0),MATCH(P$37,Items!$A$1:$V$1,0)))</f>
        <v/>
      </c>
      <c r="Q48" s="156"/>
      <c r="R48" s="156"/>
      <c r="S48" s="156"/>
    </row>
    <row r="49">
      <c r="A49" s="157" t="s">
        <v>109</v>
      </c>
      <c r="B49" s="158" t="str">
        <f>Input!E31</f>
        <v>Seers (i)</v>
      </c>
      <c r="C49" s="156" t="str">
        <f t="array" ref="C49">IF(ISERROR(INDEX(Items!$A$1:$V$698,MATCH($B49,Items!$A$1:$A$698,0),MATCH(C$37,Items!$A$1:$V$1,0)))=TRUE,,INDEX(Items!$A$1:$V$698,MATCH($B49,Items!$A$1:$A$698,0),MATCH(C$37,Items!$A$1:$V$1,0)))</f>
        <v/>
      </c>
      <c r="D49" s="156" t="str">
        <f t="array" ref="D49">IF(ISERROR(INDEX(Items!$A$1:$V$698,MATCH($B49,Items!$A$1:$A$698,0),MATCH(D$37,Items!$A$1:$V$1,0)))=TRUE,,INDEX(Items!$A$1:$V$698,MATCH($B49,Items!$A$1:$A$698,0),MATCH(D$37,Items!$A$1:$V$1,0)))</f>
        <v/>
      </c>
      <c r="E49" s="156" t="str">
        <f t="array" ref="E49">IF(ISERROR(INDEX(Items!$A$1:$V$698,MATCH($B49,Items!$A$1:$A$698,0),MATCH(E$37,Items!$A$1:$V$1,0)))=TRUE,,INDEX(Items!$A$1:$V$698,MATCH($B49,Items!$A$1:$A$698,0),MATCH(E$37,Items!$A$1:$V$1,0)))</f>
        <v/>
      </c>
      <c r="F49" s="156">
        <f t="array" ref="F49">IF(ISERROR(INDEX(Items!$A$1:$V$698,MATCH($B49,Items!$A$1:$A$698,0),MATCH(F$37,Items!$A$1:$V$1,0)))=TRUE,,INDEX(Items!$A$1:$V$698,MATCH($B49,Items!$A$1:$A$698,0),MATCH(F$37,Items!$A$1:$V$1,0)))</f>
        <v>12</v>
      </c>
      <c r="G49" s="156" t="str">
        <f t="array" ref="G49">IF(ISERROR(INDEX(Items!$A$1:$V$698,MATCH($B49,Items!$A$1:$A$698,0),MATCH(G$37,Items!$A$1:$V$1,0)))=TRUE,,INDEX(Items!$A$1:$V$698,MATCH($B49,Items!$A$1:$A$698,0),MATCH(G$37,Items!$A$1:$V$1,0)))</f>
        <v/>
      </c>
      <c r="H49" s="156" t="str">
        <f t="array" ref="H49">IF(ISERROR(INDEX(Items!$A$1:$V$698,MATCH($B49,Items!$A$1:$A$698,0),MATCH(H$37,Items!$A$1:$V$1,0)))=TRUE,,INDEX(Items!$A$1:$V$698,MATCH($B49,Items!$A$1:$A$698,0),MATCH(H$37,Items!$A$1:$V$1,0)))</f>
        <v/>
      </c>
      <c r="I49" s="156" t="str">
        <f t="array" ref="I49">IF(ISERROR(INDEX(Items!$A$1:$V$698,MATCH($B49,Items!$A$1:$A$698,0),MATCH(I$37,Items!$A$1:$V$1,0)))=TRUE,,INDEX(Items!$A$1:$V$698,MATCH($B49,Items!$A$1:$A$698,0),MATCH(I$37,Items!$A$1:$V$1,0)))</f>
        <v/>
      </c>
      <c r="J49" s="156" t="str">
        <f t="array" ref="J49">IF(ISERROR(INDEX(Items!$A$1:$V$698,MATCH($B49,Items!$A$1:$A$698,0),MATCH(J$37,Items!$A$1:$V$1,0)))=TRUE,,INDEX(Items!$A$1:$V$698,MATCH($B49,Items!$A$1:$A$698,0),MATCH(J$37,Items!$A$1:$V$1,0)))</f>
        <v/>
      </c>
      <c r="K49" s="156">
        <f t="array" ref="K49">IF(ISERROR(INDEX(Items!$A$1:$V$698,MATCH($B49,Items!$A$1:$A$698,0),MATCH(K$37,Items!$A$1:$V$1,0)))=TRUE,,INDEX(Items!$A$1:$V$698,MATCH($B49,Items!$A$1:$A$698,0),MATCH(K$37,Items!$A$1:$V$1,0)))</f>
        <v>12</v>
      </c>
      <c r="L49" s="156" t="str">
        <f t="array" ref="L49">IF(ISERROR(INDEX(Items!$A$1:$V$698,MATCH($B49,Items!$A$1:$A$698,0),MATCH(L$37,Items!$A$1:$V$1,0)))=TRUE,,INDEX(Items!$A$1:$V$698,MATCH($B49,Items!$A$1:$A$698,0),MATCH(L$37,Items!$A$1:$V$1,0)))</f>
        <v/>
      </c>
      <c r="M49" s="156" t="str">
        <f t="array" ref="M49">IF(ISERROR(INDEX(Items!$A$1:$V$698,MATCH($B49,Items!$A$1:$A$698,0),MATCH(M$37,Items!$A$1:$V$1,0)))=TRUE,,INDEX(Items!$A$1:$V$698,MATCH($B49,Items!$A$1:$A$698,0),MATCH(M$37,Items!$A$1:$V$1,0)))</f>
        <v/>
      </c>
      <c r="N49" s="156" t="str">
        <f t="array" ref="N49">IF(ISERROR(INDEX(Items!$A$1:$V$698,MATCH($B49,Items!$A$1:$A$698,0),MATCH(N$37,Items!$A$1:$V$1,0)))=TRUE,,INDEX(Items!$A$1:$V$698,MATCH($B49,Items!$A$1:$A$698,0),MATCH(N$37,Items!$A$1:$V$1,0)))</f>
        <v/>
      </c>
      <c r="O49" s="156" t="str">
        <f t="array" ref="O49">IF(ISERROR(INDEX(Items!$A$1:$V$698,MATCH($B49,Items!$A$1:$A$698,0),MATCH(O$37,Items!$A$1:$V$1,0)))=TRUE,,INDEX(Items!$A$1:$V$698,MATCH($B49,Items!$A$1:$A$698,0),MATCH(O$37,Items!$A$1:$V$1,0)))</f>
        <v/>
      </c>
      <c r="P49" s="156" t="str">
        <f t="array" ref="P49">IF(ISERROR(INDEX(Items!$A$1:$V$698,MATCH($B49,Items!$A$1:$A$698,0),MATCH(P$37,Items!$A$1:$V$1,0)))=TRUE,,INDEX(Items!$A$1:$V$698,MATCH($B49,Items!$A$1:$A$698,0),MATCH(P$37,Items!$A$1:$V$1,0)))</f>
        <v/>
      </c>
      <c r="Q49" s="156"/>
      <c r="R49" s="156"/>
      <c r="S49" s="156"/>
    </row>
    <row r="50">
      <c r="A50" s="157" t="s">
        <v>112</v>
      </c>
      <c r="B50" s="158" t="str">
        <f>Input!E32</f>
        <v/>
      </c>
      <c r="C50" s="156" t="str">
        <f>Input!$G32</f>
        <v/>
      </c>
      <c r="D50" s="156" t="str">
        <f>Input!$G32</f>
        <v/>
      </c>
      <c r="E50" s="156" t="str">
        <f>Input!$G32</f>
        <v/>
      </c>
      <c r="F50" s="156" t="str">
        <f>Input!$G32</f>
        <v/>
      </c>
      <c r="G50" s="156" t="str">
        <f>Input!$G32</f>
        <v/>
      </c>
      <c r="H50" s="156"/>
      <c r="I50" s="156"/>
      <c r="J50" s="156"/>
      <c r="K50" s="156"/>
      <c r="L50" s="156"/>
      <c r="M50" s="156" t="str">
        <f>Input!$H32</f>
        <v/>
      </c>
      <c r="N50" s="156" t="str">
        <f>Input!$H32</f>
        <v/>
      </c>
      <c r="O50" s="156" t="str">
        <f>Input!$H32</f>
        <v/>
      </c>
      <c r="P50" s="156"/>
      <c r="Q50" s="156"/>
      <c r="R50" s="156"/>
      <c r="S50" s="156"/>
    </row>
    <row r="51">
      <c r="A51" s="168" t="s">
        <v>113</v>
      </c>
      <c r="B51" s="169"/>
      <c r="C51" s="169">
        <f t="shared" ref="C51:O51" si="12">SUM(C38:C50)</f>
        <v>0</v>
      </c>
      <c r="D51" s="169">
        <f t="shared" si="12"/>
        <v>0</v>
      </c>
      <c r="E51" s="169">
        <f t="shared" si="12"/>
        <v>0</v>
      </c>
      <c r="F51" s="169">
        <f t="shared" si="12"/>
        <v>150</v>
      </c>
      <c r="G51" s="169">
        <f t="shared" si="12"/>
        <v>-17</v>
      </c>
      <c r="H51" s="169">
        <f t="shared" si="12"/>
        <v>89</v>
      </c>
      <c r="I51" s="169">
        <f t="shared" si="12"/>
        <v>74</v>
      </c>
      <c r="J51" s="169">
        <f t="shared" si="12"/>
        <v>102</v>
      </c>
      <c r="K51" s="169">
        <f t="shared" si="12"/>
        <v>118</v>
      </c>
      <c r="L51" s="169">
        <f t="shared" si="12"/>
        <v>5</v>
      </c>
      <c r="M51" s="169">
        <f t="shared" si="12"/>
        <v>0</v>
      </c>
      <c r="N51" s="169">
        <f t="shared" si="12"/>
        <v>0</v>
      </c>
      <c r="O51" s="169">
        <f t="shared" si="12"/>
        <v>0.38</v>
      </c>
      <c r="P51" s="169">
        <f>SUM(P38:P50) + IF(P52,7,0)</f>
        <v>4</v>
      </c>
      <c r="Q51" s="156"/>
      <c r="R51" s="156"/>
      <c r="S51" s="156"/>
    </row>
    <row r="52">
      <c r="A52" s="156"/>
      <c r="B52" s="156"/>
      <c r="C52" s="156"/>
      <c r="D52" s="156"/>
      <c r="E52" s="156"/>
      <c r="F52" s="156"/>
      <c r="G52" s="156"/>
      <c r="H52" s="156"/>
      <c r="I52" s="156"/>
      <c r="J52" s="156"/>
      <c r="K52" s="156"/>
      <c r="L52" s="156"/>
      <c r="M52" s="156"/>
      <c r="N52" s="156"/>
      <c r="O52" s="156"/>
      <c r="P52" s="156" t="b">
        <f>AND('Sheet 1'!B38=Items!A99,'Sheet 1'!B41=Items!A207,'Sheet 1'!B43=Items!A276,'Sheet 1'!B44=Items!A291,'Sheet 1'!B45=Items!A335)</f>
        <v>0</v>
      </c>
      <c r="Q52" s="156"/>
      <c r="R52" s="156"/>
      <c r="S52" s="156"/>
    </row>
    <row r="53">
      <c r="A53" s="156"/>
      <c r="B53" s="156"/>
      <c r="C53" s="156"/>
      <c r="D53" s="156"/>
      <c r="E53" s="156"/>
      <c r="F53" s="156"/>
      <c r="G53" s="156"/>
      <c r="H53" s="156"/>
      <c r="I53" s="156"/>
      <c r="J53" s="156"/>
      <c r="K53" s="156"/>
      <c r="L53" s="156"/>
      <c r="M53" s="156"/>
      <c r="N53" s="156"/>
      <c r="O53" s="156"/>
      <c r="P53" s="156"/>
      <c r="Q53" s="156"/>
      <c r="R53" s="156"/>
      <c r="S53" s="156"/>
    </row>
    <row r="54">
      <c r="A54" s="156"/>
      <c r="B54" s="156"/>
      <c r="C54" s="156"/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156"/>
      <c r="P54" s="156"/>
      <c r="Q54" s="156"/>
      <c r="R54" s="156"/>
      <c r="S54" s="156"/>
    </row>
    <row r="55">
      <c r="A55" s="156"/>
      <c r="B55" s="156"/>
      <c r="C55" s="156"/>
      <c r="D55" s="156"/>
      <c r="E55" s="156"/>
      <c r="F55" s="156"/>
      <c r="G55" s="156"/>
      <c r="H55" s="156"/>
      <c r="I55" s="156"/>
      <c r="J55" s="156"/>
      <c r="K55" s="156"/>
      <c r="L55" s="156"/>
      <c r="M55" s="156"/>
      <c r="N55" s="156"/>
      <c r="O55" s="156"/>
      <c r="P55" s="156"/>
      <c r="Q55" s="156"/>
      <c r="R55" s="156"/>
      <c r="S55" s="156"/>
    </row>
    <row r="56">
      <c r="A56" s="167"/>
      <c r="B56" s="167"/>
      <c r="C56" s="167"/>
      <c r="D56" s="167"/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56"/>
      <c r="R56" s="156"/>
      <c r="S56" s="156"/>
    </row>
    <row r="57">
      <c r="A57" s="157" t="str">
        <f t="shared" ref="A57:P57" si="13">A37</f>
        <v>Slot</v>
      </c>
      <c r="B57" s="157" t="str">
        <f t="shared" si="13"/>
        <v>Item</v>
      </c>
      <c r="C57" s="157" t="str">
        <f t="shared" si="13"/>
        <v>Stab attack</v>
      </c>
      <c r="D57" s="157" t="str">
        <f t="shared" si="13"/>
        <v>Slash attack</v>
      </c>
      <c r="E57" s="157" t="str">
        <f t="shared" si="13"/>
        <v>Crush attack</v>
      </c>
      <c r="F57" s="157" t="str">
        <f t="shared" si="13"/>
        <v>Magic attack</v>
      </c>
      <c r="G57" s="157" t="str">
        <f t="shared" si="13"/>
        <v>Ranged attack</v>
      </c>
      <c r="H57" s="157" t="str">
        <f t="shared" si="13"/>
        <v>Stab defence</v>
      </c>
      <c r="I57" s="157" t="str">
        <f t="shared" si="13"/>
        <v>Slash defence</v>
      </c>
      <c r="J57" s="157" t="str">
        <f t="shared" si="13"/>
        <v>Crush defence</v>
      </c>
      <c r="K57" s="157" t="str">
        <f t="shared" si="13"/>
        <v>Magic defence</v>
      </c>
      <c r="L57" s="157" t="str">
        <f t="shared" si="13"/>
        <v>Ranged defence</v>
      </c>
      <c r="M57" s="157" t="str">
        <f t="shared" si="13"/>
        <v>Melee strength</v>
      </c>
      <c r="N57" s="157" t="str">
        <f t="shared" si="13"/>
        <v>Ranged strength</v>
      </c>
      <c r="O57" s="157" t="str">
        <f t="shared" si="13"/>
        <v>Magic damage</v>
      </c>
      <c r="P57" s="157" t="str">
        <f t="shared" si="13"/>
        <v>Prayer</v>
      </c>
      <c r="Q57" s="157"/>
      <c r="R57" s="157"/>
      <c r="S57" s="156"/>
    </row>
    <row r="58">
      <c r="A58" s="157" t="str">
        <f t="shared" ref="A58:A71" si="14">A38</f>
        <v>Weapon</v>
      </c>
      <c r="B58" s="158" t="str">
        <f>IF(ISBLANK(Input!M19),"None",Input!M19)</f>
        <v>None</v>
      </c>
      <c r="C58" s="156" t="str">
        <f t="array" ref="C58">IF(ISERROR(INDEX(Items!$A$1:$V$698,MATCH($B58,Items!$A$1:$A$698,0),MATCH(C$57,Items!$A$1:$V$1,0)))=TRUE,,INDEX(Items!$A$1:$V$698,MATCH($B58,Items!$A$1:$A$698,0),MATCH(C$57,Items!$A$1:$V$1,0)))</f>
        <v/>
      </c>
      <c r="D58" s="156" t="str">
        <f t="array" ref="D58">IF(ISERROR(INDEX(Items!$A$1:$V$698,MATCH($B58,Items!$A$1:$A$698,0),MATCH(D$57,Items!$A$1:$V$1,0)))=TRUE,,INDEX(Items!$A$1:$V$698,MATCH($B58,Items!$A$1:$A$698,0),MATCH(D$57,Items!$A$1:$V$1,0)))</f>
        <v/>
      </c>
      <c r="E58" s="156" t="str">
        <f t="array" ref="E58">IF(ISERROR(INDEX(Items!$A$1:$V$698,MATCH($B58,Items!$A$1:$A$698,0),MATCH(E$57,Items!$A$1:$V$1,0)))=TRUE,,INDEX(Items!$A$1:$V$698,MATCH($B58,Items!$A$1:$A$698,0),MATCH(E$57,Items!$A$1:$V$1,0)))</f>
        <v/>
      </c>
      <c r="F58" s="156" t="str">
        <f t="array" ref="F58">IF(ISERROR(INDEX(Items!$A$1:$V$698,MATCH($B58,Items!$A$1:$A$698,0),MATCH(F$57,Items!$A$1:$V$1,0)))=TRUE,,INDEX(Items!$A$1:$V$698,MATCH($B58,Items!$A$1:$A$698,0),MATCH(F$57,Items!$A$1:$V$1,0)))</f>
        <v/>
      </c>
      <c r="G58" s="156" t="str">
        <f t="array" ref="G58">IF(ISERROR(INDEX(Items!$A$1:$V$698,MATCH($B58,Items!$A$1:$A$698,0),MATCH(G$57,Items!$A$1:$V$1,0)))=TRUE,,INDEX(Items!$A$1:$V$698,MATCH($B58,Items!$A$1:$A$698,0),MATCH(G$57,Items!$A$1:$V$1,0)))</f>
        <v/>
      </c>
      <c r="H58" s="156" t="str">
        <f t="array" ref="H58">IF(ISERROR(INDEX(Items!$A$1:$V$698,MATCH($B58,Items!$A$1:$A$698,0),MATCH(H$57,Items!$A$1:$V$1,0)))=TRUE,,INDEX(Items!$A$1:$V$698,MATCH($B58,Items!$A$1:$A$698,0),MATCH(H$57,Items!$A$1:$V$1,0)))</f>
        <v/>
      </c>
      <c r="I58" s="156" t="str">
        <f t="array" ref="I58">IF(ISERROR(INDEX(Items!$A$1:$V$698,MATCH($B58,Items!$A$1:$A$698,0),MATCH(I$57,Items!$A$1:$V$1,0)))=TRUE,,INDEX(Items!$A$1:$V$698,MATCH($B58,Items!$A$1:$A$698,0),MATCH(I$57,Items!$A$1:$V$1,0)))</f>
        <v/>
      </c>
      <c r="J58" s="156" t="str">
        <f t="array" ref="J58">IF(ISERROR(INDEX(Items!$A$1:$V$698,MATCH($B58,Items!$A$1:$A$698,0),MATCH(J$57,Items!$A$1:$V$1,0)))=TRUE,,INDEX(Items!$A$1:$V$698,MATCH($B58,Items!$A$1:$A$698,0),MATCH(J$57,Items!$A$1:$V$1,0)))</f>
        <v/>
      </c>
      <c r="K58" s="156" t="str">
        <f t="array" ref="K58">IF(ISERROR(INDEX(Items!$A$1:$V$698,MATCH($B58,Items!$A$1:$A$698,0),MATCH(K$57,Items!$A$1:$V$1,0)))=TRUE,,INDEX(Items!$A$1:$V$698,MATCH($B58,Items!$A$1:$A$698,0),MATCH(K$57,Items!$A$1:$V$1,0)))</f>
        <v/>
      </c>
      <c r="L58" s="156" t="str">
        <f t="array" ref="L58">IF(ISERROR(INDEX(Items!$A$1:$V$698,MATCH($B58,Items!$A$1:$A$698,0),MATCH(L$57,Items!$A$1:$V$1,0)))=TRUE,,INDEX(Items!$A$1:$V$698,MATCH($B58,Items!$A$1:$A$698,0),MATCH(L$57,Items!$A$1:$V$1,0)))</f>
        <v/>
      </c>
      <c r="M58" s="156" t="str">
        <f t="array" ref="M58">IF(ISERROR(INDEX(Items!$A$1:$V$698,MATCH($B58,Items!$A$1:$A$698,0),MATCH(M$57,Items!$A$1:$V$1,0)))=TRUE,,INDEX(Items!$A$1:$V$698,MATCH($B58,Items!$A$1:$A$698,0),MATCH(M$57,Items!$A$1:$V$1,0)))</f>
        <v/>
      </c>
      <c r="N58" s="156" t="str">
        <f t="array" ref="N58">IF(ISERROR(INDEX(Items!$A$1:$V$698,MATCH($B58,Items!$A$1:$A$698,0),MATCH(N$57,Items!$A$1:$V$1,0)))=TRUE,,INDEX(Items!$A$1:$V$698,MATCH($B58,Items!$A$1:$A$698,0),MATCH(N$57,Items!$A$1:$V$1,0)))</f>
        <v/>
      </c>
      <c r="O58" s="156" t="str">
        <f t="array" ref="O58">IF(ISERROR(INDEX(Items!$A$1:$V$698,MATCH($B58,Items!$A$1:$A$698,0),MATCH(O$57,Items!$A$1:$V$1,0)))=TRUE,,INDEX(Items!$A$1:$V$698,MATCH($B58,Items!$A$1:$A$698,0),MATCH(O$57,Items!$A$1:$V$1,0)))</f>
        <v/>
      </c>
      <c r="P58" s="156" t="str">
        <f t="array" ref="P58">IF(ISERROR(INDEX(Items!$A$1:$V$698,MATCH($B58,Items!$A$1:$A$698,0),MATCH(P$57,Items!$A$1:$V$1,0)))=TRUE,,INDEX(Items!$A$1:$V$698,MATCH($B58,Items!$A$1:$A$698,0),MATCH(P$57,Items!$A$1:$V$1,0)))</f>
        <v/>
      </c>
      <c r="Q58" s="156"/>
      <c r="R58" s="156"/>
      <c r="S58" s="156"/>
    </row>
    <row r="59">
      <c r="A59" s="157" t="str">
        <f t="shared" si="14"/>
        <v>Spell</v>
      </c>
      <c r="B59" s="170" t="str">
        <f>Input!M21</f>
        <v/>
      </c>
      <c r="C59" s="156"/>
      <c r="D59" s="156"/>
      <c r="E59" s="156"/>
      <c r="F59" s="156"/>
      <c r="G59" s="156"/>
      <c r="H59" s="156"/>
      <c r="I59" s="156"/>
      <c r="J59" s="156"/>
      <c r="K59" s="156"/>
      <c r="L59" s="156"/>
      <c r="M59" s="156"/>
      <c r="N59" s="156"/>
      <c r="O59" s="156"/>
      <c r="P59" s="156"/>
      <c r="Q59" s="156"/>
      <c r="R59" s="156"/>
      <c r="S59" s="156"/>
    </row>
    <row r="60">
      <c r="A60" s="157" t="str">
        <f t="shared" si="14"/>
        <v>Ammo</v>
      </c>
      <c r="B60" s="170" t="str">
        <f>Input!M22</f>
        <v/>
      </c>
      <c r="C60" s="156" t="str">
        <f t="array" ref="C60">IF(ISERROR(INDEX(Items!$A$1:$V$698,MATCH($B60,Items!$A$1:$A$698,0),MATCH(C$57,Items!$A$1:$V$1,0)))=TRUE,,INDEX(Items!$A$1:$V$698,MATCH($B60,Items!$A$1:$A$698,0),MATCH(C$57,Items!$A$1:$V$1,0)))</f>
        <v/>
      </c>
      <c r="D60" s="156" t="str">
        <f t="array" ref="D60">IF(ISERROR(INDEX(Items!$A$1:$V$698,MATCH($B60,Items!$A$1:$A$698,0),MATCH(D$57,Items!$A$1:$V$1,0)))=TRUE,,INDEX(Items!$A$1:$V$698,MATCH($B60,Items!$A$1:$A$698,0),MATCH(D$57,Items!$A$1:$V$1,0)))</f>
        <v/>
      </c>
      <c r="E60" s="156" t="str">
        <f t="array" ref="E60">IF(ISERROR(INDEX(Items!$A$1:$V$698,MATCH($B60,Items!$A$1:$A$698,0),MATCH(E$57,Items!$A$1:$V$1,0)))=TRUE,,INDEX(Items!$A$1:$V$698,MATCH($B60,Items!$A$1:$A$698,0),MATCH(E$57,Items!$A$1:$V$1,0)))</f>
        <v/>
      </c>
      <c r="F60" s="156" t="str">
        <f t="array" ref="F60">IF(ISERROR(INDEX(Items!$A$1:$V$698,MATCH($B60,Items!$A$1:$A$698,0),MATCH(F$57,Items!$A$1:$V$1,0)))=TRUE,,INDEX(Items!$A$1:$V$698,MATCH($B60,Items!$A$1:$A$698,0),MATCH(F$57,Items!$A$1:$V$1,0)))</f>
        <v/>
      </c>
      <c r="G60" s="156" t="str">
        <f t="array" ref="G60">IF(ISERROR(INDEX(Items!$A$1:$V$698,MATCH($B60,Items!$A$1:$A$698,0),MATCH(G$57,Items!$A$1:$V$1,0)))=TRUE,,INDEX(Items!$A$1:$V$698,MATCH($B60,Items!$A$1:$A$698,0),MATCH(G$57,Items!$A$1:$V$1,0)))</f>
        <v/>
      </c>
      <c r="H60" s="156" t="str">
        <f t="array" ref="H60">IF(ISERROR(INDEX(Items!$A$1:$V$698,MATCH($B60,Items!$A$1:$A$698,0),MATCH(H$57,Items!$A$1:$V$1,0)))=TRUE,,INDEX(Items!$A$1:$V$698,MATCH($B60,Items!$A$1:$A$698,0),MATCH(H$57,Items!$A$1:$V$1,0)))</f>
        <v/>
      </c>
      <c r="I60" s="156" t="str">
        <f t="array" ref="I60">IF(ISERROR(INDEX(Items!$A$1:$V$698,MATCH($B60,Items!$A$1:$A$698,0),MATCH(I$57,Items!$A$1:$V$1,0)))=TRUE,,INDEX(Items!$A$1:$V$698,MATCH($B60,Items!$A$1:$A$698,0),MATCH(I$57,Items!$A$1:$V$1,0)))</f>
        <v/>
      </c>
      <c r="J60" s="156" t="str">
        <f t="array" ref="J60">IF(ISERROR(INDEX(Items!$A$1:$V$698,MATCH($B60,Items!$A$1:$A$698,0),MATCH(J$57,Items!$A$1:$V$1,0)))=TRUE,,INDEX(Items!$A$1:$V$698,MATCH($B60,Items!$A$1:$A$698,0),MATCH(J$57,Items!$A$1:$V$1,0)))</f>
        <v/>
      </c>
      <c r="K60" s="156" t="str">
        <f t="array" ref="K60">IF(ISERROR(INDEX(Items!$A$1:$V$698,MATCH($B60,Items!$A$1:$A$698,0),MATCH(K$57,Items!$A$1:$V$1,0)))=TRUE,,INDEX(Items!$A$1:$V$698,MATCH($B60,Items!$A$1:$A$698,0),MATCH(K$57,Items!$A$1:$V$1,0)))</f>
        <v/>
      </c>
      <c r="L60" s="156" t="str">
        <f t="array" ref="L60">IF(ISERROR(INDEX(Items!$A$1:$V$698,MATCH($B60,Items!$A$1:$A$698,0),MATCH(L$57,Items!$A$1:$V$1,0)))=TRUE,,INDEX(Items!$A$1:$V$698,MATCH($B60,Items!$A$1:$A$698,0),MATCH(L$57,Items!$A$1:$V$1,0)))</f>
        <v/>
      </c>
      <c r="M60" s="156" t="str">
        <f t="array" ref="M60">IF(ISERROR(INDEX(Items!$A$1:$V$698,MATCH($B60,Items!$A$1:$A$698,0),MATCH(M$57,Items!$A$1:$V$1,0)))=TRUE,,INDEX(Items!$A$1:$V$698,MATCH($B60,Items!$A$1:$A$698,0),MATCH(M$57,Items!$A$1:$V$1,0)))</f>
        <v/>
      </c>
      <c r="N60" s="156" t="str">
        <f t="array" ref="N60">IF(ISERROR(INDEX(Items!$A$1:$V$698,MATCH($B60,Items!$A$1:$A$698,0),MATCH(N$57,Items!$A$1:$V$1,0)))=TRUE,,INDEX(Items!$A$1:$V$698,MATCH($B60,Items!$A$1:$A$698,0),MATCH(N$57,Items!$A$1:$V$1,0)))</f>
        <v/>
      </c>
      <c r="O60" s="156" t="str">
        <f t="array" ref="O60">IF(ISERROR(INDEX(Items!$A$1:$V$698,MATCH($B60,Items!$A$1:$A$698,0),MATCH(O$57,Items!$A$1:$V$1,0)))=TRUE,,INDEX(Items!$A$1:$V$698,MATCH($B60,Items!$A$1:$A$698,0),MATCH(O$57,Items!$A$1:$V$1,0)))</f>
        <v/>
      </c>
      <c r="P60" s="156" t="str">
        <f t="array" ref="P60">IF(ISERROR(INDEX(Items!$A$1:$V$698,MATCH($B60,Items!$A$1:$A$698,0),MATCH(P$57,Items!$A$1:$V$1,0)))=TRUE,,INDEX(Items!$A$1:$V$698,MATCH($B60,Items!$A$1:$A$698,0),MATCH(P$57,Items!$A$1:$V$1,0)))</f>
        <v/>
      </c>
      <c r="Q60" s="156"/>
      <c r="R60" s="156"/>
      <c r="S60" s="156"/>
    </row>
    <row r="61">
      <c r="A61" s="157" t="str">
        <f t="shared" si="14"/>
        <v>Head</v>
      </c>
      <c r="B61" s="158" t="str">
        <f>Input!M23</f>
        <v/>
      </c>
      <c r="C61" s="156" t="str">
        <f t="array" ref="C61">IF(ISERROR(INDEX(Items!$A$1:$V$698,MATCH($B61,Items!$A$1:$A$698,0),MATCH(C$57,Items!$A$1:$V$1,0)))=TRUE,,INDEX(Items!$A$1:$V$698,MATCH($B61,Items!$A$1:$A$698,0),MATCH(C$57,Items!$A$1:$V$1,0)))</f>
        <v/>
      </c>
      <c r="D61" s="156" t="str">
        <f t="array" ref="D61">IF(ISERROR(INDEX(Items!$A$1:$V$698,MATCH($B61,Items!$A$1:$A$698,0),MATCH(D$57,Items!$A$1:$V$1,0)))=TRUE,,INDEX(Items!$A$1:$V$698,MATCH($B61,Items!$A$1:$A$698,0),MATCH(D$57,Items!$A$1:$V$1,0)))</f>
        <v/>
      </c>
      <c r="E61" s="156" t="str">
        <f t="array" ref="E61">IF(ISERROR(INDEX(Items!$A$1:$V$698,MATCH($B61,Items!$A$1:$A$698,0),MATCH(E$57,Items!$A$1:$V$1,0)))=TRUE,,INDEX(Items!$A$1:$V$698,MATCH($B61,Items!$A$1:$A$698,0),MATCH(E$57,Items!$A$1:$V$1,0)))</f>
        <v/>
      </c>
      <c r="F61" s="156" t="str">
        <f t="array" ref="F61">IF(ISERROR(INDEX(Items!$A$1:$V$698,MATCH($B61,Items!$A$1:$A$698,0),MATCH(F$57,Items!$A$1:$V$1,0)))=TRUE,,INDEX(Items!$A$1:$V$698,MATCH($B61,Items!$A$1:$A$698,0),MATCH(F$57,Items!$A$1:$V$1,0)))</f>
        <v/>
      </c>
      <c r="G61" s="156" t="str">
        <f t="array" ref="G61">IF(ISERROR(INDEX(Items!$A$1:$V$698,MATCH($B61,Items!$A$1:$A$698,0),MATCH(G$57,Items!$A$1:$V$1,0)))=TRUE,,INDEX(Items!$A$1:$V$698,MATCH($B61,Items!$A$1:$A$698,0),MATCH(G$57,Items!$A$1:$V$1,0)))</f>
        <v/>
      </c>
      <c r="H61" s="156" t="str">
        <f t="array" ref="H61">IF(ISERROR(INDEX(Items!$A$1:$V$698,MATCH($B61,Items!$A$1:$A$698,0),MATCH(H$57,Items!$A$1:$V$1,0)))=TRUE,,INDEX(Items!$A$1:$V$698,MATCH($B61,Items!$A$1:$A$698,0),MATCH(H$57,Items!$A$1:$V$1,0)))</f>
        <v/>
      </c>
      <c r="I61" s="156" t="str">
        <f t="array" ref="I61">IF(ISERROR(INDEX(Items!$A$1:$V$698,MATCH($B61,Items!$A$1:$A$698,0),MATCH(I$57,Items!$A$1:$V$1,0)))=TRUE,,INDEX(Items!$A$1:$V$698,MATCH($B61,Items!$A$1:$A$698,0),MATCH(I$57,Items!$A$1:$V$1,0)))</f>
        <v/>
      </c>
      <c r="J61" s="156" t="str">
        <f t="array" ref="J61">IF(ISERROR(INDEX(Items!$A$1:$V$698,MATCH($B61,Items!$A$1:$A$698,0),MATCH(J$57,Items!$A$1:$V$1,0)))=TRUE,,INDEX(Items!$A$1:$V$698,MATCH($B61,Items!$A$1:$A$698,0),MATCH(J$57,Items!$A$1:$V$1,0)))</f>
        <v/>
      </c>
      <c r="K61" s="156" t="str">
        <f t="array" ref="K61">IF(ISERROR(INDEX(Items!$A$1:$V$698,MATCH($B61,Items!$A$1:$A$698,0),MATCH(K$57,Items!$A$1:$V$1,0)))=TRUE,,INDEX(Items!$A$1:$V$698,MATCH($B61,Items!$A$1:$A$698,0),MATCH(K$57,Items!$A$1:$V$1,0)))</f>
        <v/>
      </c>
      <c r="L61" s="156" t="str">
        <f t="array" ref="L61">IF(ISERROR(INDEX(Items!$A$1:$V$698,MATCH($B61,Items!$A$1:$A$698,0),MATCH(L$57,Items!$A$1:$V$1,0)))=TRUE,,INDEX(Items!$A$1:$V$698,MATCH($B61,Items!$A$1:$A$698,0),MATCH(L$57,Items!$A$1:$V$1,0)))</f>
        <v/>
      </c>
      <c r="M61" s="156" t="str">
        <f t="array" ref="M61">IF(ISERROR(INDEX(Items!$A$1:$V$698,MATCH($B61,Items!$A$1:$A$698,0),MATCH(M$57,Items!$A$1:$V$1,0)))=TRUE,,INDEX(Items!$A$1:$V$698,MATCH($B61,Items!$A$1:$A$698,0),MATCH(M$57,Items!$A$1:$V$1,0)))</f>
        <v/>
      </c>
      <c r="N61" s="156" t="str">
        <f t="array" ref="N61">IF(ISERROR(INDEX(Items!$A$1:$V$698,MATCH($B61,Items!$A$1:$A$698,0),MATCH(N$57,Items!$A$1:$V$1,0)))=TRUE,,INDEX(Items!$A$1:$V$698,MATCH($B61,Items!$A$1:$A$698,0),MATCH(N$57,Items!$A$1:$V$1,0)))</f>
        <v/>
      </c>
      <c r="O61" s="156" t="str">
        <f t="array" ref="O61">IF(ISERROR(INDEX(Items!$A$1:$V$698,MATCH($B61,Items!$A$1:$A$698,0),MATCH(O$57,Items!$A$1:$V$1,0)))=TRUE,,INDEX(Items!$A$1:$V$698,MATCH($B61,Items!$A$1:$A$698,0),MATCH(O$57,Items!$A$1:$V$1,0)))</f>
        <v/>
      </c>
      <c r="P61" s="156" t="str">
        <f t="array" ref="P61">IF(ISERROR(INDEX(Items!$A$1:$V$698,MATCH($B61,Items!$A$1:$A$698,0),MATCH(P$57,Items!$A$1:$V$1,0)))=TRUE,,INDEX(Items!$A$1:$V$698,MATCH($B61,Items!$A$1:$A$698,0),MATCH(P$57,Items!$A$1:$V$1,0)))</f>
        <v/>
      </c>
      <c r="Q61" s="156"/>
      <c r="R61" s="156"/>
      <c r="S61" s="156"/>
    </row>
    <row r="62">
      <c r="A62" s="157" t="str">
        <f t="shared" si="14"/>
        <v>Cape</v>
      </c>
      <c r="B62" s="158" t="str">
        <f>Input!M24</f>
        <v/>
      </c>
      <c r="C62" s="156" t="str">
        <f t="array" ref="C62">IF(ISERROR(INDEX(Items!$A$1:$V$698,MATCH($B62,Items!$A$1:$A$698,0),MATCH(C$57,Items!$A$1:$V$1,0)))=TRUE,,INDEX(Items!$A$1:$V$698,MATCH($B62,Items!$A$1:$A$698,0),MATCH(C$57,Items!$A$1:$V$1,0)))</f>
        <v/>
      </c>
      <c r="D62" s="156" t="str">
        <f t="array" ref="D62">IF(ISERROR(INDEX(Items!$A$1:$V$698,MATCH($B62,Items!$A$1:$A$698,0),MATCH(D$57,Items!$A$1:$V$1,0)))=TRUE,,INDEX(Items!$A$1:$V$698,MATCH($B62,Items!$A$1:$A$698,0),MATCH(D$57,Items!$A$1:$V$1,0)))</f>
        <v/>
      </c>
      <c r="E62" s="156" t="str">
        <f t="array" ref="E62">IF(ISERROR(INDEX(Items!$A$1:$V$698,MATCH($B62,Items!$A$1:$A$698,0),MATCH(E$57,Items!$A$1:$V$1,0)))=TRUE,,INDEX(Items!$A$1:$V$698,MATCH($B62,Items!$A$1:$A$698,0),MATCH(E$57,Items!$A$1:$V$1,0)))</f>
        <v/>
      </c>
      <c r="F62" s="156" t="str">
        <f t="array" ref="F62">IF(ISERROR(INDEX(Items!$A$1:$V$698,MATCH($B62,Items!$A$1:$A$698,0),MATCH(F$57,Items!$A$1:$V$1,0)))=TRUE,,INDEX(Items!$A$1:$V$698,MATCH($B62,Items!$A$1:$A$698,0),MATCH(F$57,Items!$A$1:$V$1,0)))</f>
        <v/>
      </c>
      <c r="G62" s="156" t="str">
        <f t="array" ref="G62">IF(ISERROR(INDEX(Items!$A$1:$V$698,MATCH($B62,Items!$A$1:$A$698,0),MATCH(G$57,Items!$A$1:$V$1,0)))=TRUE,,INDEX(Items!$A$1:$V$698,MATCH($B62,Items!$A$1:$A$698,0),MATCH(G$57,Items!$A$1:$V$1,0)))</f>
        <v/>
      </c>
      <c r="H62" s="156" t="str">
        <f t="array" ref="H62">IF(ISERROR(INDEX(Items!$A$1:$V$698,MATCH($B62,Items!$A$1:$A$698,0),MATCH(H$57,Items!$A$1:$V$1,0)))=TRUE,,INDEX(Items!$A$1:$V$698,MATCH($B62,Items!$A$1:$A$698,0),MATCH(H$57,Items!$A$1:$V$1,0)))</f>
        <v/>
      </c>
      <c r="I62" s="156" t="str">
        <f t="array" ref="I62">IF(ISERROR(INDEX(Items!$A$1:$V$698,MATCH($B62,Items!$A$1:$A$698,0),MATCH(I$57,Items!$A$1:$V$1,0)))=TRUE,,INDEX(Items!$A$1:$V$698,MATCH($B62,Items!$A$1:$A$698,0),MATCH(I$57,Items!$A$1:$V$1,0)))</f>
        <v/>
      </c>
      <c r="J62" s="156" t="str">
        <f t="array" ref="J62">IF(ISERROR(INDEX(Items!$A$1:$V$698,MATCH($B62,Items!$A$1:$A$698,0),MATCH(J$57,Items!$A$1:$V$1,0)))=TRUE,,INDEX(Items!$A$1:$V$698,MATCH($B62,Items!$A$1:$A$698,0),MATCH(J$57,Items!$A$1:$V$1,0)))</f>
        <v/>
      </c>
      <c r="K62" s="156" t="str">
        <f t="array" ref="K62">IF(ISERROR(INDEX(Items!$A$1:$V$698,MATCH($B62,Items!$A$1:$A$698,0),MATCH(K$57,Items!$A$1:$V$1,0)))=TRUE,,INDEX(Items!$A$1:$V$698,MATCH($B62,Items!$A$1:$A$698,0),MATCH(K$57,Items!$A$1:$V$1,0)))</f>
        <v/>
      </c>
      <c r="L62" s="156" t="str">
        <f t="array" ref="L62">IF(ISERROR(INDEX(Items!$A$1:$V$698,MATCH($B62,Items!$A$1:$A$698,0),MATCH(L$57,Items!$A$1:$V$1,0)))=TRUE,,INDEX(Items!$A$1:$V$698,MATCH($B62,Items!$A$1:$A$698,0),MATCH(L$57,Items!$A$1:$V$1,0)))</f>
        <v/>
      </c>
      <c r="M62" s="156" t="str">
        <f t="array" ref="M62">IF(ISERROR(INDEX(Items!$A$1:$V$698,MATCH($B62,Items!$A$1:$A$698,0),MATCH(M$57,Items!$A$1:$V$1,0)))=TRUE,,INDEX(Items!$A$1:$V$698,MATCH($B62,Items!$A$1:$A$698,0),MATCH(M$57,Items!$A$1:$V$1,0)))</f>
        <v/>
      </c>
      <c r="N62" s="156" t="str">
        <f t="array" ref="N62">IF(ISERROR(INDEX(Items!$A$1:$V$698,MATCH($B62,Items!$A$1:$A$698,0),MATCH(N$57,Items!$A$1:$V$1,0)))=TRUE,,INDEX(Items!$A$1:$V$698,MATCH($B62,Items!$A$1:$A$698,0),MATCH(N$57,Items!$A$1:$V$1,0)))</f>
        <v/>
      </c>
      <c r="O62" s="156" t="str">
        <f t="array" ref="O62">IF(ISERROR(INDEX(Items!$A$1:$V$698,MATCH($B62,Items!$A$1:$A$698,0),MATCH(O$57,Items!$A$1:$V$1,0)))=TRUE,,INDEX(Items!$A$1:$V$698,MATCH($B62,Items!$A$1:$A$698,0),MATCH(O$57,Items!$A$1:$V$1,0)))</f>
        <v/>
      </c>
      <c r="P62" s="156" t="str">
        <f t="array" ref="P62">IF(ISERROR(INDEX(Items!$A$1:$V$698,MATCH($B62,Items!$A$1:$A$698,0),MATCH(P$57,Items!$A$1:$V$1,0)))=TRUE,,INDEX(Items!$A$1:$V$698,MATCH($B62,Items!$A$1:$A$698,0),MATCH(P$57,Items!$A$1:$V$1,0)))</f>
        <v/>
      </c>
      <c r="Q62" s="156"/>
      <c r="R62" s="156"/>
      <c r="S62" s="156"/>
    </row>
    <row r="63">
      <c r="A63" s="157" t="str">
        <f t="shared" si="14"/>
        <v>Amulet</v>
      </c>
      <c r="B63" s="158" t="str">
        <f>Input!M25</f>
        <v/>
      </c>
      <c r="C63" s="156" t="str">
        <f t="array" ref="C63">IF(ISERROR(INDEX(Items!$A$1:$V$698,MATCH($B63,Items!$A$1:$A$698,0),MATCH(C$57,Items!$A$1:$V$1,0)))=TRUE,,INDEX(Items!$A$1:$V$698,MATCH($B63,Items!$A$1:$A$698,0),MATCH(C$57,Items!$A$1:$V$1,0)))</f>
        <v/>
      </c>
      <c r="D63" s="156" t="str">
        <f t="array" ref="D63">IF(ISERROR(INDEX(Items!$A$1:$V$698,MATCH($B63,Items!$A$1:$A$698,0),MATCH(D$57,Items!$A$1:$V$1,0)))=TRUE,,INDEX(Items!$A$1:$V$698,MATCH($B63,Items!$A$1:$A$698,0),MATCH(D$57,Items!$A$1:$V$1,0)))</f>
        <v/>
      </c>
      <c r="E63" s="156" t="str">
        <f t="array" ref="E63">IF(ISERROR(INDEX(Items!$A$1:$V$698,MATCH($B63,Items!$A$1:$A$698,0),MATCH(E$57,Items!$A$1:$V$1,0)))=TRUE,,INDEX(Items!$A$1:$V$698,MATCH($B63,Items!$A$1:$A$698,0),MATCH(E$57,Items!$A$1:$V$1,0)))</f>
        <v/>
      </c>
      <c r="F63" s="156" t="str">
        <f t="array" ref="F63">IF(ISERROR(INDEX(Items!$A$1:$V$698,MATCH($B63,Items!$A$1:$A$698,0),MATCH(F$57,Items!$A$1:$V$1,0)))=TRUE,,INDEX(Items!$A$1:$V$698,MATCH($B63,Items!$A$1:$A$698,0),MATCH(F$57,Items!$A$1:$V$1,0)))</f>
        <v/>
      </c>
      <c r="G63" s="156" t="str">
        <f t="array" ref="G63">IF(ISERROR(INDEX(Items!$A$1:$V$698,MATCH($B63,Items!$A$1:$A$698,0),MATCH(G$57,Items!$A$1:$V$1,0)))=TRUE,,INDEX(Items!$A$1:$V$698,MATCH($B63,Items!$A$1:$A$698,0),MATCH(G$57,Items!$A$1:$V$1,0)))</f>
        <v/>
      </c>
      <c r="H63" s="156" t="str">
        <f t="array" ref="H63">IF(ISERROR(INDEX(Items!$A$1:$V$698,MATCH($B63,Items!$A$1:$A$698,0),MATCH(H$57,Items!$A$1:$V$1,0)))=TRUE,,INDEX(Items!$A$1:$V$698,MATCH($B63,Items!$A$1:$A$698,0),MATCH(H$57,Items!$A$1:$V$1,0)))</f>
        <v/>
      </c>
      <c r="I63" s="156" t="str">
        <f t="array" ref="I63">IF(ISERROR(INDEX(Items!$A$1:$V$698,MATCH($B63,Items!$A$1:$A$698,0),MATCH(I$57,Items!$A$1:$V$1,0)))=TRUE,,INDEX(Items!$A$1:$V$698,MATCH($B63,Items!$A$1:$A$698,0),MATCH(I$57,Items!$A$1:$V$1,0)))</f>
        <v/>
      </c>
      <c r="J63" s="156" t="str">
        <f t="array" ref="J63">IF(ISERROR(INDEX(Items!$A$1:$V$698,MATCH($B63,Items!$A$1:$A$698,0),MATCH(J$57,Items!$A$1:$V$1,0)))=TRUE,,INDEX(Items!$A$1:$V$698,MATCH($B63,Items!$A$1:$A$698,0),MATCH(J$57,Items!$A$1:$V$1,0)))</f>
        <v/>
      </c>
      <c r="K63" s="156" t="str">
        <f t="array" ref="K63">IF(ISERROR(INDEX(Items!$A$1:$V$698,MATCH($B63,Items!$A$1:$A$698,0),MATCH(K$57,Items!$A$1:$V$1,0)))=TRUE,,INDEX(Items!$A$1:$V$698,MATCH($B63,Items!$A$1:$A$698,0),MATCH(K$57,Items!$A$1:$V$1,0)))</f>
        <v/>
      </c>
      <c r="L63" s="156" t="str">
        <f t="array" ref="L63">IF(ISERROR(INDEX(Items!$A$1:$V$698,MATCH($B63,Items!$A$1:$A$698,0),MATCH(L$57,Items!$A$1:$V$1,0)))=TRUE,,INDEX(Items!$A$1:$V$698,MATCH($B63,Items!$A$1:$A$698,0),MATCH(L$57,Items!$A$1:$V$1,0)))</f>
        <v/>
      </c>
      <c r="M63" s="156" t="str">
        <f t="array" ref="M63">IF(ISERROR(INDEX(Items!$A$1:$V$698,MATCH($B63,Items!$A$1:$A$698,0),MATCH(M$57,Items!$A$1:$V$1,0)))=TRUE,,INDEX(Items!$A$1:$V$698,MATCH($B63,Items!$A$1:$A$698,0),MATCH(M$57,Items!$A$1:$V$1,0)))</f>
        <v/>
      </c>
      <c r="N63" s="156" t="str">
        <f t="array" ref="N63">IF(ISERROR(INDEX(Items!$A$1:$V$698,MATCH($B63,Items!$A$1:$A$698,0),MATCH(N$57,Items!$A$1:$V$1,0)))=TRUE,,INDEX(Items!$A$1:$V$698,MATCH($B63,Items!$A$1:$A$698,0),MATCH(N$57,Items!$A$1:$V$1,0)))</f>
        <v/>
      </c>
      <c r="O63" s="156" t="str">
        <f t="array" ref="O63">IF(ISERROR(INDEX(Items!$A$1:$V$698,MATCH($B63,Items!$A$1:$A$698,0),MATCH(O$57,Items!$A$1:$V$1,0)))=TRUE,,INDEX(Items!$A$1:$V$698,MATCH($B63,Items!$A$1:$A$698,0),MATCH(O$57,Items!$A$1:$V$1,0)))</f>
        <v/>
      </c>
      <c r="P63" s="156" t="str">
        <f t="array" ref="P63">IF(ISERROR(INDEX(Items!$A$1:$V$698,MATCH($B63,Items!$A$1:$A$698,0),MATCH(P$57,Items!$A$1:$V$1,0)))=TRUE,,INDEX(Items!$A$1:$V$698,MATCH($B63,Items!$A$1:$A$698,0),MATCH(P$57,Items!$A$1:$V$1,0)))</f>
        <v/>
      </c>
      <c r="Q63" s="156"/>
      <c r="R63" s="156"/>
      <c r="S63" s="156"/>
    </row>
    <row r="64">
      <c r="A64" s="157" t="str">
        <f t="shared" si="14"/>
        <v>Chest</v>
      </c>
      <c r="B64" s="158" t="str">
        <f>Input!M26</f>
        <v/>
      </c>
      <c r="C64" s="156" t="str">
        <f t="array" ref="C64">IF(ISERROR(INDEX(Items!$A$1:$V$698,MATCH($B64,Items!$A$1:$A$698,0),MATCH(C$57,Items!$A$1:$V$1,0)))=TRUE,,INDEX(Items!$A$1:$V$698,MATCH($B64,Items!$A$1:$A$698,0),MATCH(C$57,Items!$A$1:$V$1,0)))</f>
        <v/>
      </c>
      <c r="D64" s="156" t="str">
        <f t="array" ref="D64">IF(ISERROR(INDEX(Items!$A$1:$V$698,MATCH($B64,Items!$A$1:$A$698,0),MATCH(D$57,Items!$A$1:$V$1,0)))=TRUE,,INDEX(Items!$A$1:$V$698,MATCH($B64,Items!$A$1:$A$698,0),MATCH(D$57,Items!$A$1:$V$1,0)))</f>
        <v/>
      </c>
      <c r="E64" s="156" t="str">
        <f t="array" ref="E64">IF(ISERROR(INDEX(Items!$A$1:$V$698,MATCH($B64,Items!$A$1:$A$698,0),MATCH(E$57,Items!$A$1:$V$1,0)))=TRUE,,INDEX(Items!$A$1:$V$698,MATCH($B64,Items!$A$1:$A$698,0),MATCH(E$57,Items!$A$1:$V$1,0)))</f>
        <v/>
      </c>
      <c r="F64" s="156" t="str">
        <f t="array" ref="F64">IF(ISERROR(INDEX(Items!$A$1:$V$698,MATCH($B64,Items!$A$1:$A$698,0),MATCH(F$57,Items!$A$1:$V$1,0)))=TRUE,,INDEX(Items!$A$1:$V$698,MATCH($B64,Items!$A$1:$A$698,0),MATCH(F$57,Items!$A$1:$V$1,0)))</f>
        <v/>
      </c>
      <c r="G64" s="156" t="str">
        <f t="array" ref="G64">IF(ISERROR(INDEX(Items!$A$1:$V$698,MATCH($B64,Items!$A$1:$A$698,0),MATCH(G$57,Items!$A$1:$V$1,0)))=TRUE,,INDEX(Items!$A$1:$V$698,MATCH($B64,Items!$A$1:$A$698,0),MATCH(G$57,Items!$A$1:$V$1,0)))</f>
        <v/>
      </c>
      <c r="H64" s="156" t="str">
        <f t="array" ref="H64">IF(ISERROR(INDEX(Items!$A$1:$V$698,MATCH($B64,Items!$A$1:$A$698,0),MATCH(H$57,Items!$A$1:$V$1,0)))=TRUE,,INDEX(Items!$A$1:$V$698,MATCH($B64,Items!$A$1:$A$698,0),MATCH(H$57,Items!$A$1:$V$1,0)))</f>
        <v/>
      </c>
      <c r="I64" s="156" t="str">
        <f t="array" ref="I64">IF(ISERROR(INDEX(Items!$A$1:$V$698,MATCH($B64,Items!$A$1:$A$698,0),MATCH(I$57,Items!$A$1:$V$1,0)))=TRUE,,INDEX(Items!$A$1:$V$698,MATCH($B64,Items!$A$1:$A$698,0),MATCH(I$57,Items!$A$1:$V$1,0)))</f>
        <v/>
      </c>
      <c r="J64" s="156" t="str">
        <f t="array" ref="J64">IF(ISERROR(INDEX(Items!$A$1:$V$698,MATCH($B64,Items!$A$1:$A$698,0),MATCH(J$57,Items!$A$1:$V$1,0)))=TRUE,,INDEX(Items!$A$1:$V$698,MATCH($B64,Items!$A$1:$A$698,0),MATCH(J$57,Items!$A$1:$V$1,0)))</f>
        <v/>
      </c>
      <c r="K64" s="156" t="str">
        <f t="array" ref="K64">IF(ISERROR(INDEX(Items!$A$1:$V$698,MATCH($B64,Items!$A$1:$A$698,0),MATCH(K$57,Items!$A$1:$V$1,0)))=TRUE,,INDEX(Items!$A$1:$V$698,MATCH($B64,Items!$A$1:$A$698,0),MATCH(K$57,Items!$A$1:$V$1,0)))</f>
        <v/>
      </c>
      <c r="L64" s="156" t="str">
        <f t="array" ref="L64">IF(ISERROR(INDEX(Items!$A$1:$V$698,MATCH($B64,Items!$A$1:$A$698,0),MATCH(L$57,Items!$A$1:$V$1,0)))=TRUE,,INDEX(Items!$A$1:$V$698,MATCH($B64,Items!$A$1:$A$698,0),MATCH(L$57,Items!$A$1:$V$1,0)))</f>
        <v/>
      </c>
      <c r="M64" s="156" t="str">
        <f t="array" ref="M64">IF(ISERROR(INDEX(Items!$A$1:$V$698,MATCH($B64,Items!$A$1:$A$698,0),MATCH(M$57,Items!$A$1:$V$1,0)))=TRUE,,INDEX(Items!$A$1:$V$698,MATCH($B64,Items!$A$1:$A$698,0),MATCH(M$57,Items!$A$1:$V$1,0)))</f>
        <v/>
      </c>
      <c r="N64" s="156" t="str">
        <f t="array" ref="N64">IF(ISERROR(INDEX(Items!$A$1:$V$698,MATCH($B64,Items!$A$1:$A$698,0),MATCH(N$57,Items!$A$1:$V$1,0)))=TRUE,,INDEX(Items!$A$1:$V$698,MATCH($B64,Items!$A$1:$A$698,0),MATCH(N$57,Items!$A$1:$V$1,0)))</f>
        <v/>
      </c>
      <c r="O64" s="156" t="str">
        <f t="array" ref="O64">IF(ISERROR(INDEX(Items!$A$1:$V$698,MATCH($B64,Items!$A$1:$A$698,0),MATCH(O$57,Items!$A$1:$V$1,0)))=TRUE,,INDEX(Items!$A$1:$V$698,MATCH($B64,Items!$A$1:$A$698,0),MATCH(O$57,Items!$A$1:$V$1,0)))</f>
        <v/>
      </c>
      <c r="P64" s="156" t="str">
        <f t="array" ref="P64">IF(ISERROR(INDEX(Items!$A$1:$V$698,MATCH($B64,Items!$A$1:$A$698,0),MATCH(P$57,Items!$A$1:$V$1,0)))=TRUE,,INDEX(Items!$A$1:$V$698,MATCH($B64,Items!$A$1:$A$698,0),MATCH(P$57,Items!$A$1:$V$1,0)))</f>
        <v/>
      </c>
      <c r="Q64" s="156"/>
      <c r="R64" s="156"/>
      <c r="S64" s="156"/>
    </row>
    <row r="65">
      <c r="A65" s="157" t="str">
        <f t="shared" si="14"/>
        <v>Legs</v>
      </c>
      <c r="B65" s="158" t="str">
        <f>Input!M27</f>
        <v/>
      </c>
      <c r="C65" s="156" t="str">
        <f t="array" ref="C65">IF(ISERROR(INDEX(Items!$A$1:$V$698,MATCH($B65,Items!$A$1:$A$698,0),MATCH(C$57,Items!$A$1:$V$1,0)))=TRUE,,INDEX(Items!$A$1:$V$698,MATCH($B65,Items!$A$1:$A$698,0),MATCH(C$57,Items!$A$1:$V$1,0)))</f>
        <v/>
      </c>
      <c r="D65" s="156" t="str">
        <f t="array" ref="D65">IF(ISERROR(INDEX(Items!$A$1:$V$698,MATCH($B65,Items!$A$1:$A$698,0),MATCH(D$57,Items!$A$1:$V$1,0)))=TRUE,,INDEX(Items!$A$1:$V$698,MATCH($B65,Items!$A$1:$A$698,0),MATCH(D$57,Items!$A$1:$V$1,0)))</f>
        <v/>
      </c>
      <c r="E65" s="156" t="str">
        <f t="array" ref="E65">IF(ISERROR(INDEX(Items!$A$1:$V$698,MATCH($B65,Items!$A$1:$A$698,0),MATCH(E$57,Items!$A$1:$V$1,0)))=TRUE,,INDEX(Items!$A$1:$V$698,MATCH($B65,Items!$A$1:$A$698,0),MATCH(E$57,Items!$A$1:$V$1,0)))</f>
        <v/>
      </c>
      <c r="F65" s="156" t="str">
        <f t="array" ref="F65">IF(ISERROR(INDEX(Items!$A$1:$V$698,MATCH($B65,Items!$A$1:$A$698,0),MATCH(F$57,Items!$A$1:$V$1,0)))=TRUE,,INDEX(Items!$A$1:$V$698,MATCH($B65,Items!$A$1:$A$698,0),MATCH(F$57,Items!$A$1:$V$1,0)))</f>
        <v/>
      </c>
      <c r="G65" s="156" t="str">
        <f t="array" ref="G65">IF(ISERROR(INDEX(Items!$A$1:$V$698,MATCH($B65,Items!$A$1:$A$698,0),MATCH(G$57,Items!$A$1:$V$1,0)))=TRUE,,INDEX(Items!$A$1:$V$698,MATCH($B65,Items!$A$1:$A$698,0),MATCH(G$57,Items!$A$1:$V$1,0)))</f>
        <v/>
      </c>
      <c r="H65" s="156" t="str">
        <f t="array" ref="H65">IF(ISERROR(INDEX(Items!$A$1:$V$698,MATCH($B65,Items!$A$1:$A$698,0),MATCH(H$57,Items!$A$1:$V$1,0)))=TRUE,,INDEX(Items!$A$1:$V$698,MATCH($B65,Items!$A$1:$A$698,0),MATCH(H$57,Items!$A$1:$V$1,0)))</f>
        <v/>
      </c>
      <c r="I65" s="156" t="str">
        <f t="array" ref="I65">IF(ISERROR(INDEX(Items!$A$1:$V$698,MATCH($B65,Items!$A$1:$A$698,0),MATCH(I$57,Items!$A$1:$V$1,0)))=TRUE,,INDEX(Items!$A$1:$V$698,MATCH($B65,Items!$A$1:$A$698,0),MATCH(I$57,Items!$A$1:$V$1,0)))</f>
        <v/>
      </c>
      <c r="J65" s="156" t="str">
        <f t="array" ref="J65">IF(ISERROR(INDEX(Items!$A$1:$V$698,MATCH($B65,Items!$A$1:$A$698,0),MATCH(J$57,Items!$A$1:$V$1,0)))=TRUE,,INDEX(Items!$A$1:$V$698,MATCH($B65,Items!$A$1:$A$698,0),MATCH(J$57,Items!$A$1:$V$1,0)))</f>
        <v/>
      </c>
      <c r="K65" s="156" t="str">
        <f t="array" ref="K65">IF(ISERROR(INDEX(Items!$A$1:$V$698,MATCH($B65,Items!$A$1:$A$698,0),MATCH(K$57,Items!$A$1:$V$1,0)))=TRUE,,INDEX(Items!$A$1:$V$698,MATCH($B65,Items!$A$1:$A$698,0),MATCH(K$57,Items!$A$1:$V$1,0)))</f>
        <v/>
      </c>
      <c r="L65" s="156" t="str">
        <f t="array" ref="L65">IF(ISERROR(INDEX(Items!$A$1:$V$698,MATCH($B65,Items!$A$1:$A$698,0),MATCH(L$57,Items!$A$1:$V$1,0)))=TRUE,,INDEX(Items!$A$1:$V$698,MATCH($B65,Items!$A$1:$A$698,0),MATCH(L$57,Items!$A$1:$V$1,0)))</f>
        <v/>
      </c>
      <c r="M65" s="156" t="str">
        <f t="array" ref="M65">IF(ISERROR(INDEX(Items!$A$1:$V$698,MATCH($B65,Items!$A$1:$A$698,0),MATCH(M$57,Items!$A$1:$V$1,0)))=TRUE,,INDEX(Items!$A$1:$V$698,MATCH($B65,Items!$A$1:$A$698,0),MATCH(M$57,Items!$A$1:$V$1,0)))</f>
        <v/>
      </c>
      <c r="N65" s="156" t="str">
        <f t="array" ref="N65">IF(ISERROR(INDEX(Items!$A$1:$V$698,MATCH($B65,Items!$A$1:$A$698,0),MATCH(N$57,Items!$A$1:$V$1,0)))=TRUE,,INDEX(Items!$A$1:$V$698,MATCH($B65,Items!$A$1:$A$698,0),MATCH(N$57,Items!$A$1:$V$1,0)))</f>
        <v/>
      </c>
      <c r="O65" s="156" t="str">
        <f t="array" ref="O65">IF(ISERROR(INDEX(Items!$A$1:$V$698,MATCH($B65,Items!$A$1:$A$698,0),MATCH(O$57,Items!$A$1:$V$1,0)))=TRUE,,INDEX(Items!$A$1:$V$698,MATCH($B65,Items!$A$1:$A$698,0),MATCH(O$57,Items!$A$1:$V$1,0)))</f>
        <v/>
      </c>
      <c r="P65" s="156" t="str">
        <f t="array" ref="P65">IF(ISERROR(INDEX(Items!$A$1:$V$698,MATCH($B65,Items!$A$1:$A$698,0),MATCH(P$57,Items!$A$1:$V$1,0)))=TRUE,,INDEX(Items!$A$1:$V$698,MATCH($B65,Items!$A$1:$A$698,0),MATCH(P$57,Items!$A$1:$V$1,0)))</f>
        <v/>
      </c>
      <c r="Q65" s="156"/>
      <c r="R65" s="156"/>
      <c r="S65" s="156"/>
    </row>
    <row r="66">
      <c r="A66" s="157" t="str">
        <f t="shared" si="14"/>
        <v>Shield</v>
      </c>
      <c r="B66" s="158" t="str">
        <f>Input!M28</f>
        <v/>
      </c>
      <c r="C66" s="156" t="str">
        <f t="array" ref="C66">IF(ISERROR(INDEX(Items!$A$1:$V$698,MATCH($B66,Items!$A$1:$A$698,0),MATCH(C$57,Items!$A$1:$V$1,0)))=TRUE,,INDEX(Items!$A$1:$V$698,MATCH($B66,Items!$A$1:$A$698,0),MATCH(C$57,Items!$A$1:$V$1,0)))</f>
        <v/>
      </c>
      <c r="D66" s="156" t="str">
        <f t="array" ref="D66">IF(ISERROR(INDEX(Items!$A$1:$V$698,MATCH($B66,Items!$A$1:$A$698,0),MATCH(D$57,Items!$A$1:$V$1,0)))=TRUE,,INDEX(Items!$A$1:$V$698,MATCH($B66,Items!$A$1:$A$698,0),MATCH(D$57,Items!$A$1:$V$1,0)))</f>
        <v/>
      </c>
      <c r="E66" s="156" t="str">
        <f t="array" ref="E66">IF(ISERROR(INDEX(Items!$A$1:$V$698,MATCH($B66,Items!$A$1:$A$698,0),MATCH(E$57,Items!$A$1:$V$1,0)))=TRUE,,INDEX(Items!$A$1:$V$698,MATCH($B66,Items!$A$1:$A$698,0),MATCH(E$57,Items!$A$1:$V$1,0)))</f>
        <v/>
      </c>
      <c r="F66" s="156" t="str">
        <f t="array" ref="F66">IF(ISERROR(INDEX(Items!$A$1:$V$698,MATCH($B66,Items!$A$1:$A$698,0),MATCH(F$57,Items!$A$1:$V$1,0)))=TRUE,,INDEX(Items!$A$1:$V$698,MATCH($B66,Items!$A$1:$A$698,0),MATCH(F$57,Items!$A$1:$V$1,0)))</f>
        <v/>
      </c>
      <c r="G66" s="156" t="str">
        <f t="array" ref="G66">IF(ISERROR(INDEX(Items!$A$1:$V$698,MATCH($B66,Items!$A$1:$A$698,0),MATCH(G$57,Items!$A$1:$V$1,0)))=TRUE,,INDEX(Items!$A$1:$V$698,MATCH($B66,Items!$A$1:$A$698,0),MATCH(G$57,Items!$A$1:$V$1,0)))</f>
        <v/>
      </c>
      <c r="H66" s="156" t="str">
        <f t="array" ref="H66">IF(ISERROR(INDEX(Items!$A$1:$V$698,MATCH($B66,Items!$A$1:$A$698,0),MATCH(H$57,Items!$A$1:$V$1,0)))=TRUE,,INDEX(Items!$A$1:$V$698,MATCH($B66,Items!$A$1:$A$698,0),MATCH(H$57,Items!$A$1:$V$1,0)))</f>
        <v/>
      </c>
      <c r="I66" s="156" t="str">
        <f t="array" ref="I66">IF(ISERROR(INDEX(Items!$A$1:$V$698,MATCH($B66,Items!$A$1:$A$698,0),MATCH(I$57,Items!$A$1:$V$1,0)))=TRUE,,INDEX(Items!$A$1:$V$698,MATCH($B66,Items!$A$1:$A$698,0),MATCH(I$57,Items!$A$1:$V$1,0)))</f>
        <v/>
      </c>
      <c r="J66" s="156" t="str">
        <f t="array" ref="J66">IF(ISERROR(INDEX(Items!$A$1:$V$698,MATCH($B66,Items!$A$1:$A$698,0),MATCH(J$57,Items!$A$1:$V$1,0)))=TRUE,,INDEX(Items!$A$1:$V$698,MATCH($B66,Items!$A$1:$A$698,0),MATCH(J$57,Items!$A$1:$V$1,0)))</f>
        <v/>
      </c>
      <c r="K66" s="156" t="str">
        <f t="array" ref="K66">IF(ISERROR(INDEX(Items!$A$1:$V$698,MATCH($B66,Items!$A$1:$A$698,0),MATCH(K$57,Items!$A$1:$V$1,0)))=TRUE,,INDEX(Items!$A$1:$V$698,MATCH($B66,Items!$A$1:$A$698,0),MATCH(K$57,Items!$A$1:$V$1,0)))</f>
        <v/>
      </c>
      <c r="L66" s="156" t="str">
        <f t="array" ref="L66">IF(ISERROR(INDEX(Items!$A$1:$V$698,MATCH($B66,Items!$A$1:$A$698,0),MATCH(L$57,Items!$A$1:$V$1,0)))=TRUE,,INDEX(Items!$A$1:$V$698,MATCH($B66,Items!$A$1:$A$698,0),MATCH(L$57,Items!$A$1:$V$1,0)))</f>
        <v/>
      </c>
      <c r="M66" s="156" t="str">
        <f t="array" ref="M66">IF(ISERROR(INDEX(Items!$A$1:$V$698,MATCH($B66,Items!$A$1:$A$698,0),MATCH(M$57,Items!$A$1:$V$1,0)))=TRUE,,INDEX(Items!$A$1:$V$698,MATCH($B66,Items!$A$1:$A$698,0),MATCH(M$57,Items!$A$1:$V$1,0)))</f>
        <v/>
      </c>
      <c r="N66" s="156" t="str">
        <f t="array" ref="N66">IF(ISERROR(INDEX(Items!$A$1:$V$698,MATCH($B66,Items!$A$1:$A$698,0),MATCH(N$57,Items!$A$1:$V$1,0)))=TRUE,,INDEX(Items!$A$1:$V$698,MATCH($B66,Items!$A$1:$A$698,0),MATCH(N$57,Items!$A$1:$V$1,0)))</f>
        <v/>
      </c>
      <c r="O66" s="156" t="str">
        <f t="array" ref="O66">IF(ISERROR(INDEX(Items!$A$1:$V$698,MATCH($B66,Items!$A$1:$A$698,0),MATCH(O$57,Items!$A$1:$V$1,0)))=TRUE,,INDEX(Items!$A$1:$V$698,MATCH($B66,Items!$A$1:$A$698,0),MATCH(O$57,Items!$A$1:$V$1,0)))</f>
        <v/>
      </c>
      <c r="P66" s="156" t="str">
        <f t="array" ref="P66">IF(ISERROR(INDEX(Items!$A$1:$V$698,MATCH($B66,Items!$A$1:$A$698,0),MATCH(P$57,Items!$A$1:$V$1,0)))=TRUE,,INDEX(Items!$A$1:$V$698,MATCH($B66,Items!$A$1:$A$698,0),MATCH(P$57,Items!$A$1:$V$1,0)))</f>
        <v/>
      </c>
      <c r="Q66" s="156"/>
      <c r="R66" s="156"/>
      <c r="S66" s="156"/>
    </row>
    <row r="67">
      <c r="A67" s="157" t="str">
        <f t="shared" si="14"/>
        <v>Gloves</v>
      </c>
      <c r="B67" s="158" t="str">
        <f>Input!M29</f>
        <v/>
      </c>
      <c r="C67" s="156" t="str">
        <f t="array" ref="C67">IF(ISERROR(INDEX(Items!$A$1:$V$698,MATCH($B67,Items!$A$1:$A$698,0),MATCH(C$57,Items!$A$1:$V$1,0)))=TRUE,,INDEX(Items!$A$1:$V$698,MATCH($B67,Items!$A$1:$A$698,0),MATCH(C$57,Items!$A$1:$V$1,0)))</f>
        <v/>
      </c>
      <c r="D67" s="156" t="str">
        <f t="array" ref="D67">IF(ISERROR(INDEX(Items!$A$1:$V$698,MATCH($B67,Items!$A$1:$A$698,0),MATCH(D$57,Items!$A$1:$V$1,0)))=TRUE,,INDEX(Items!$A$1:$V$698,MATCH($B67,Items!$A$1:$A$698,0),MATCH(D$57,Items!$A$1:$V$1,0)))</f>
        <v/>
      </c>
      <c r="E67" s="156" t="str">
        <f t="array" ref="E67">IF(ISERROR(INDEX(Items!$A$1:$V$698,MATCH($B67,Items!$A$1:$A$698,0),MATCH(E$57,Items!$A$1:$V$1,0)))=TRUE,,INDEX(Items!$A$1:$V$698,MATCH($B67,Items!$A$1:$A$698,0),MATCH(E$57,Items!$A$1:$V$1,0)))</f>
        <v/>
      </c>
      <c r="F67" s="156" t="str">
        <f t="array" ref="F67">IF(ISERROR(INDEX(Items!$A$1:$V$698,MATCH($B67,Items!$A$1:$A$698,0),MATCH(F$57,Items!$A$1:$V$1,0)))=TRUE,,INDEX(Items!$A$1:$V$698,MATCH($B67,Items!$A$1:$A$698,0),MATCH(F$57,Items!$A$1:$V$1,0)))</f>
        <v/>
      </c>
      <c r="G67" s="156" t="str">
        <f t="array" ref="G67">IF(ISERROR(INDEX(Items!$A$1:$V$698,MATCH($B67,Items!$A$1:$A$698,0),MATCH(G$57,Items!$A$1:$V$1,0)))=TRUE,,INDEX(Items!$A$1:$V$698,MATCH($B67,Items!$A$1:$A$698,0),MATCH(G$57,Items!$A$1:$V$1,0)))</f>
        <v/>
      </c>
      <c r="H67" s="156" t="str">
        <f t="array" ref="H67">IF(ISERROR(INDEX(Items!$A$1:$V$698,MATCH($B67,Items!$A$1:$A$698,0),MATCH(H$57,Items!$A$1:$V$1,0)))=TRUE,,INDEX(Items!$A$1:$V$698,MATCH($B67,Items!$A$1:$A$698,0),MATCH(H$57,Items!$A$1:$V$1,0)))</f>
        <v/>
      </c>
      <c r="I67" s="156" t="str">
        <f t="array" ref="I67">IF(ISERROR(INDEX(Items!$A$1:$V$698,MATCH($B67,Items!$A$1:$A$698,0),MATCH(I$57,Items!$A$1:$V$1,0)))=TRUE,,INDEX(Items!$A$1:$V$698,MATCH($B67,Items!$A$1:$A$698,0),MATCH(I$57,Items!$A$1:$V$1,0)))</f>
        <v/>
      </c>
      <c r="J67" s="156" t="str">
        <f t="array" ref="J67">IF(ISERROR(INDEX(Items!$A$1:$V$698,MATCH($B67,Items!$A$1:$A$698,0),MATCH(J$57,Items!$A$1:$V$1,0)))=TRUE,,INDEX(Items!$A$1:$V$698,MATCH($B67,Items!$A$1:$A$698,0),MATCH(J$57,Items!$A$1:$V$1,0)))</f>
        <v/>
      </c>
      <c r="K67" s="156" t="str">
        <f t="array" ref="K67">IF(ISERROR(INDEX(Items!$A$1:$V$698,MATCH($B67,Items!$A$1:$A$698,0),MATCH(K$57,Items!$A$1:$V$1,0)))=TRUE,,INDEX(Items!$A$1:$V$698,MATCH($B67,Items!$A$1:$A$698,0),MATCH(K$57,Items!$A$1:$V$1,0)))</f>
        <v/>
      </c>
      <c r="L67" s="156" t="str">
        <f t="array" ref="L67">IF(ISERROR(INDEX(Items!$A$1:$V$698,MATCH($B67,Items!$A$1:$A$698,0),MATCH(L$57,Items!$A$1:$V$1,0)))=TRUE,,INDEX(Items!$A$1:$V$698,MATCH($B67,Items!$A$1:$A$698,0),MATCH(L$57,Items!$A$1:$V$1,0)))</f>
        <v/>
      </c>
      <c r="M67" s="156" t="str">
        <f t="array" ref="M67">IF(ISERROR(INDEX(Items!$A$1:$V$698,MATCH($B67,Items!$A$1:$A$698,0),MATCH(M$57,Items!$A$1:$V$1,0)))=TRUE,,INDEX(Items!$A$1:$V$698,MATCH($B67,Items!$A$1:$A$698,0),MATCH(M$57,Items!$A$1:$V$1,0)))</f>
        <v/>
      </c>
      <c r="N67" s="156" t="str">
        <f t="array" ref="N67">IF(ISERROR(INDEX(Items!$A$1:$V$698,MATCH($B67,Items!$A$1:$A$698,0),MATCH(N$57,Items!$A$1:$V$1,0)))=TRUE,,INDEX(Items!$A$1:$V$698,MATCH($B67,Items!$A$1:$A$698,0),MATCH(N$57,Items!$A$1:$V$1,0)))</f>
        <v/>
      </c>
      <c r="O67" s="156" t="str">
        <f t="array" ref="O67">IF(ISERROR(INDEX(Items!$A$1:$V$698,MATCH($B67,Items!$A$1:$A$698,0),MATCH(O$57,Items!$A$1:$V$1,0)))=TRUE,,INDEX(Items!$A$1:$V$698,MATCH($B67,Items!$A$1:$A$698,0),MATCH(O$57,Items!$A$1:$V$1,0)))</f>
        <v/>
      </c>
      <c r="P67" s="156" t="str">
        <f t="array" ref="P67">IF(ISERROR(INDEX(Items!$A$1:$V$698,MATCH($B67,Items!$A$1:$A$698,0),MATCH(P$57,Items!$A$1:$V$1,0)))=TRUE,,INDEX(Items!$A$1:$V$698,MATCH($B67,Items!$A$1:$A$698,0),MATCH(P$57,Items!$A$1:$V$1,0)))</f>
        <v/>
      </c>
      <c r="Q67" s="156"/>
      <c r="R67" s="156"/>
      <c r="S67" s="156"/>
    </row>
    <row r="68">
      <c r="A68" s="157" t="str">
        <f t="shared" si="14"/>
        <v>Boots</v>
      </c>
      <c r="B68" s="158" t="str">
        <f>Input!M30</f>
        <v/>
      </c>
      <c r="C68" s="156" t="str">
        <f t="array" ref="C68">IF(ISERROR(INDEX(Items!$A$1:$V$698,MATCH($B68,Items!$A$1:$A$698,0),MATCH(C$57,Items!$A$1:$V$1,0)))=TRUE,,INDEX(Items!$A$1:$V$698,MATCH($B68,Items!$A$1:$A$698,0),MATCH(C$57,Items!$A$1:$V$1,0)))</f>
        <v/>
      </c>
      <c r="D68" s="156" t="str">
        <f t="array" ref="D68">IF(ISERROR(INDEX(Items!$A$1:$V$698,MATCH($B68,Items!$A$1:$A$698,0),MATCH(D$57,Items!$A$1:$V$1,0)))=TRUE,,INDEX(Items!$A$1:$V$698,MATCH($B68,Items!$A$1:$A$698,0),MATCH(D$57,Items!$A$1:$V$1,0)))</f>
        <v/>
      </c>
      <c r="E68" s="156" t="str">
        <f t="array" ref="E68">IF(ISERROR(INDEX(Items!$A$1:$V$698,MATCH($B68,Items!$A$1:$A$698,0),MATCH(E$57,Items!$A$1:$V$1,0)))=TRUE,,INDEX(Items!$A$1:$V$698,MATCH($B68,Items!$A$1:$A$698,0),MATCH(E$57,Items!$A$1:$V$1,0)))</f>
        <v/>
      </c>
      <c r="F68" s="156" t="str">
        <f t="array" ref="F68">IF(ISERROR(INDEX(Items!$A$1:$V$698,MATCH($B68,Items!$A$1:$A$698,0),MATCH(F$57,Items!$A$1:$V$1,0)))=TRUE,,INDEX(Items!$A$1:$V$698,MATCH($B68,Items!$A$1:$A$698,0),MATCH(F$57,Items!$A$1:$V$1,0)))</f>
        <v/>
      </c>
      <c r="G68" s="156" t="str">
        <f t="array" ref="G68">IF(ISERROR(INDEX(Items!$A$1:$V$698,MATCH($B68,Items!$A$1:$A$698,0),MATCH(G$57,Items!$A$1:$V$1,0)))=TRUE,,INDEX(Items!$A$1:$V$698,MATCH($B68,Items!$A$1:$A$698,0),MATCH(G$57,Items!$A$1:$V$1,0)))</f>
        <v/>
      </c>
      <c r="H68" s="156" t="str">
        <f t="array" ref="H68">IF(ISERROR(INDEX(Items!$A$1:$V$698,MATCH($B68,Items!$A$1:$A$698,0),MATCH(H$57,Items!$A$1:$V$1,0)))=TRUE,,INDEX(Items!$A$1:$V$698,MATCH($B68,Items!$A$1:$A$698,0),MATCH(H$57,Items!$A$1:$V$1,0)))</f>
        <v/>
      </c>
      <c r="I68" s="156" t="str">
        <f t="array" ref="I68">IF(ISERROR(INDEX(Items!$A$1:$V$698,MATCH($B68,Items!$A$1:$A$698,0),MATCH(I$57,Items!$A$1:$V$1,0)))=TRUE,,INDEX(Items!$A$1:$V$698,MATCH($B68,Items!$A$1:$A$698,0),MATCH(I$57,Items!$A$1:$V$1,0)))</f>
        <v/>
      </c>
      <c r="J68" s="156" t="str">
        <f t="array" ref="J68">IF(ISERROR(INDEX(Items!$A$1:$V$698,MATCH($B68,Items!$A$1:$A$698,0),MATCH(J$57,Items!$A$1:$V$1,0)))=TRUE,,INDEX(Items!$A$1:$V$698,MATCH($B68,Items!$A$1:$A$698,0),MATCH(J$57,Items!$A$1:$V$1,0)))</f>
        <v/>
      </c>
      <c r="K68" s="156" t="str">
        <f t="array" ref="K68">IF(ISERROR(INDEX(Items!$A$1:$V$698,MATCH($B68,Items!$A$1:$A$698,0),MATCH(K$57,Items!$A$1:$V$1,0)))=TRUE,,INDEX(Items!$A$1:$V$698,MATCH($B68,Items!$A$1:$A$698,0),MATCH(K$57,Items!$A$1:$V$1,0)))</f>
        <v/>
      </c>
      <c r="L68" s="156" t="str">
        <f t="array" ref="L68">IF(ISERROR(INDEX(Items!$A$1:$V$698,MATCH($B68,Items!$A$1:$A$698,0),MATCH(L$57,Items!$A$1:$V$1,0)))=TRUE,,INDEX(Items!$A$1:$V$698,MATCH($B68,Items!$A$1:$A$698,0),MATCH(L$57,Items!$A$1:$V$1,0)))</f>
        <v/>
      </c>
      <c r="M68" s="156" t="str">
        <f t="array" ref="M68">IF(ISERROR(INDEX(Items!$A$1:$V$698,MATCH($B68,Items!$A$1:$A$698,0),MATCH(M$57,Items!$A$1:$V$1,0)))=TRUE,,INDEX(Items!$A$1:$V$698,MATCH($B68,Items!$A$1:$A$698,0),MATCH(M$57,Items!$A$1:$V$1,0)))</f>
        <v/>
      </c>
      <c r="N68" s="156" t="str">
        <f t="array" ref="N68">IF(ISERROR(INDEX(Items!$A$1:$V$698,MATCH($B68,Items!$A$1:$A$698,0),MATCH(N$57,Items!$A$1:$V$1,0)))=TRUE,,INDEX(Items!$A$1:$V$698,MATCH($B68,Items!$A$1:$A$698,0),MATCH(N$57,Items!$A$1:$V$1,0)))</f>
        <v/>
      </c>
      <c r="O68" s="156" t="str">
        <f t="array" ref="O68">IF(ISERROR(INDEX(Items!$A$1:$V$698,MATCH($B68,Items!$A$1:$A$698,0),MATCH(O$57,Items!$A$1:$V$1,0)))=TRUE,,INDEX(Items!$A$1:$V$698,MATCH($B68,Items!$A$1:$A$698,0),MATCH(O$57,Items!$A$1:$V$1,0)))</f>
        <v/>
      </c>
      <c r="P68" s="156" t="str">
        <f t="array" ref="P68">IF(ISERROR(INDEX(Items!$A$1:$V$698,MATCH($B68,Items!$A$1:$A$698,0),MATCH(P$57,Items!$A$1:$V$1,0)))=TRUE,,INDEX(Items!$A$1:$V$698,MATCH($B68,Items!$A$1:$A$698,0),MATCH(P$57,Items!$A$1:$V$1,0)))</f>
        <v/>
      </c>
      <c r="Q68" s="156"/>
      <c r="R68" s="156"/>
      <c r="S68" s="156"/>
    </row>
    <row r="69">
      <c r="A69" s="157" t="str">
        <f t="shared" si="14"/>
        <v>Ring</v>
      </c>
      <c r="B69" s="158" t="str">
        <f>Input!M31</f>
        <v/>
      </c>
      <c r="C69" s="156" t="str">
        <f t="array" ref="C69">IF(ISERROR(INDEX(Items!$A$1:$V$698,MATCH($B69,Items!$A$1:$A$698,0),MATCH(C$57,Items!$A$1:$V$1,0)))=TRUE,,INDEX(Items!$A$1:$V$698,MATCH($B69,Items!$A$1:$A$698,0),MATCH(C$57,Items!$A$1:$V$1,0)))</f>
        <v/>
      </c>
      <c r="D69" s="156" t="str">
        <f t="array" ref="D69">IF(ISERROR(INDEX(Items!$A$1:$V$698,MATCH($B69,Items!$A$1:$A$698,0),MATCH(D$57,Items!$A$1:$V$1,0)))=TRUE,,INDEX(Items!$A$1:$V$698,MATCH($B69,Items!$A$1:$A$698,0),MATCH(D$57,Items!$A$1:$V$1,0)))</f>
        <v/>
      </c>
      <c r="E69" s="156" t="str">
        <f t="array" ref="E69">IF(ISERROR(INDEX(Items!$A$1:$V$698,MATCH($B69,Items!$A$1:$A$698,0),MATCH(E$57,Items!$A$1:$V$1,0)))=TRUE,,INDEX(Items!$A$1:$V$698,MATCH($B69,Items!$A$1:$A$698,0),MATCH(E$57,Items!$A$1:$V$1,0)))</f>
        <v/>
      </c>
      <c r="F69" s="156" t="str">
        <f t="array" ref="F69">IF(ISERROR(INDEX(Items!$A$1:$V$698,MATCH($B69,Items!$A$1:$A$698,0),MATCH(F$57,Items!$A$1:$V$1,0)))=TRUE,,INDEX(Items!$A$1:$V$698,MATCH($B69,Items!$A$1:$A$698,0),MATCH(F$57,Items!$A$1:$V$1,0)))</f>
        <v/>
      </c>
      <c r="G69" s="156" t="str">
        <f t="array" ref="G69">IF(ISERROR(INDEX(Items!$A$1:$V$698,MATCH($B69,Items!$A$1:$A$698,0),MATCH(G$57,Items!$A$1:$V$1,0)))=TRUE,,INDEX(Items!$A$1:$V$698,MATCH($B69,Items!$A$1:$A$698,0),MATCH(G$57,Items!$A$1:$V$1,0)))</f>
        <v/>
      </c>
      <c r="H69" s="156" t="str">
        <f t="array" ref="H69">IF(ISERROR(INDEX(Items!$A$1:$V$698,MATCH($B69,Items!$A$1:$A$698,0),MATCH(H$57,Items!$A$1:$V$1,0)))=TRUE,,INDEX(Items!$A$1:$V$698,MATCH($B69,Items!$A$1:$A$698,0),MATCH(H$57,Items!$A$1:$V$1,0)))</f>
        <v/>
      </c>
      <c r="I69" s="156" t="str">
        <f t="array" ref="I69">IF(ISERROR(INDEX(Items!$A$1:$V$698,MATCH($B69,Items!$A$1:$A$698,0),MATCH(I$57,Items!$A$1:$V$1,0)))=TRUE,,INDEX(Items!$A$1:$V$698,MATCH($B69,Items!$A$1:$A$698,0),MATCH(I$57,Items!$A$1:$V$1,0)))</f>
        <v/>
      </c>
      <c r="J69" s="156" t="str">
        <f t="array" ref="J69">IF(ISERROR(INDEX(Items!$A$1:$V$698,MATCH($B69,Items!$A$1:$A$698,0),MATCH(J$57,Items!$A$1:$V$1,0)))=TRUE,,INDEX(Items!$A$1:$V$698,MATCH($B69,Items!$A$1:$A$698,0),MATCH(J$57,Items!$A$1:$V$1,0)))</f>
        <v/>
      </c>
      <c r="K69" s="156" t="str">
        <f t="array" ref="K69">IF(ISERROR(INDEX(Items!$A$1:$V$698,MATCH($B69,Items!$A$1:$A$698,0),MATCH(K$57,Items!$A$1:$V$1,0)))=TRUE,,INDEX(Items!$A$1:$V$698,MATCH($B69,Items!$A$1:$A$698,0),MATCH(K$57,Items!$A$1:$V$1,0)))</f>
        <v/>
      </c>
      <c r="L69" s="156" t="str">
        <f t="array" ref="L69">IF(ISERROR(INDEX(Items!$A$1:$V$698,MATCH($B69,Items!$A$1:$A$698,0),MATCH(L$57,Items!$A$1:$V$1,0)))=TRUE,,INDEX(Items!$A$1:$V$698,MATCH($B69,Items!$A$1:$A$698,0),MATCH(L$57,Items!$A$1:$V$1,0)))</f>
        <v/>
      </c>
      <c r="M69" s="156" t="str">
        <f t="array" ref="M69">IF(ISERROR(INDEX(Items!$A$1:$V$698,MATCH($B69,Items!$A$1:$A$698,0),MATCH(M$57,Items!$A$1:$V$1,0)))=TRUE,,INDEX(Items!$A$1:$V$698,MATCH($B69,Items!$A$1:$A$698,0),MATCH(M$57,Items!$A$1:$V$1,0)))</f>
        <v/>
      </c>
      <c r="N69" s="156" t="str">
        <f t="array" ref="N69">IF(ISERROR(INDEX(Items!$A$1:$V$698,MATCH($B69,Items!$A$1:$A$698,0),MATCH(N$57,Items!$A$1:$V$1,0)))=TRUE,,INDEX(Items!$A$1:$V$698,MATCH($B69,Items!$A$1:$A$698,0),MATCH(N$57,Items!$A$1:$V$1,0)))</f>
        <v/>
      </c>
      <c r="O69" s="156" t="str">
        <f t="array" ref="O69">IF(ISERROR(INDEX(Items!$A$1:$V$698,MATCH($B69,Items!$A$1:$A$698,0),MATCH(O$57,Items!$A$1:$V$1,0)))=TRUE,,INDEX(Items!$A$1:$V$698,MATCH($B69,Items!$A$1:$A$698,0),MATCH(O$57,Items!$A$1:$V$1,0)))</f>
        <v/>
      </c>
      <c r="P69" s="156" t="str">
        <f t="array" ref="P69">IF(ISERROR(INDEX(Items!$A$1:$V$698,MATCH($B69,Items!$A$1:$A$698,0),MATCH(P$57,Items!$A$1:$V$1,0)))=TRUE,,INDEX(Items!$A$1:$V$698,MATCH($B69,Items!$A$1:$A$698,0),MATCH(P$57,Items!$A$1:$V$1,0)))</f>
        <v/>
      </c>
      <c r="Q69" s="156"/>
      <c r="R69" s="156"/>
      <c r="S69" s="156"/>
    </row>
    <row r="70">
      <c r="A70" s="157" t="str">
        <f t="shared" si="14"/>
        <v>Custom</v>
      </c>
      <c r="B70" s="158" t="str">
        <f>Input!M32</f>
        <v/>
      </c>
      <c r="C70" s="156" t="str">
        <f>Input!$O32</f>
        <v/>
      </c>
      <c r="D70" s="156" t="str">
        <f>Input!$O32</f>
        <v/>
      </c>
      <c r="E70" s="156" t="str">
        <f>Input!$O32</f>
        <v/>
      </c>
      <c r="F70" s="156" t="str">
        <f>Input!$O32</f>
        <v/>
      </c>
      <c r="G70" s="156" t="str">
        <f>Input!$O32</f>
        <v/>
      </c>
      <c r="H70" s="156"/>
      <c r="I70" s="156"/>
      <c r="J70" s="156"/>
      <c r="K70" s="156"/>
      <c r="L70" s="156"/>
      <c r="M70" s="156" t="str">
        <f>Input!$P32</f>
        <v/>
      </c>
      <c r="N70" s="156" t="str">
        <f>Input!$P32</f>
        <v/>
      </c>
      <c r="O70" s="156" t="str">
        <f>Input!$P32</f>
        <v/>
      </c>
      <c r="P70" s="156" t="str">
        <f t="array" ref="P70">IF(ISERROR(INDEX(Items!$A$1:$V$698,MATCH($B70,Items!$A$1:$A$698,0),MATCH(P$57,Items!$A$1:$V$1,0)))=TRUE,,INDEX(Items!$A$1:$V$698,MATCH($B70,Items!$A$1:$A$698,0),MATCH(P$57,Items!$A$1:$V$1,0)))</f>
        <v/>
      </c>
      <c r="Q70" s="156"/>
      <c r="R70" s="156"/>
      <c r="S70" s="156"/>
    </row>
    <row r="71">
      <c r="A71" s="168" t="str">
        <f t="shared" si="14"/>
        <v>Total</v>
      </c>
      <c r="B71" s="169"/>
      <c r="C71" s="169">
        <f t="shared" ref="C71:O71" si="15">SUM(C58:C70)</f>
        <v>0</v>
      </c>
      <c r="D71" s="169">
        <f t="shared" si="15"/>
        <v>0</v>
      </c>
      <c r="E71" s="169">
        <f t="shared" si="15"/>
        <v>0</v>
      </c>
      <c r="F71" s="169">
        <f t="shared" si="15"/>
        <v>0</v>
      </c>
      <c r="G71" s="169">
        <f t="shared" si="15"/>
        <v>0</v>
      </c>
      <c r="H71" s="169">
        <f t="shared" si="15"/>
        <v>0</v>
      </c>
      <c r="I71" s="169">
        <f t="shared" si="15"/>
        <v>0</v>
      </c>
      <c r="J71" s="169">
        <f t="shared" si="15"/>
        <v>0</v>
      </c>
      <c r="K71" s="169">
        <f t="shared" si="15"/>
        <v>0</v>
      </c>
      <c r="L71" s="169">
        <f t="shared" si="15"/>
        <v>0</v>
      </c>
      <c r="M71" s="169">
        <f t="shared" si="15"/>
        <v>0</v>
      </c>
      <c r="N71" s="169">
        <f t="shared" si="15"/>
        <v>0</v>
      </c>
      <c r="O71" s="169">
        <f t="shared" si="15"/>
        <v>0</v>
      </c>
      <c r="P71" s="169">
        <f>SUM(P58:P70) + IF(P72,7,0)</f>
        <v>0</v>
      </c>
      <c r="Q71" s="156"/>
      <c r="R71" s="156"/>
      <c r="S71" s="156"/>
    </row>
    <row r="72">
      <c r="A72" s="156"/>
      <c r="B72" s="156"/>
      <c r="C72" s="156"/>
      <c r="D72" s="156"/>
      <c r="E72" s="156"/>
      <c r="F72" s="156"/>
      <c r="G72" s="156"/>
      <c r="H72" s="156"/>
      <c r="I72" s="156"/>
      <c r="J72" s="156"/>
      <c r="K72" s="156"/>
      <c r="L72" s="156"/>
      <c r="M72" s="156"/>
      <c r="N72" s="156"/>
      <c r="O72" s="156"/>
      <c r="P72" s="156" t="b">
        <f>AND('Sheet 1'!B58=Items!A99,'Sheet 1'!B61=Items!A207,'Sheet 1'!B63=Items!A276,'Sheet 1'!B64=Items!A291,'Sheet 1'!B65=Items!A335)</f>
        <v>0</v>
      </c>
      <c r="Q72" s="156"/>
      <c r="R72" s="156"/>
      <c r="S72" s="156"/>
    </row>
    <row r="73">
      <c r="A73" s="156"/>
      <c r="B73" s="156"/>
      <c r="C73" s="156"/>
      <c r="D73" s="156"/>
      <c r="E73" s="156"/>
      <c r="F73" s="156"/>
      <c r="G73" s="156"/>
      <c r="H73" s="156"/>
      <c r="I73" s="156"/>
      <c r="J73" s="156"/>
      <c r="K73" s="156"/>
      <c r="L73" s="156"/>
      <c r="M73" s="156"/>
      <c r="N73" s="156"/>
      <c r="O73" s="14"/>
      <c r="P73" s="156"/>
      <c r="Q73" s="156"/>
      <c r="R73" s="156"/>
      <c r="S73" s="156"/>
    </row>
    <row r="74">
      <c r="A74" s="171"/>
      <c r="Q74" s="156"/>
      <c r="R74" s="156"/>
      <c r="S74" s="156"/>
    </row>
    <row r="75">
      <c r="A75" s="39" t="s">
        <v>133</v>
      </c>
      <c r="B75" s="172" t="str">
        <f>IF(ISBLANK(Input!J5),'NPC stats'!A5,Input!J5)</f>
        <v>Corporeal beast</v>
      </c>
      <c r="C75" s="173"/>
      <c r="D75" s="157" t="str">
        <f t="array" ref="D75">INDEX('NPC stats'!$A$2:$AC108,MATCH($B$75,'NPC stats'!$A$2:$A108,0),MATCH('NPC stats'!$AB$2,'NPC stats'!$A$2:S$2,0))</f>
        <v/>
      </c>
      <c r="E75" s="157" t="str">
        <f t="array" ref="E75">INDEX('NPC stats'!$A$2:$AC108,MATCH($B$75,'NPC stats'!$A$2:$A108,0),MATCH('NPC stats'!$B$2,'NPC stats'!$A$2:S$2,0))</f>
        <v/>
      </c>
      <c r="F75" s="156" t="str">
        <f t="array" ref="F75">"Level: "&amp;INDEX('NPC stats'!$A$2:$Z108,MATCH('Sheet 1'!B75,'NPC stats'!$A$2:$A108,0),MATCH('NPC stats'!D2,'NPC stats'!$A$2:S$2,0))</f>
        <v>Level: 785</v>
      </c>
      <c r="G75" s="157"/>
      <c r="H75" s="157"/>
      <c r="I75" s="157"/>
      <c r="K75" s="157"/>
      <c r="L75" s="157"/>
      <c r="M75" s="157"/>
      <c r="N75" s="174"/>
      <c r="O75" s="156"/>
      <c r="P75" s="156"/>
      <c r="Q75" s="156"/>
      <c r="R75" s="156"/>
      <c r="S75" s="156"/>
    </row>
    <row r="76">
      <c r="B76" s="169"/>
      <c r="C76" s="157"/>
      <c r="D76" s="157"/>
      <c r="E76" s="157"/>
      <c r="G76" s="157"/>
      <c r="H76" s="157"/>
      <c r="I76" s="157"/>
      <c r="K76" s="157"/>
      <c r="L76" s="157"/>
      <c r="M76" s="157"/>
      <c r="N76" s="174"/>
      <c r="O76" s="156"/>
      <c r="P76" s="156"/>
      <c r="Q76" s="156"/>
      <c r="R76" s="156"/>
      <c r="S76" s="156"/>
    </row>
    <row r="77">
      <c r="C77" s="157" t="s">
        <v>134</v>
      </c>
      <c r="D77" s="157" t="s">
        <v>135</v>
      </c>
      <c r="E77" s="157" t="s">
        <v>136</v>
      </c>
      <c r="G77" s="157" t="s">
        <v>137</v>
      </c>
      <c r="H77" s="157" t="s">
        <v>138</v>
      </c>
      <c r="I77" s="157" t="s">
        <v>139</v>
      </c>
      <c r="K77" s="157" t="s">
        <v>140</v>
      </c>
      <c r="L77" s="157" t="s">
        <v>141</v>
      </c>
      <c r="M77" s="157" t="s">
        <v>5</v>
      </c>
      <c r="N77" s="174" t="str">
        <f t="array" ref="N77">INDEX('NPC stats'!$A$2:$Z108,MATCH(B75,'NPC stats'!$A$2:$A108,0),MATCH('NPC stats'!$L$2,'NPC stats'!$A$2:S$2,0))</f>
        <v/>
      </c>
      <c r="O77" s="156" t="str">
        <f t="array" ref="O77">INDEX('NPC stats'!$A$2:$Z108,MATCH(B75,'NPC stats'!$A$2:$A108,0),MATCH('NPC stats'!$K$2,'NPC stats'!$A$2:S$2,0))</f>
        <v/>
      </c>
      <c r="P77" s="156"/>
      <c r="Q77" s="156"/>
      <c r="R77" s="156"/>
      <c r="S77" s="156"/>
    </row>
    <row r="78">
      <c r="B78" s="157" t="s">
        <v>142</v>
      </c>
      <c r="C78" s="175">
        <f>F89</f>
        <v>310</v>
      </c>
      <c r="D78" s="156">
        <f t="shared" ref="D78:D82" si="16">L87</f>
        <v>25</v>
      </c>
      <c r="E78" s="156">
        <f t="shared" ref="E78:E82" si="17">INT((9+C78)*(64+D78))</f>
        <v>28391</v>
      </c>
      <c r="G78" s="156">
        <f>F87</f>
        <v>320</v>
      </c>
      <c r="H78" s="156">
        <f t="array" ref="H78">INDEX('NPC stats'!$A$2:$Z108,MATCH($B$75,'NPC stats'!$A$2:$A108,0),MATCH('NPC stats'!$P$2,'NPC stats'!$A$2:S$2,0))</f>
        <v>50</v>
      </c>
      <c r="I78" s="14">
        <f t="shared" ref="I78:I82" si="18">INT((9+G78)*(64+H78))</f>
        <v>37506</v>
      </c>
      <c r="K78" s="156">
        <f>F88</f>
        <v>320</v>
      </c>
      <c r="L78" s="156">
        <f t="array" ref="L78">INDEX('NPC stats'!$A$2:$Z108,MATCH($B$75,'NPC stats'!$A$2:$A108,0),MATCH('NPC stats'!$Q$2,'NPC stats'!$A$2:S$2,0))</f>
        <v>0</v>
      </c>
      <c r="M78" s="156">
        <f t="shared" ref="M78:M82" si="19">INT(0.5+(9+K78)*(64+L78)/640)</f>
        <v>33</v>
      </c>
      <c r="N78" s="174">
        <f t="shared" ref="N78:N82" si="20">N$77*0.6</f>
        <v>0</v>
      </c>
      <c r="O78" s="156" t="b">
        <f t="shared" ref="O78:O82" si="21">B78=O$77</f>
        <v>0</v>
      </c>
      <c r="P78" s="156"/>
      <c r="Q78" s="156"/>
      <c r="R78" s="156"/>
      <c r="S78" s="156"/>
    </row>
    <row r="79">
      <c r="B79" s="157" t="s">
        <v>143</v>
      </c>
      <c r="C79" s="175">
        <f>F89</f>
        <v>310</v>
      </c>
      <c r="D79" s="156">
        <f t="shared" si="16"/>
        <v>200</v>
      </c>
      <c r="E79" s="156">
        <f t="shared" si="17"/>
        <v>84216</v>
      </c>
      <c r="G79" s="156">
        <f>F87</f>
        <v>320</v>
      </c>
      <c r="H79" s="156">
        <f t="array" ref="H79">INDEX('NPC stats'!$A$2:$Z108,MATCH($B$75,'NPC stats'!$A$2:$A108,0),MATCH('NPC stats'!$P$2,'NPC stats'!$A$2:S$2,0))</f>
        <v>50</v>
      </c>
      <c r="I79" s="14">
        <f t="shared" si="18"/>
        <v>37506</v>
      </c>
      <c r="K79" s="156">
        <f>F88</f>
        <v>320</v>
      </c>
      <c r="L79" s="156">
        <f t="array" ref="L79">INDEX('NPC stats'!$A$2:$Z108,MATCH($B$75,'NPC stats'!$A$2:$A108,0),MATCH('NPC stats'!$Q$2,'NPC stats'!$A$2:S$2,0))</f>
        <v>0</v>
      </c>
      <c r="M79" s="156">
        <f t="shared" si="19"/>
        <v>33</v>
      </c>
      <c r="N79" s="174">
        <f t="shared" si="20"/>
        <v>0</v>
      </c>
      <c r="O79" s="156" t="b">
        <f t="shared" si="21"/>
        <v>0</v>
      </c>
      <c r="P79" s="156"/>
      <c r="Q79" s="156"/>
      <c r="R79" s="156"/>
      <c r="S79" s="156"/>
    </row>
    <row r="80">
      <c r="B80" s="157" t="s">
        <v>144</v>
      </c>
      <c r="C80" s="175">
        <f>F89</f>
        <v>310</v>
      </c>
      <c r="D80" s="156">
        <f t="shared" si="16"/>
        <v>100</v>
      </c>
      <c r="E80" s="156">
        <f t="shared" si="17"/>
        <v>52316</v>
      </c>
      <c r="G80" s="156">
        <f>F87</f>
        <v>320</v>
      </c>
      <c r="H80" s="156">
        <f t="array" ref="H80">INDEX('NPC stats'!$A$2:$Z108,MATCH($B$75,'NPC stats'!$A$2:$A108,0),MATCH('NPC stats'!$P$2,'NPC stats'!$A$2:S$2,0))</f>
        <v>50</v>
      </c>
      <c r="I80" s="14">
        <f t="shared" si="18"/>
        <v>37506</v>
      </c>
      <c r="K80" s="156">
        <f>F88</f>
        <v>320</v>
      </c>
      <c r="L80" s="156">
        <f t="array" ref="L80">INDEX('NPC stats'!$A$2:$Z108,MATCH($B$75,'NPC stats'!$A$2:$A108,0),MATCH('NPC stats'!$Q$2,'NPC stats'!$A$2:S$2,0))</f>
        <v>0</v>
      </c>
      <c r="M80" s="156">
        <f t="shared" si="19"/>
        <v>33</v>
      </c>
      <c r="N80" s="174">
        <f t="shared" si="20"/>
        <v>0</v>
      </c>
      <c r="O80" s="156" t="b">
        <f t="shared" si="21"/>
        <v>0</v>
      </c>
      <c r="P80" s="156"/>
      <c r="Q80" s="156"/>
      <c r="R80" s="156"/>
      <c r="S80" s="156"/>
    </row>
    <row r="81">
      <c r="B81" s="157" t="s">
        <v>35</v>
      </c>
      <c r="C81" s="175">
        <f>if(OR(B75="Ice demon",B75="Ice demon CM",B75='NPC stats'!A460),F89,F90)</f>
        <v>350</v>
      </c>
      <c r="D81" s="156">
        <f t="shared" si="16"/>
        <v>150</v>
      </c>
      <c r="E81" s="156">
        <f t="shared" si="17"/>
        <v>76826</v>
      </c>
      <c r="G81" s="156">
        <f t="shared" ref="G81:G82" si="22">F90</f>
        <v>350</v>
      </c>
      <c r="H81" s="156">
        <f t="array" ref="H81">INDEX('NPC stats'!$A$2:$Z108,MATCH($B$75,'NPC stats'!$A$2:$A108,0),MATCH(B81&amp;" attack",'NPC stats'!$A$2:S$2,0))</f>
        <v>0</v>
      </c>
      <c r="I81" s="14">
        <f t="shared" si="18"/>
        <v>22976</v>
      </c>
      <c r="K81" s="156">
        <f t="shared" ref="K81:K82" si="23">G81</f>
        <v>350</v>
      </c>
      <c r="L81" s="156" t="str">
        <f t="array" ref="L81">INDEX('NPC stats'!$A$2:$Z108,MATCH($B$75,'NPC stats'!$A$2:$A108,0),MATCH('NPC stats'!$S$2,'NPC stats'!$A$2:S$2,0))</f>
        <v/>
      </c>
      <c r="M81" s="156">
        <f t="shared" si="19"/>
        <v>36</v>
      </c>
      <c r="N81" s="174">
        <f t="shared" si="20"/>
        <v>0</v>
      </c>
      <c r="O81" s="156" t="b">
        <f t="shared" si="21"/>
        <v>0</v>
      </c>
      <c r="P81" s="156"/>
      <c r="Q81" s="156"/>
      <c r="R81" s="156"/>
      <c r="S81" s="156"/>
    </row>
    <row r="82">
      <c r="B82" s="157" t="s">
        <v>39</v>
      </c>
      <c r="C82" s="175">
        <f>F89</f>
        <v>310</v>
      </c>
      <c r="D82" s="156">
        <f t="shared" si="16"/>
        <v>230</v>
      </c>
      <c r="E82" s="156">
        <f t="shared" si="17"/>
        <v>93786</v>
      </c>
      <c r="G82" s="156">
        <f t="shared" si="22"/>
        <v>150</v>
      </c>
      <c r="H82" s="156">
        <f t="array" ref="H82">INDEX('NPC stats'!$A$2:$Z108,MATCH($B$75,'NPC stats'!$A$2:$A108,0),MATCH(B82&amp;" attack",'NPC stats'!$A$2:S$2,0))</f>
        <v>0</v>
      </c>
      <c r="I82" s="14">
        <f t="shared" si="18"/>
        <v>10176</v>
      </c>
      <c r="K82" s="156">
        <f t="shared" si="23"/>
        <v>150</v>
      </c>
      <c r="L82" s="156" t="str">
        <f t="array" ref="L82">INDEX('NPC stats'!$A$2:$Z108,MATCH($B$75,'NPC stats'!$A$2:$A108,0),MATCH('NPC stats'!$U$2,'NPC stats'!$A$2:S$2,0))</f>
        <v/>
      </c>
      <c r="M82" s="156">
        <f t="shared" si="19"/>
        <v>16</v>
      </c>
      <c r="N82" s="174">
        <f t="shared" si="20"/>
        <v>0</v>
      </c>
      <c r="O82" s="156" t="b">
        <f t="shared" si="21"/>
        <v>0</v>
      </c>
      <c r="P82" s="156"/>
      <c r="Q82" s="156"/>
      <c r="R82" s="156"/>
      <c r="S82" s="156"/>
    </row>
    <row r="83">
      <c r="A83" s="39" t="s">
        <v>145</v>
      </c>
      <c r="B83" s="176">
        <f>if(Area1="1x1",1,if(Area1="2x2",2,3))</f>
        <v>3</v>
      </c>
      <c r="C83" s="156"/>
      <c r="D83" s="156"/>
      <c r="E83" s="156"/>
      <c r="F83" s="156"/>
      <c r="G83" s="156"/>
      <c r="H83" s="156"/>
      <c r="I83" s="156"/>
      <c r="J83" s="156"/>
      <c r="K83" s="156"/>
      <c r="L83" s="156"/>
      <c r="M83" s="156"/>
      <c r="N83" s="156"/>
      <c r="O83" s="156"/>
      <c r="P83" s="156"/>
      <c r="Q83" s="156"/>
      <c r="R83" s="156"/>
      <c r="S83" s="156"/>
    </row>
    <row r="84">
      <c r="A84" s="39"/>
      <c r="B84" s="156"/>
      <c r="C84" s="156"/>
      <c r="D84" s="156"/>
      <c r="E84" s="156"/>
      <c r="F84" s="156"/>
      <c r="G84" s="156"/>
      <c r="H84" s="156"/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S84" s="156"/>
    </row>
    <row r="85">
      <c r="A85" s="156"/>
      <c r="B85" s="156"/>
      <c r="C85" s="156"/>
      <c r="D85" s="156"/>
      <c r="E85" s="156"/>
      <c r="F85" s="156"/>
      <c r="G85" s="156"/>
      <c r="H85" s="156"/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S85" s="156"/>
    </row>
    <row r="86">
      <c r="A86" s="177"/>
      <c r="B86" s="177"/>
      <c r="C86" s="177"/>
      <c r="D86" s="177"/>
      <c r="E86" s="177"/>
      <c r="F86" s="177"/>
      <c r="G86" s="177"/>
      <c r="H86" s="177"/>
      <c r="I86" s="178"/>
      <c r="J86" s="177"/>
      <c r="K86" s="177"/>
      <c r="L86" s="177"/>
      <c r="M86" s="177"/>
      <c r="N86" s="156"/>
      <c r="O86" s="156"/>
      <c r="P86" s="156"/>
      <c r="Q86" s="156"/>
      <c r="R86" s="156"/>
      <c r="S86" s="156"/>
    </row>
    <row r="87">
      <c r="A87" s="178"/>
      <c r="B87" s="179" t="s">
        <v>21</v>
      </c>
      <c r="C87" s="180" t="str">
        <f>Input!B8</f>
        <v/>
      </c>
      <c r="D87" s="181"/>
      <c r="E87" s="182">
        <f t="array" ref="E87">ceiling(INDEX('NPC stats'!$A$2:$Z108,MATCH($B$75,'NPC stats'!$A$2:$A108,0),MATCH('NPC stats'!$F$2,'NPC stats'!$A$2:S$2,0))*(1-E100))</f>
        <v>320</v>
      </c>
      <c r="F87" s="182">
        <f>IF(ISERROR(E87),,Input!T5-H97)</f>
        <v>320</v>
      </c>
      <c r="G87" s="183" t="str">
        <f t="array" ref="G87">F87&amp;"/"&amp;INDEX('NPC stats'!$A$2:$Z108,MATCH($B$75,'NPC stats'!$A$2:$A108,0),MATCH('NPC stats'!$F$2,'NPC stats'!$A$2:S$2,0))</f>
        <v>320/320</v>
      </c>
      <c r="H87" s="181"/>
      <c r="I87" s="184" t="str">
        <f>IMAGE("https://i.imgur.com/TIjBrfL.jpg")</f>
        <v/>
      </c>
      <c r="J87" s="181"/>
      <c r="K87" s="184">
        <f t="array" ref="K87">INDEX('NPC stats'!$A$2:$Z108,MATCH($B$75,'NPC stats'!$A$2:$A108,0),MATCH(B78&amp;" defence",'NPC stats'!$A$2:S$2,0))</f>
        <v>25</v>
      </c>
      <c r="L87" s="185">
        <f>Input!AB5</f>
        <v>25</v>
      </c>
      <c r="M87" s="177"/>
      <c r="N87" s="156"/>
      <c r="O87" s="156"/>
      <c r="P87" s="156"/>
      <c r="Q87" s="156"/>
      <c r="R87" s="156"/>
      <c r="S87" s="156"/>
    </row>
    <row r="88">
      <c r="A88" s="178"/>
      <c r="B88" s="186" t="s">
        <v>27</v>
      </c>
      <c r="C88" s="187" t="str">
        <f>Input!B9</f>
        <v/>
      </c>
      <c r="D88" s="178"/>
      <c r="E88" s="13">
        <f t="array" ref="E88">ceiling(INDEX('NPC stats'!$A$2:$Z108,MATCH($B$75,'NPC stats'!$A$2:$A108,0),MATCH('NPC stats'!$G$2,'NPC stats'!$A$2:S$2,0))*(1-E100))</f>
        <v>320</v>
      </c>
      <c r="F88" s="13">
        <f>IF(ISERROR(E88),,Input!T6-H96)</f>
        <v>320</v>
      </c>
      <c r="G88" s="188" t="str">
        <f t="array" ref="G88">F88&amp;"/"&amp;INDEX('NPC stats'!$A$2:$Z108,MATCH($B$75,'NPC stats'!$A$2:$A108,0),MATCH('NPC stats'!$G$2,'NPC stats'!$A$2:S$2,0))</f>
        <v>320/320</v>
      </c>
      <c r="H88" s="178"/>
      <c r="I88" s="177" t="str">
        <f>IMAGE("https://i.imgur.com/ZA5icXw.jpg")</f>
        <v/>
      </c>
      <c r="J88" s="178"/>
      <c r="K88" s="177">
        <f t="array" ref="K88">INDEX('NPC stats'!$A$2:$Z108,MATCH($B$75,'NPC stats'!$A$2:$A108,0),MATCH(B79&amp;" defence",'NPC stats'!$A$2:S$2,0))</f>
        <v>200</v>
      </c>
      <c r="L88" s="189">
        <f>Input!AB6</f>
        <v>200</v>
      </c>
      <c r="M88" s="177"/>
      <c r="N88" s="156"/>
      <c r="O88" s="156"/>
      <c r="P88" s="156"/>
      <c r="Q88" s="156"/>
      <c r="R88" s="156"/>
      <c r="S88" s="156"/>
    </row>
    <row r="89">
      <c r="A89" s="178"/>
      <c r="B89" s="186" t="s">
        <v>31</v>
      </c>
      <c r="C89" s="187" t="str">
        <f>Input!B10</f>
        <v/>
      </c>
      <c r="D89" s="178"/>
      <c r="E89" s="13">
        <f t="array" ref="E89">ceiling(ceiling(CEILING(INDEX('NPC stats'!$A$2:$Z108,MATCH($B$75,'NPC stats'!$A$2:$A108,0),MATCH('NPC stats'!$H$2,'NPC stats'!$A$2:S$2,0))*if(D101,0.9,1))*IF($D$94&gt;0,0.7^$D$94,1))*(1-E100))</f>
        <v>310</v>
      </c>
      <c r="F89" s="13">
        <f>IF(ISERROR(E89),,IF(B76='NPC stats'!A6,CEILING(Input!T7*IF($P$11&gt;0,0.7^$P$11,1)),Input!T7)-H95)</f>
        <v>310</v>
      </c>
      <c r="G89" s="188" t="str">
        <f t="array" ref="G89">F89&amp;"/"&amp;INDEX('NPC stats'!$A$2:$Z108,MATCH($B$75,'NPC stats'!$A$2:$A108,0),MATCH('NPC stats'!$H$2,'NPC stats'!$A$2:S$2,0))</f>
        <v>310/310</v>
      </c>
      <c r="H89" s="178"/>
      <c r="I89" s="177" t="str">
        <f>IMAGE("https://i.imgur.com/cQLm8aj.jpg")</f>
        <v/>
      </c>
      <c r="J89" s="178"/>
      <c r="K89" s="177">
        <f t="array" ref="K89">INDEX('NPC stats'!$A$2:$Z108,MATCH($B$75,'NPC stats'!$A$2:$A108,0),MATCH(B80&amp;" defence",'NPC stats'!$A$2:S$2,0))</f>
        <v>100</v>
      </c>
      <c r="L89" s="189">
        <f>Input!AB7</f>
        <v>100</v>
      </c>
      <c r="M89" s="177"/>
      <c r="N89" s="156"/>
      <c r="O89" s="156"/>
      <c r="P89" s="156"/>
      <c r="Q89" s="156"/>
      <c r="R89" s="156"/>
      <c r="S89" s="156"/>
    </row>
    <row r="90">
      <c r="A90" s="178"/>
      <c r="B90" s="186" t="s">
        <v>35</v>
      </c>
      <c r="C90" s="187" t="str">
        <f>Input!B11</f>
        <v/>
      </c>
      <c r="D90" s="178"/>
      <c r="E90" s="13">
        <f t="array" ref="E90">INDEX('NPC stats'!$A$2:$Z108,MATCH($B$75,'NPC stats'!$A$2:$A108,0),MATCH('NPC stats'!$I$2,'NPC stats'!$A$2:S$2,0))</f>
        <v>350</v>
      </c>
      <c r="F90" s="13">
        <f>IF(ISERROR(E90),,Input!T8-H98)</f>
        <v>350</v>
      </c>
      <c r="G90" s="188" t="str">
        <f t="array" ref="G90">F90&amp;"/"&amp;INDEX('NPC stats'!$A$2:$Z108,MATCH($B$75,'NPC stats'!$A$2:$A108,0),MATCH('NPC stats'!$I$2,'NPC stats'!$A$2:S$2,0))</f>
        <v>350/350</v>
      </c>
      <c r="H90" s="178"/>
      <c r="I90" s="177" t="str">
        <f>IMAGE("https://i.imgur.com/BJhX113.jpg")</f>
        <v/>
      </c>
      <c r="J90" s="178"/>
      <c r="K90" s="177">
        <f t="array" ref="K90">INDEX('NPC stats'!$A$2:$Z108,MATCH($B$75,'NPC stats'!$A$2:$A108,0),MATCH(B81&amp;" defence",'NPC stats'!$A$2:S$2,0))</f>
        <v>150</v>
      </c>
      <c r="L90" s="189">
        <f>Input!AB8</f>
        <v>150</v>
      </c>
      <c r="M90" s="177"/>
      <c r="N90" s="156"/>
      <c r="O90" s="156"/>
      <c r="P90" s="156"/>
      <c r="Q90" s="156"/>
      <c r="R90" s="156"/>
      <c r="S90" s="156"/>
    </row>
    <row r="91">
      <c r="A91" s="178"/>
      <c r="B91" s="186" t="s">
        <v>39</v>
      </c>
      <c r="C91" s="187" t="str">
        <f>Input!B12</f>
        <v/>
      </c>
      <c r="D91" s="178"/>
      <c r="E91" s="13">
        <f t="array" ref="E91">INDEX('NPC stats'!$A$2:$Z108,MATCH($B$75,'NPC stats'!$A$2:$A108,0),MATCH('NPC stats'!$J$2,'NPC stats'!$A$2:S$2,0))</f>
        <v>150</v>
      </c>
      <c r="F91" s="13">
        <f>IF(ISERROR(E91),,Input!T9-H99)</f>
        <v>150</v>
      </c>
      <c r="G91" s="188" t="str">
        <f t="array" ref="G91">F91&amp;"/"&amp;INDEX('NPC stats'!$A$2:$Z108,MATCH($B$75,'NPC stats'!$A$2:$A108,0),MATCH('NPC stats'!$J$2,'NPC stats'!$A$2:S$2,0))</f>
        <v>150/150</v>
      </c>
      <c r="H91" s="178"/>
      <c r="I91" s="177" t="str">
        <f>IMAGE("https://i.imgur.com/nSS9f3S.jpg")</f>
        <v/>
      </c>
      <c r="J91" s="178"/>
      <c r="K91" s="177">
        <f t="array" ref="K91">INDEX('NPC stats'!$A$2:$Z108,MATCH($B$75,'NPC stats'!$A$2:$A108,0),MATCH(B82&amp;" defence",'NPC stats'!$A$2:S$2,0))</f>
        <v>230</v>
      </c>
      <c r="L91" s="189">
        <f>Input!AB9</f>
        <v>230</v>
      </c>
      <c r="M91" s="177"/>
      <c r="N91" s="156"/>
      <c r="O91" s="156"/>
      <c r="P91" s="156"/>
      <c r="Q91" s="156"/>
      <c r="R91" s="156"/>
      <c r="S91" s="156"/>
    </row>
    <row r="92">
      <c r="A92" s="178"/>
      <c r="B92" s="186" t="s">
        <v>45</v>
      </c>
      <c r="C92" s="187" t="str">
        <f>Input!B13</f>
        <v/>
      </c>
      <c r="D92" s="178"/>
      <c r="E92" s="190">
        <f t="array" ref="E92">max(INDEX('NPC stats'!$A$2:$Z108,MATCH($B$75,'NPC stats'!$A$2:$A108,0),MATCH('NPC stats'!$E$2,'NPC stats'!$A$2:S$2,0))-D93,0)</f>
        <v>2000</v>
      </c>
      <c r="F92" s="191">
        <f>IF(ISERROR(E92),,Input!T10)</f>
        <v>2000</v>
      </c>
      <c r="G92" s="192" t="str">
        <f t="array" ref="G92">F92&amp;"/"&amp;INDEX('NPC stats'!$A$2:$Z108,MATCH($B$75,'NPC stats'!$A$2:$A108,0),MATCH('NPC stats'!$E$2,'NPC stats'!$A$2:S$2,0))</f>
        <v>2000/2000</v>
      </c>
      <c r="H92" s="193"/>
      <c r="I92" s="193"/>
      <c r="J92" s="194"/>
      <c r="K92" s="193"/>
      <c r="L92" s="195"/>
      <c r="M92" s="177"/>
      <c r="N92" s="156"/>
      <c r="O92" s="156"/>
      <c r="P92" s="156"/>
      <c r="Q92" s="156"/>
      <c r="R92" s="156"/>
      <c r="S92" s="156"/>
    </row>
    <row r="93">
      <c r="A93" s="178"/>
      <c r="B93" s="196" t="s">
        <v>146</v>
      </c>
      <c r="C93" s="180" t="str">
        <f>image("https://oldschool.runescape.wiki/images/6/6c/Bandos_godsword.png?0f871")</f>
        <v/>
      </c>
      <c r="D93" s="184" t="str">
        <f>Input!T11</f>
        <v/>
      </c>
      <c r="E93" s="185"/>
      <c r="F93" s="177"/>
      <c r="G93" s="177"/>
      <c r="H93" s="177"/>
      <c r="I93" s="177"/>
      <c r="J93" s="177"/>
      <c r="K93" s="177"/>
      <c r="L93" s="177"/>
      <c r="M93" s="177"/>
      <c r="N93" s="156"/>
      <c r="O93" s="156"/>
      <c r="P93" s="156"/>
      <c r="Q93" s="156"/>
      <c r="R93" s="156"/>
      <c r="S93" s="156"/>
    </row>
    <row r="94">
      <c r="A94" s="177"/>
      <c r="B94" s="197" t="s">
        <v>147</v>
      </c>
      <c r="C94" s="187" t="str">
        <f>IMAGE("http://vignette4.wikia.nocookie.net/2007scape/images/e/ea/Dragon_warhammer.png/revision/latest?cb=20160121155701")</f>
        <v/>
      </c>
      <c r="D94" s="177" t="str">
        <f>Input!T12</f>
        <v/>
      </c>
      <c r="E94" s="189"/>
      <c r="F94" s="177"/>
      <c r="G94" s="198" t="s">
        <v>148</v>
      </c>
      <c r="H94" s="199"/>
      <c r="I94" s="200"/>
      <c r="J94" s="177"/>
      <c r="K94" s="177"/>
      <c r="L94" s="177"/>
      <c r="M94" s="177"/>
      <c r="N94" s="156"/>
      <c r="O94" s="156"/>
      <c r="P94" s="156"/>
      <c r="Q94" s="156"/>
      <c r="R94" s="156"/>
      <c r="S94" s="156"/>
    </row>
    <row r="95">
      <c r="A95" s="177"/>
      <c r="B95" s="197" t="s">
        <v>149</v>
      </c>
      <c r="C95" s="187" t="str">
        <f>IMAGE("http://vignette1.wikia.nocookie.net/2007scape/images/1/1b/Achievement_Diaries_icon.png/revision/latest?cb=20150307060912")</f>
        <v/>
      </c>
      <c r="D95" s="177" t="str">
        <f>Input!T13</f>
        <v/>
      </c>
      <c r="E95" s="189" t="b">
        <f>IF(D95="Not completed",FALSE,TRUE)</f>
        <v>1</v>
      </c>
      <c r="F95" s="177"/>
      <c r="G95" s="201" t="s">
        <v>31</v>
      </c>
      <c r="H95" s="202">
        <f>if(isnumber(D93),min(E89,D93),0)</f>
        <v>0</v>
      </c>
      <c r="I95" s="185">
        <f>D93-H95</f>
        <v>0</v>
      </c>
      <c r="J95" s="177"/>
      <c r="K95" s="177"/>
      <c r="L95" s="177"/>
      <c r="M95" s="177"/>
      <c r="N95" s="156"/>
      <c r="O95" s="156"/>
      <c r="P95" s="156"/>
      <c r="Q95" s="156"/>
      <c r="R95" s="156"/>
      <c r="S95" s="156"/>
    </row>
    <row r="96">
      <c r="A96" s="177"/>
      <c r="B96" s="197" t="s">
        <v>150</v>
      </c>
      <c r="C96" s="187" t="str">
        <f>IMAGE("https://vignette.wikia.nocookie.net/2007scape/images/9/96/Hitpoints_icon.png/revision/latest?cb=20180424005312")</f>
        <v/>
      </c>
      <c r="D96" s="177" t="str">
        <f>Input!T14</f>
        <v/>
      </c>
      <c r="E96" s="189">
        <f t="shared" ref="E96:E97" si="24">IF(ISBLANK(D96),D12,D96)</f>
        <v>99</v>
      </c>
      <c r="F96" s="177"/>
      <c r="G96" s="203" t="s">
        <v>27</v>
      </c>
      <c r="H96" s="204">
        <f>min(E88,I95)</f>
        <v>0</v>
      </c>
      <c r="I96" s="189">
        <f t="shared" ref="I96:I99" si="25">I95-H96</f>
        <v>0</v>
      </c>
      <c r="J96" s="177"/>
      <c r="K96" s="177"/>
      <c r="L96" s="177"/>
      <c r="M96" s="177"/>
      <c r="N96" s="156"/>
      <c r="O96" s="156"/>
      <c r="P96" s="156"/>
      <c r="Q96" s="156"/>
      <c r="R96" s="156"/>
      <c r="S96" s="156"/>
    </row>
    <row r="97">
      <c r="A97" s="177"/>
      <c r="B97" s="197" t="s">
        <v>151</v>
      </c>
      <c r="C97" s="187" t="str">
        <f>IMAGE("https://vignette.wikia.nocookie.net/2007scape/images/f/f2/Prayer_icon.png/revision/latest?cb=20180424010757")</f>
        <v/>
      </c>
      <c r="D97" s="177" t="str">
        <f>Input!T15</f>
        <v/>
      </c>
      <c r="E97" s="189">
        <f t="shared" si="24"/>
        <v>99</v>
      </c>
      <c r="F97" s="177"/>
      <c r="G97" s="203" t="s">
        <v>21</v>
      </c>
      <c r="H97" s="204">
        <f>min(E87,I96)</f>
        <v>0</v>
      </c>
      <c r="I97" s="189">
        <f t="shared" si="25"/>
        <v>0</v>
      </c>
      <c r="J97" s="177"/>
      <c r="K97" s="177"/>
      <c r="L97" s="177"/>
      <c r="M97" s="177"/>
      <c r="N97" s="156"/>
      <c r="O97" s="156"/>
      <c r="P97" s="156"/>
      <c r="Q97" s="156"/>
      <c r="R97" s="156"/>
      <c r="S97" s="156"/>
    </row>
    <row r="98">
      <c r="A98" s="177"/>
      <c r="B98" s="205" t="s">
        <v>152</v>
      </c>
      <c r="C98" s="206" t="str">
        <f>IMAGE("https://vignette.wikia.nocookie.net/2007scape/images/2/28/Slayer_icon.png/revision/latest?cb=20180424011038")</f>
        <v/>
      </c>
      <c r="D98" s="193" t="str">
        <f>Input!T16</f>
        <v/>
      </c>
      <c r="E98" s="195" t="b">
        <f>IF(D98="OFF TASK",FALSE,TRUE)</f>
        <v>1</v>
      </c>
      <c r="F98" s="177"/>
      <c r="G98" s="203" t="s">
        <v>35</v>
      </c>
      <c r="H98" s="204">
        <f>min(if(isnumber(E90),E90,0),I97)</f>
        <v>0</v>
      </c>
      <c r="I98" s="189">
        <f t="shared" si="25"/>
        <v>0</v>
      </c>
      <c r="J98" s="177"/>
      <c r="K98" s="177"/>
      <c r="L98" s="177"/>
      <c r="M98" s="177"/>
      <c r="N98" s="156"/>
      <c r="O98" s="156"/>
      <c r="P98" s="156"/>
      <c r="Q98" s="156"/>
      <c r="R98" s="156"/>
      <c r="S98" s="156"/>
    </row>
    <row r="99">
      <c r="A99" s="177"/>
      <c r="B99" s="177"/>
      <c r="C99" s="178"/>
      <c r="D99" s="177"/>
      <c r="E99" s="177"/>
      <c r="F99" s="177"/>
      <c r="G99" s="207" t="s">
        <v>39</v>
      </c>
      <c r="H99" s="208">
        <f>min(I98,if(isnumber(E91),E91,0))</f>
        <v>0</v>
      </c>
      <c r="I99" s="195">
        <f t="shared" si="25"/>
        <v>0</v>
      </c>
      <c r="J99" s="177"/>
      <c r="K99" s="177"/>
      <c r="L99" s="177"/>
      <c r="M99" s="177"/>
      <c r="N99" s="156"/>
      <c r="O99" s="156"/>
      <c r="P99" s="156"/>
      <c r="Q99" s="156"/>
      <c r="R99" s="156"/>
      <c r="S99" s="156"/>
    </row>
    <row r="100">
      <c r="A100" s="177"/>
      <c r="B100" s="209" t="s">
        <v>153</v>
      </c>
      <c r="C100" s="209" t="str">
        <f>image("https://oldschool.runescape.wiki/images/1/16/Arclight.png?3d34e")</f>
        <v/>
      </c>
      <c r="D100" s="202" t="str">
        <f>Input!W11</f>
        <v/>
      </c>
      <c r="E100" s="185">
        <f>min(D100*if(D75="demon",10%,5%),100%)</f>
        <v>0</v>
      </c>
      <c r="F100" s="177"/>
      <c r="G100" s="177"/>
      <c r="H100" s="177"/>
      <c r="I100" s="177"/>
      <c r="J100" s="177"/>
      <c r="K100" s="177"/>
      <c r="L100" s="177"/>
      <c r="M100" s="177"/>
      <c r="N100" s="156"/>
      <c r="O100" s="156"/>
      <c r="P100" s="156"/>
      <c r="Q100" s="156"/>
      <c r="R100" s="156"/>
      <c r="S100" s="156"/>
    </row>
    <row r="101">
      <c r="A101" s="177"/>
      <c r="B101" s="210" t="s">
        <v>154</v>
      </c>
      <c r="C101" s="210" t="str">
        <f>image("https://oldschool.runescape.wiki/images/8/8f/Vulnerability_icon.png?e9b6f")</f>
        <v/>
      </c>
      <c r="D101" s="208" t="b">
        <f>Input!W12</f>
        <v>0</v>
      </c>
      <c r="E101" s="195" t="b">
        <f>D101</f>
        <v>0</v>
      </c>
      <c r="F101" s="177"/>
      <c r="G101" s="177"/>
      <c r="H101" s="177"/>
      <c r="I101" s="177"/>
      <c r="J101" s="177"/>
      <c r="K101" s="177"/>
      <c r="L101" s="177"/>
      <c r="M101" s="177"/>
      <c r="N101" s="156"/>
      <c r="O101" s="156"/>
      <c r="P101" s="156"/>
      <c r="Q101" s="156"/>
      <c r="R101" s="156"/>
      <c r="S101" s="156"/>
    </row>
    <row r="102">
      <c r="A102" s="177"/>
      <c r="B102" s="177"/>
      <c r="C102" s="178"/>
      <c r="D102" s="177"/>
      <c r="E102" s="177"/>
      <c r="F102" s="177"/>
      <c r="G102" s="177"/>
      <c r="H102" s="177"/>
      <c r="I102" s="177"/>
      <c r="J102" s="177"/>
      <c r="K102" s="177"/>
      <c r="L102" s="177"/>
      <c r="M102" s="177"/>
      <c r="N102" s="156"/>
      <c r="O102" s="156"/>
      <c r="P102" s="156"/>
      <c r="Q102" s="156"/>
      <c r="R102" s="156"/>
      <c r="S102" s="156"/>
    </row>
    <row r="103">
      <c r="A103" s="156"/>
      <c r="B103" s="156"/>
      <c r="C103" s="156"/>
      <c r="D103" s="156"/>
      <c r="E103" s="156"/>
      <c r="F103" s="156"/>
      <c r="G103" s="156"/>
      <c r="H103" s="156"/>
      <c r="I103" s="156"/>
      <c r="J103" s="156"/>
      <c r="K103" s="156"/>
      <c r="L103" s="156"/>
      <c r="M103" s="156"/>
      <c r="N103" s="156"/>
      <c r="O103" s="156"/>
      <c r="P103" s="156"/>
      <c r="Q103" s="156"/>
      <c r="R103" s="156"/>
      <c r="S103" s="156"/>
    </row>
    <row r="104">
      <c r="A104" s="156"/>
      <c r="B104" s="156"/>
      <c r="C104" s="156"/>
      <c r="D104" s="156"/>
      <c r="E104" s="156"/>
      <c r="F104" s="156"/>
      <c r="G104" s="156"/>
      <c r="H104" s="156"/>
      <c r="I104" s="156"/>
      <c r="J104" s="156"/>
      <c r="K104" s="156"/>
      <c r="L104" s="156"/>
      <c r="M104" s="156"/>
      <c r="N104" s="156"/>
      <c r="O104" s="156"/>
      <c r="P104" s="156"/>
      <c r="Q104" s="156"/>
      <c r="R104" s="156"/>
      <c r="S104" s="156"/>
    </row>
    <row r="105">
      <c r="A105" s="156"/>
      <c r="B105" s="156"/>
      <c r="C105" s="156"/>
      <c r="D105" s="156"/>
      <c r="E105" s="156"/>
      <c r="F105" s="156"/>
      <c r="G105" s="156"/>
      <c r="H105" s="156"/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S105" s="156"/>
    </row>
    <row r="106">
      <c r="A106" s="156"/>
      <c r="B106" s="156"/>
      <c r="C106" s="156"/>
      <c r="D106" s="156"/>
      <c r="E106" s="156"/>
      <c r="F106" s="156"/>
      <c r="G106" s="156"/>
      <c r="H106" s="156"/>
      <c r="I106" s="156"/>
      <c r="J106" s="156"/>
      <c r="K106" s="156"/>
      <c r="L106" s="156"/>
      <c r="M106" s="156"/>
      <c r="N106" s="156"/>
      <c r="O106" s="156"/>
      <c r="P106" s="156"/>
      <c r="Q106" s="156"/>
      <c r="R106" s="156"/>
      <c r="S106" s="156"/>
    </row>
    <row r="107">
      <c r="A107" s="156"/>
      <c r="B107" s="156"/>
      <c r="C107" s="156"/>
      <c r="D107" s="156"/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S107" s="156"/>
    </row>
    <row r="108">
      <c r="A108" s="156"/>
      <c r="B108" s="156"/>
      <c r="C108" s="156"/>
      <c r="D108" s="156"/>
      <c r="E108" s="156"/>
      <c r="F108" s="156"/>
      <c r="G108" s="156"/>
      <c r="H108" s="156"/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  <c r="S108" s="156"/>
    </row>
  </sheetData>
  <mergeCells count="6">
    <mergeCell ref="A1:D1"/>
    <mergeCell ref="A4:R4"/>
    <mergeCell ref="A16:G16"/>
    <mergeCell ref="A26:G26"/>
    <mergeCell ref="A74:P74"/>
    <mergeCell ref="A75:A82"/>
  </mergeCells>
  <dataValidations>
    <dataValidation type="list" allowBlank="1" sqref="L2">
      <formula1>'Sheet 1'!$K$2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18.57"/>
    <col customWidth="1" min="2" max="2" width="7.29"/>
    <col customWidth="1" min="3" max="3" width="10.43"/>
    <col customWidth="1" min="4" max="4" width="6.43"/>
    <col customWidth="1" min="5" max="5" width="6.29"/>
    <col customWidth="1" min="6" max="25" width="4.43"/>
  </cols>
  <sheetData>
    <row r="1">
      <c r="A1" s="211"/>
      <c r="B1" s="212" t="str">
        <f>'Sheet 1'!C18</f>
        <v>choose spell</v>
      </c>
      <c r="C1" s="213" t="str">
        <f>'Sheet 1'!E18</f>
        <v>magic</v>
      </c>
      <c r="D1" s="211">
        <v>1.0</v>
      </c>
      <c r="E1" s="211">
        <v>2.0</v>
      </c>
      <c r="F1" s="211">
        <v>3.0</v>
      </c>
      <c r="G1" s="211">
        <v>4.0</v>
      </c>
      <c r="H1" s="211">
        <v>5.0</v>
      </c>
      <c r="I1" s="211">
        <v>6.0</v>
      </c>
      <c r="J1" s="211">
        <v>7.0</v>
      </c>
      <c r="K1" s="211">
        <v>8.0</v>
      </c>
      <c r="L1" s="211">
        <v>9.0</v>
      </c>
      <c r="M1" s="211">
        <v>10.0</v>
      </c>
      <c r="N1" s="211">
        <v>11.0</v>
      </c>
      <c r="O1" s="211">
        <v>12.0</v>
      </c>
      <c r="P1" s="211">
        <v>13.0</v>
      </c>
      <c r="Q1" s="211">
        <v>14.0</v>
      </c>
      <c r="R1" s="211">
        <v>15.0</v>
      </c>
      <c r="S1" s="211">
        <v>16.0</v>
      </c>
      <c r="T1" s="211">
        <v>17.0</v>
      </c>
      <c r="U1" s="211">
        <v>18.0</v>
      </c>
      <c r="V1" s="211">
        <v>19.0</v>
      </c>
      <c r="W1" s="211">
        <v>20.0</v>
      </c>
      <c r="X1" s="211">
        <v>21.0</v>
      </c>
      <c r="Y1" s="211">
        <v>22.0</v>
      </c>
    </row>
    <row r="2">
      <c r="A2" s="211"/>
      <c r="B2" s="214"/>
      <c r="C2" s="213" t="str">
        <f>IF(C1="MAGIC","Magic",IF(C1="RANGED","Ranged","Attack"))</f>
        <v>Magic</v>
      </c>
      <c r="D2" s="214" t="str">
        <f t="shared" ref="D2:Y2" si="1">D3&amp;"/"&amp;$C3</f>
        <v>109/99</v>
      </c>
      <c r="E2" s="214" t="str">
        <f t="shared" si="1"/>
        <v>108/99</v>
      </c>
      <c r="F2" s="214" t="str">
        <f t="shared" si="1"/>
        <v>107/99</v>
      </c>
      <c r="G2" s="214" t="str">
        <f t="shared" si="1"/>
        <v>106/99</v>
      </c>
      <c r="H2" s="214" t="str">
        <f t="shared" si="1"/>
        <v>105/99</v>
      </c>
      <c r="I2" s="214" t="str">
        <f t="shared" si="1"/>
        <v>104/99</v>
      </c>
      <c r="J2" s="214" t="str">
        <f t="shared" si="1"/>
        <v>103/99</v>
      </c>
      <c r="K2" s="214" t="str">
        <f t="shared" si="1"/>
        <v>102/99</v>
      </c>
      <c r="L2" s="214" t="str">
        <f t="shared" si="1"/>
        <v>101/99</v>
      </c>
      <c r="M2" s="214" t="str">
        <f t="shared" si="1"/>
        <v>100/99</v>
      </c>
      <c r="N2" s="214" t="str">
        <f t="shared" si="1"/>
        <v>99/99</v>
      </c>
      <c r="O2" s="214" t="str">
        <f t="shared" si="1"/>
        <v>99/99</v>
      </c>
      <c r="P2" s="214" t="str">
        <f t="shared" si="1"/>
        <v>99/99</v>
      </c>
      <c r="Q2" s="214" t="str">
        <f t="shared" si="1"/>
        <v>99/99</v>
      </c>
      <c r="R2" s="214" t="str">
        <f t="shared" si="1"/>
        <v>99/99</v>
      </c>
      <c r="S2" s="214" t="str">
        <f t="shared" si="1"/>
        <v>99/99</v>
      </c>
      <c r="T2" s="214" t="str">
        <f t="shared" si="1"/>
        <v>99/99</v>
      </c>
      <c r="U2" s="214" t="str">
        <f t="shared" si="1"/>
        <v>99/99</v>
      </c>
      <c r="V2" s="214" t="str">
        <f t="shared" si="1"/>
        <v>99/99</v>
      </c>
      <c r="W2" s="214" t="str">
        <f t="shared" si="1"/>
        <v>99/99</v>
      </c>
      <c r="X2" s="214" t="str">
        <f t="shared" si="1"/>
        <v>99/99</v>
      </c>
      <c r="Y2" s="214" t="str">
        <f t="shared" si="1"/>
        <v>99/99</v>
      </c>
    </row>
    <row r="3">
      <c r="A3" s="211" t="s">
        <v>21</v>
      </c>
      <c r="B3" s="214"/>
      <c r="C3" s="213">
        <f>IF($C$1="MAGIC",'Sheet 1'!D9,IF($C$1="RANGED",'Sheet 1'!D10,'Sheet 1'!D6))</f>
        <v>99</v>
      </c>
      <c r="D3" s="214">
        <f>IF(C1="MAGIC",'Sheet 1'!I9,IF(C1="RANGED",'Sheet 1'!I10,'Sheet 1'!I6))</f>
        <v>109</v>
      </c>
      <c r="E3" s="214">
        <f t="shared" ref="E3:Y3" si="2">MAX($C3,D3-1)</f>
        <v>108</v>
      </c>
      <c r="F3" s="214">
        <f t="shared" si="2"/>
        <v>107</v>
      </c>
      <c r="G3" s="214">
        <f t="shared" si="2"/>
        <v>106</v>
      </c>
      <c r="H3" s="214">
        <f t="shared" si="2"/>
        <v>105</v>
      </c>
      <c r="I3" s="214">
        <f t="shared" si="2"/>
        <v>104</v>
      </c>
      <c r="J3" s="214">
        <f t="shared" si="2"/>
        <v>103</v>
      </c>
      <c r="K3" s="214">
        <f t="shared" si="2"/>
        <v>102</v>
      </c>
      <c r="L3" s="214">
        <f t="shared" si="2"/>
        <v>101</v>
      </c>
      <c r="M3" s="214">
        <f t="shared" si="2"/>
        <v>100</v>
      </c>
      <c r="N3" s="214">
        <f t="shared" si="2"/>
        <v>99</v>
      </c>
      <c r="O3" s="214">
        <f t="shared" si="2"/>
        <v>99</v>
      </c>
      <c r="P3" s="214">
        <f t="shared" si="2"/>
        <v>99</v>
      </c>
      <c r="Q3" s="214">
        <f t="shared" si="2"/>
        <v>99</v>
      </c>
      <c r="R3" s="214">
        <f t="shared" si="2"/>
        <v>99</v>
      </c>
      <c r="S3" s="214">
        <f t="shared" si="2"/>
        <v>99</v>
      </c>
      <c r="T3" s="214">
        <f t="shared" si="2"/>
        <v>99</v>
      </c>
      <c r="U3" s="214">
        <f t="shared" si="2"/>
        <v>99</v>
      </c>
      <c r="V3" s="214">
        <f t="shared" si="2"/>
        <v>99</v>
      </c>
      <c r="W3" s="214">
        <f t="shared" si="2"/>
        <v>99</v>
      </c>
      <c r="X3" s="214">
        <f t="shared" si="2"/>
        <v>99</v>
      </c>
      <c r="Y3" s="214">
        <f t="shared" si="2"/>
        <v>99</v>
      </c>
    </row>
    <row r="4">
      <c r="A4" s="211" t="s">
        <v>49</v>
      </c>
      <c r="B4" s="214"/>
      <c r="C4" s="213">
        <f>1+IF($C$1="MAGIC",'Sheet 1'!L9,IF($C$1="RANGED",'Sheet 1'!L10,'Sheet 1'!L6))</f>
        <v>1.25</v>
      </c>
      <c r="D4" s="214">
        <f t="shared" ref="D4:Y4" si="3">INT(D3*$C4)</f>
        <v>136</v>
      </c>
      <c r="E4" s="214">
        <f t="shared" si="3"/>
        <v>135</v>
      </c>
      <c r="F4" s="214">
        <f t="shared" si="3"/>
        <v>133</v>
      </c>
      <c r="G4" s="214">
        <f t="shared" si="3"/>
        <v>132</v>
      </c>
      <c r="H4" s="214">
        <f t="shared" si="3"/>
        <v>131</v>
      </c>
      <c r="I4" s="214">
        <f t="shared" si="3"/>
        <v>130</v>
      </c>
      <c r="J4" s="214">
        <f t="shared" si="3"/>
        <v>128</v>
      </c>
      <c r="K4" s="214">
        <f t="shared" si="3"/>
        <v>127</v>
      </c>
      <c r="L4" s="214">
        <f t="shared" si="3"/>
        <v>126</v>
      </c>
      <c r="M4" s="214">
        <f t="shared" si="3"/>
        <v>125</v>
      </c>
      <c r="N4" s="214">
        <f t="shared" si="3"/>
        <v>123</v>
      </c>
      <c r="O4" s="214">
        <f t="shared" si="3"/>
        <v>123</v>
      </c>
      <c r="P4" s="214">
        <f t="shared" si="3"/>
        <v>123</v>
      </c>
      <c r="Q4" s="214">
        <f t="shared" si="3"/>
        <v>123</v>
      </c>
      <c r="R4" s="214">
        <f t="shared" si="3"/>
        <v>123</v>
      </c>
      <c r="S4" s="214">
        <f t="shared" si="3"/>
        <v>123</v>
      </c>
      <c r="T4" s="214">
        <f t="shared" si="3"/>
        <v>123</v>
      </c>
      <c r="U4" s="214">
        <f t="shared" si="3"/>
        <v>123</v>
      </c>
      <c r="V4" s="214">
        <f t="shared" si="3"/>
        <v>123</v>
      </c>
      <c r="W4" s="214">
        <f t="shared" si="3"/>
        <v>123</v>
      </c>
      <c r="X4" s="214">
        <f t="shared" si="3"/>
        <v>123</v>
      </c>
      <c r="Y4" s="214">
        <f t="shared" si="3"/>
        <v>123</v>
      </c>
    </row>
    <row r="5">
      <c r="A5" s="211" t="s">
        <v>155</v>
      </c>
      <c r="B5" s="214"/>
      <c r="C5" s="213">
        <f>IF($C$1="MAGIC",'Sheet 1'!F21,IF($C$1="RANGED",'Sheet 1'!F22,'Sheet 1'!F18))</f>
        <v>8</v>
      </c>
      <c r="D5" s="214">
        <f t="shared" ref="D5:Y5" si="4">INT(D4+$C5)</f>
        <v>144</v>
      </c>
      <c r="E5" s="214">
        <f t="shared" si="4"/>
        <v>143</v>
      </c>
      <c r="F5" s="214">
        <f t="shared" si="4"/>
        <v>141</v>
      </c>
      <c r="G5" s="214">
        <f t="shared" si="4"/>
        <v>140</v>
      </c>
      <c r="H5" s="214">
        <f t="shared" si="4"/>
        <v>139</v>
      </c>
      <c r="I5" s="214">
        <f t="shared" si="4"/>
        <v>138</v>
      </c>
      <c r="J5" s="214">
        <f t="shared" si="4"/>
        <v>136</v>
      </c>
      <c r="K5" s="214">
        <f t="shared" si="4"/>
        <v>135</v>
      </c>
      <c r="L5" s="214">
        <f t="shared" si="4"/>
        <v>134</v>
      </c>
      <c r="M5" s="214">
        <f t="shared" si="4"/>
        <v>133</v>
      </c>
      <c r="N5" s="214">
        <f t="shared" si="4"/>
        <v>131</v>
      </c>
      <c r="O5" s="214">
        <f t="shared" si="4"/>
        <v>131</v>
      </c>
      <c r="P5" s="214">
        <f t="shared" si="4"/>
        <v>131</v>
      </c>
      <c r="Q5" s="214">
        <f t="shared" si="4"/>
        <v>131</v>
      </c>
      <c r="R5" s="214">
        <f t="shared" si="4"/>
        <v>131</v>
      </c>
      <c r="S5" s="214">
        <f t="shared" si="4"/>
        <v>131</v>
      </c>
      <c r="T5" s="214">
        <f t="shared" si="4"/>
        <v>131</v>
      </c>
      <c r="U5" s="214">
        <f t="shared" si="4"/>
        <v>131</v>
      </c>
      <c r="V5" s="214">
        <f t="shared" si="4"/>
        <v>131</v>
      </c>
      <c r="W5" s="214">
        <f t="shared" si="4"/>
        <v>131</v>
      </c>
      <c r="X5" s="214">
        <f t="shared" si="4"/>
        <v>131</v>
      </c>
      <c r="Y5" s="214">
        <f t="shared" si="4"/>
        <v>131</v>
      </c>
    </row>
    <row r="6">
      <c r="A6" s="211" t="s">
        <v>156</v>
      </c>
      <c r="B6" s="214" t="b">
        <f>AND('Sheet 1'!$B$41=Items!$A$208,OR('Sheet 1'!$B$44=Items!$A$289,'Sheet 1'!$B$44=Items!$A$290),OR('Sheet 1'!$B$45=Items!$A$333,'Sheet 1'!$B$45=Items!$A$334),'Sheet 1'!$B$47=Items!$A$417)</f>
        <v>0</v>
      </c>
      <c r="C6" s="213">
        <f>1+IF(B6,IF($C$1="MAGIC",0.45,0.1),0)</f>
        <v>1</v>
      </c>
      <c r="D6" s="214">
        <f t="shared" ref="D6:Y6" si="5">INT(D5*$C6)</f>
        <v>144</v>
      </c>
      <c r="E6" s="214">
        <f t="shared" si="5"/>
        <v>143</v>
      </c>
      <c r="F6" s="214">
        <f t="shared" si="5"/>
        <v>141</v>
      </c>
      <c r="G6" s="214">
        <f t="shared" si="5"/>
        <v>140</v>
      </c>
      <c r="H6" s="214">
        <f t="shared" si="5"/>
        <v>139</v>
      </c>
      <c r="I6" s="214">
        <f t="shared" si="5"/>
        <v>138</v>
      </c>
      <c r="J6" s="214">
        <f t="shared" si="5"/>
        <v>136</v>
      </c>
      <c r="K6" s="214">
        <f t="shared" si="5"/>
        <v>135</v>
      </c>
      <c r="L6" s="214">
        <f t="shared" si="5"/>
        <v>134</v>
      </c>
      <c r="M6" s="214">
        <f t="shared" si="5"/>
        <v>133</v>
      </c>
      <c r="N6" s="214">
        <f t="shared" si="5"/>
        <v>131</v>
      </c>
      <c r="O6" s="214">
        <f t="shared" si="5"/>
        <v>131</v>
      </c>
      <c r="P6" s="214">
        <f t="shared" si="5"/>
        <v>131</v>
      </c>
      <c r="Q6" s="214">
        <f t="shared" si="5"/>
        <v>131</v>
      </c>
      <c r="R6" s="214">
        <f t="shared" si="5"/>
        <v>131</v>
      </c>
      <c r="S6" s="214">
        <f t="shared" si="5"/>
        <v>131</v>
      </c>
      <c r="T6" s="214">
        <f t="shared" si="5"/>
        <v>131</v>
      </c>
      <c r="U6" s="214">
        <f t="shared" si="5"/>
        <v>131</v>
      </c>
      <c r="V6" s="214">
        <f t="shared" si="5"/>
        <v>131</v>
      </c>
      <c r="W6" s="214">
        <f t="shared" si="5"/>
        <v>131</v>
      </c>
      <c r="X6" s="214">
        <f t="shared" si="5"/>
        <v>131</v>
      </c>
      <c r="Y6" s="214">
        <f t="shared" si="5"/>
        <v>131</v>
      </c>
    </row>
    <row r="7">
      <c r="A7" s="211" t="s">
        <v>157</v>
      </c>
      <c r="B7" s="214"/>
      <c r="C7" s="213"/>
      <c r="D7" s="214">
        <f t="shared" ref="D7:Y7" si="6">INT(D6)</f>
        <v>144</v>
      </c>
      <c r="E7" s="214">
        <f t="shared" si="6"/>
        <v>143</v>
      </c>
      <c r="F7" s="214">
        <f t="shared" si="6"/>
        <v>141</v>
      </c>
      <c r="G7" s="214">
        <f t="shared" si="6"/>
        <v>140</v>
      </c>
      <c r="H7" s="214">
        <f t="shared" si="6"/>
        <v>139</v>
      </c>
      <c r="I7" s="214">
        <f t="shared" si="6"/>
        <v>138</v>
      </c>
      <c r="J7" s="214">
        <f t="shared" si="6"/>
        <v>136</v>
      </c>
      <c r="K7" s="214">
        <f t="shared" si="6"/>
        <v>135</v>
      </c>
      <c r="L7" s="214">
        <f t="shared" si="6"/>
        <v>134</v>
      </c>
      <c r="M7" s="214">
        <f t="shared" si="6"/>
        <v>133</v>
      </c>
      <c r="N7" s="214">
        <f t="shared" si="6"/>
        <v>131</v>
      </c>
      <c r="O7" s="214">
        <f t="shared" si="6"/>
        <v>131</v>
      </c>
      <c r="P7" s="214">
        <f t="shared" si="6"/>
        <v>131</v>
      </c>
      <c r="Q7" s="214">
        <f t="shared" si="6"/>
        <v>131</v>
      </c>
      <c r="R7" s="214">
        <f t="shared" si="6"/>
        <v>131</v>
      </c>
      <c r="S7" s="214">
        <f t="shared" si="6"/>
        <v>131</v>
      </c>
      <c r="T7" s="214">
        <f t="shared" si="6"/>
        <v>131</v>
      </c>
      <c r="U7" s="214">
        <f t="shared" si="6"/>
        <v>131</v>
      </c>
      <c r="V7" s="214">
        <f t="shared" si="6"/>
        <v>131</v>
      </c>
      <c r="W7" s="214">
        <f t="shared" si="6"/>
        <v>131</v>
      </c>
      <c r="X7" s="214">
        <f t="shared" si="6"/>
        <v>131</v>
      </c>
      <c r="Y7" s="214">
        <f t="shared" si="6"/>
        <v>131</v>
      </c>
    </row>
    <row r="8">
      <c r="A8" s="211" t="s">
        <v>158</v>
      </c>
      <c r="B8" s="214"/>
      <c r="C8" s="213">
        <f>IF($C$1="MAGIC",'Sheet 1'!F51,IF($C$1="RANGED",'Sheet 1'!G51,IF($C$1="STAB",'Sheet 1'!C51,IF($C$1="SLASH",'Sheet 1'!D51,'Sheet 1'!E51))))</f>
        <v>150</v>
      </c>
      <c r="D8" s="214">
        <f t="shared" ref="D8:Y8" si="7">INT(D7*(64+$C8))</f>
        <v>30816</v>
      </c>
      <c r="E8" s="214">
        <f t="shared" si="7"/>
        <v>30602</v>
      </c>
      <c r="F8" s="214">
        <f t="shared" si="7"/>
        <v>30174</v>
      </c>
      <c r="G8" s="214">
        <f t="shared" si="7"/>
        <v>29960</v>
      </c>
      <c r="H8" s="214">
        <f t="shared" si="7"/>
        <v>29746</v>
      </c>
      <c r="I8" s="214">
        <f t="shared" si="7"/>
        <v>29532</v>
      </c>
      <c r="J8" s="214">
        <f t="shared" si="7"/>
        <v>29104</v>
      </c>
      <c r="K8" s="214">
        <f t="shared" si="7"/>
        <v>28890</v>
      </c>
      <c r="L8" s="214">
        <f t="shared" si="7"/>
        <v>28676</v>
      </c>
      <c r="M8" s="214">
        <f t="shared" si="7"/>
        <v>28462</v>
      </c>
      <c r="N8" s="214">
        <f t="shared" si="7"/>
        <v>28034</v>
      </c>
      <c r="O8" s="214">
        <f t="shared" si="7"/>
        <v>28034</v>
      </c>
      <c r="P8" s="214">
        <f t="shared" si="7"/>
        <v>28034</v>
      </c>
      <c r="Q8" s="214">
        <f t="shared" si="7"/>
        <v>28034</v>
      </c>
      <c r="R8" s="214">
        <f t="shared" si="7"/>
        <v>28034</v>
      </c>
      <c r="S8" s="214">
        <f t="shared" si="7"/>
        <v>28034</v>
      </c>
      <c r="T8" s="214">
        <f t="shared" si="7"/>
        <v>28034</v>
      </c>
      <c r="U8" s="214">
        <f t="shared" si="7"/>
        <v>28034</v>
      </c>
      <c r="V8" s="214">
        <f t="shared" si="7"/>
        <v>28034</v>
      </c>
      <c r="W8" s="214">
        <f t="shared" si="7"/>
        <v>28034</v>
      </c>
      <c r="X8" s="214">
        <f t="shared" si="7"/>
        <v>28034</v>
      </c>
      <c r="Y8" s="214">
        <f t="shared" si="7"/>
        <v>28034</v>
      </c>
    </row>
    <row r="9">
      <c r="A9" s="211" t="str">
        <f>Items!A177</f>
        <v>Mystic smoke staff</v>
      </c>
      <c r="B9" s="214" t="b">
        <f>AND(OR('Sheet 1'!B$38=Items!A177,'Sheet 1'!B$38=Items!A178),OR(C44=Items!A573,C44=Items!A574,C44=Items!A575,C44=Items!A576,C44=Items!A578,C44=Items!A579,C44=Items!A580,C44=Items!A581,C44=Items!A583,C44=Items!A584,C44=Items!A585,C44=Items!A586,C44=Items!A588,C44=Items!A589,C44=Items!A590,C44=Items!A591,C44=Items!A592,C44=Items!A577,C44=Items!A582,C44=Items!A587))</f>
        <v>0</v>
      </c>
      <c r="C9" s="213">
        <f>1+IF(B9,0.1,0)</f>
        <v>1</v>
      </c>
      <c r="D9" s="214">
        <f t="shared" ref="D9:Y9" si="8">INT(D8*$C9)</f>
        <v>30816</v>
      </c>
      <c r="E9" s="214">
        <f t="shared" si="8"/>
        <v>30602</v>
      </c>
      <c r="F9" s="214">
        <f t="shared" si="8"/>
        <v>30174</v>
      </c>
      <c r="G9" s="214">
        <f t="shared" si="8"/>
        <v>29960</v>
      </c>
      <c r="H9" s="214">
        <f t="shared" si="8"/>
        <v>29746</v>
      </c>
      <c r="I9" s="214">
        <f t="shared" si="8"/>
        <v>29532</v>
      </c>
      <c r="J9" s="214">
        <f t="shared" si="8"/>
        <v>29104</v>
      </c>
      <c r="K9" s="214">
        <f t="shared" si="8"/>
        <v>28890</v>
      </c>
      <c r="L9" s="214">
        <f t="shared" si="8"/>
        <v>28676</v>
      </c>
      <c r="M9" s="214">
        <f t="shared" si="8"/>
        <v>28462</v>
      </c>
      <c r="N9" s="214">
        <f t="shared" si="8"/>
        <v>28034</v>
      </c>
      <c r="O9" s="214">
        <f t="shared" si="8"/>
        <v>28034</v>
      </c>
      <c r="P9" s="214">
        <f t="shared" si="8"/>
        <v>28034</v>
      </c>
      <c r="Q9" s="214">
        <f t="shared" si="8"/>
        <v>28034</v>
      </c>
      <c r="R9" s="214">
        <f t="shared" si="8"/>
        <v>28034</v>
      </c>
      <c r="S9" s="214">
        <f t="shared" si="8"/>
        <v>28034</v>
      </c>
      <c r="T9" s="214">
        <f t="shared" si="8"/>
        <v>28034</v>
      </c>
      <c r="U9" s="214">
        <f t="shared" si="8"/>
        <v>28034</v>
      </c>
      <c r="V9" s="214">
        <f t="shared" si="8"/>
        <v>28034</v>
      </c>
      <c r="W9" s="214">
        <f t="shared" si="8"/>
        <v>28034</v>
      </c>
      <c r="X9" s="214">
        <f t="shared" si="8"/>
        <v>28034</v>
      </c>
      <c r="Y9" s="214">
        <f t="shared" si="8"/>
        <v>28034</v>
      </c>
    </row>
    <row r="10">
      <c r="A10" s="211" t="s">
        <v>159</v>
      </c>
      <c r="B10" s="211" t="b">
        <f>AND(OR('Sheet 1'!$D$75="VORKATH",'Sheet 1'!$D$75="UNDEAD"),OR('Sheet 1'!B43=Items!A273,'Sheet 1'!B43=Items!A274))</f>
        <v>0</v>
      </c>
      <c r="C10" s="213">
        <f>1+IF(B10,IF('Sheet 1'!B43=Items!A273,IF($C1="MAGIC",0.15,IF(C1="RANGED",0.15,1/6)),IF('Sheet 1'!B43=Items!A274,0.2)))</f>
        <v>1</v>
      </c>
      <c r="D10" s="214">
        <f t="shared" ref="D10:Y10" si="9">INT(D9*$C10)</f>
        <v>30816</v>
      </c>
      <c r="E10" s="214">
        <f t="shared" si="9"/>
        <v>30602</v>
      </c>
      <c r="F10" s="214">
        <f t="shared" si="9"/>
        <v>30174</v>
      </c>
      <c r="G10" s="214">
        <f t="shared" si="9"/>
        <v>29960</v>
      </c>
      <c r="H10" s="214">
        <f t="shared" si="9"/>
        <v>29746</v>
      </c>
      <c r="I10" s="214">
        <f t="shared" si="9"/>
        <v>29532</v>
      </c>
      <c r="J10" s="214">
        <f t="shared" si="9"/>
        <v>29104</v>
      </c>
      <c r="K10" s="214">
        <f t="shared" si="9"/>
        <v>28890</v>
      </c>
      <c r="L10" s="214">
        <f t="shared" si="9"/>
        <v>28676</v>
      </c>
      <c r="M10" s="214">
        <f t="shared" si="9"/>
        <v>28462</v>
      </c>
      <c r="N10" s="214">
        <f t="shared" si="9"/>
        <v>28034</v>
      </c>
      <c r="O10" s="214">
        <f t="shared" si="9"/>
        <v>28034</v>
      </c>
      <c r="P10" s="214">
        <f t="shared" si="9"/>
        <v>28034</v>
      </c>
      <c r="Q10" s="214">
        <f t="shared" si="9"/>
        <v>28034</v>
      </c>
      <c r="R10" s="214">
        <f t="shared" si="9"/>
        <v>28034</v>
      </c>
      <c r="S10" s="214">
        <f t="shared" si="9"/>
        <v>28034</v>
      </c>
      <c r="T10" s="214">
        <f t="shared" si="9"/>
        <v>28034</v>
      </c>
      <c r="U10" s="214">
        <f t="shared" si="9"/>
        <v>28034</v>
      </c>
      <c r="V10" s="214">
        <f t="shared" si="9"/>
        <v>28034</v>
      </c>
      <c r="W10" s="214">
        <f t="shared" si="9"/>
        <v>28034</v>
      </c>
      <c r="X10" s="214">
        <f t="shared" si="9"/>
        <v>28034</v>
      </c>
      <c r="Y10" s="214">
        <f t="shared" si="9"/>
        <v>28034</v>
      </c>
    </row>
    <row r="11">
      <c r="A11" s="211" t="s">
        <v>160</v>
      </c>
      <c r="B11" s="211" t="b">
        <f>AND('Sheet 1'!E98,'Sheet 1'!B41=Items!A204,B10=FALSE)</f>
        <v>0</v>
      </c>
      <c r="C11" s="213">
        <f>1+IF(B11,IF('Sheet 1'!B41=Items!A204,IF($C1="MAGIC",0.15,IF(C1="RANGED",0.15,1/6))))</f>
        <v>1</v>
      </c>
      <c r="D11" s="214">
        <f t="shared" ref="D11:Y11" si="10">INT(D10*$C11)</f>
        <v>30816</v>
      </c>
      <c r="E11" s="214">
        <f t="shared" si="10"/>
        <v>30602</v>
      </c>
      <c r="F11" s="214">
        <f t="shared" si="10"/>
        <v>30174</v>
      </c>
      <c r="G11" s="214">
        <f t="shared" si="10"/>
        <v>29960</v>
      </c>
      <c r="H11" s="214">
        <f t="shared" si="10"/>
        <v>29746</v>
      </c>
      <c r="I11" s="214">
        <f t="shared" si="10"/>
        <v>29532</v>
      </c>
      <c r="J11" s="214">
        <f t="shared" si="10"/>
        <v>29104</v>
      </c>
      <c r="K11" s="214">
        <f t="shared" si="10"/>
        <v>28890</v>
      </c>
      <c r="L11" s="214">
        <f t="shared" si="10"/>
        <v>28676</v>
      </c>
      <c r="M11" s="214">
        <f t="shared" si="10"/>
        <v>28462</v>
      </c>
      <c r="N11" s="214">
        <f t="shared" si="10"/>
        <v>28034</v>
      </c>
      <c r="O11" s="214">
        <f t="shared" si="10"/>
        <v>28034</v>
      </c>
      <c r="P11" s="214">
        <f t="shared" si="10"/>
        <v>28034</v>
      </c>
      <c r="Q11" s="214">
        <f t="shared" si="10"/>
        <v>28034</v>
      </c>
      <c r="R11" s="214">
        <f t="shared" si="10"/>
        <v>28034</v>
      </c>
      <c r="S11" s="214">
        <f t="shared" si="10"/>
        <v>28034</v>
      </c>
      <c r="T11" s="214">
        <f t="shared" si="10"/>
        <v>28034</v>
      </c>
      <c r="U11" s="214">
        <f t="shared" si="10"/>
        <v>28034</v>
      </c>
      <c r="V11" s="214">
        <f t="shared" si="10"/>
        <v>28034</v>
      </c>
      <c r="W11" s="214">
        <f t="shared" si="10"/>
        <v>28034</v>
      </c>
      <c r="X11" s="214">
        <f t="shared" si="10"/>
        <v>28034</v>
      </c>
      <c r="Y11" s="214">
        <f t="shared" si="10"/>
        <v>28034</v>
      </c>
    </row>
    <row r="12">
      <c r="A12" s="211" t="str">
        <f>Items!A$11</f>
        <v>Arclight</v>
      </c>
      <c r="B12" s="214" t="b">
        <f>AND(IF(B$1="CHOOSE SPELL",FALSE,IF('Sheet 1'!B$38=A12,TRUE,FALSE)),'Sheet 1'!$D$75="DEMON")</f>
        <v>0</v>
      </c>
      <c r="C12" s="213">
        <f>IF(B12,1.7,1)</f>
        <v>1</v>
      </c>
      <c r="D12" s="214">
        <f t="shared" ref="D12:Y12" si="11">INT(D11*$C12)</f>
        <v>30816</v>
      </c>
      <c r="E12" s="214">
        <f t="shared" si="11"/>
        <v>30602</v>
      </c>
      <c r="F12" s="214">
        <f t="shared" si="11"/>
        <v>30174</v>
      </c>
      <c r="G12" s="214">
        <f t="shared" si="11"/>
        <v>29960</v>
      </c>
      <c r="H12" s="214">
        <f t="shared" si="11"/>
        <v>29746</v>
      </c>
      <c r="I12" s="214">
        <f t="shared" si="11"/>
        <v>29532</v>
      </c>
      <c r="J12" s="214">
        <f t="shared" si="11"/>
        <v>29104</v>
      </c>
      <c r="K12" s="214">
        <f t="shared" si="11"/>
        <v>28890</v>
      </c>
      <c r="L12" s="214">
        <f t="shared" si="11"/>
        <v>28676</v>
      </c>
      <c r="M12" s="214">
        <f t="shared" si="11"/>
        <v>28462</v>
      </c>
      <c r="N12" s="214">
        <f t="shared" si="11"/>
        <v>28034</v>
      </c>
      <c r="O12" s="214">
        <f t="shared" si="11"/>
        <v>28034</v>
      </c>
      <c r="P12" s="214">
        <f t="shared" si="11"/>
        <v>28034</v>
      </c>
      <c r="Q12" s="214">
        <f t="shared" si="11"/>
        <v>28034</v>
      </c>
      <c r="R12" s="214">
        <f t="shared" si="11"/>
        <v>28034</v>
      </c>
      <c r="S12" s="214">
        <f t="shared" si="11"/>
        <v>28034</v>
      </c>
      <c r="T12" s="214">
        <f t="shared" si="11"/>
        <v>28034</v>
      </c>
      <c r="U12" s="214">
        <f t="shared" si="11"/>
        <v>28034</v>
      </c>
      <c r="V12" s="214">
        <f t="shared" si="11"/>
        <v>28034</v>
      </c>
      <c r="W12" s="214">
        <f t="shared" si="11"/>
        <v>28034</v>
      </c>
      <c r="X12" s="214">
        <f t="shared" si="11"/>
        <v>28034</v>
      </c>
      <c r="Y12" s="214">
        <f t="shared" si="11"/>
        <v>28034</v>
      </c>
    </row>
    <row r="13">
      <c r="A13" s="211" t="str">
        <f>Items!A$126</f>
        <v>Dragon hunter crossbow</v>
      </c>
      <c r="B13" s="214" t="b">
        <f>AND(IF(B$1="CHOOSE SPELL",FALSE,IF('Sheet 1'!B$38=A13,TRUE,FALSE)),OR('Sheet 1'!$D$75="VORKATH",'Sheet 1'!$D$75="DRAGON"))</f>
        <v>0</v>
      </c>
      <c r="C13" s="213">
        <f>IF(B13,1.3,1)</f>
        <v>1</v>
      </c>
      <c r="D13" s="214">
        <f t="shared" ref="D13:Y13" si="12">INT(D12*$C13)</f>
        <v>30816</v>
      </c>
      <c r="E13" s="214">
        <f t="shared" si="12"/>
        <v>30602</v>
      </c>
      <c r="F13" s="214">
        <f t="shared" si="12"/>
        <v>30174</v>
      </c>
      <c r="G13" s="214">
        <f t="shared" si="12"/>
        <v>29960</v>
      </c>
      <c r="H13" s="214">
        <f t="shared" si="12"/>
        <v>29746</v>
      </c>
      <c r="I13" s="214">
        <f t="shared" si="12"/>
        <v>29532</v>
      </c>
      <c r="J13" s="214">
        <f t="shared" si="12"/>
        <v>29104</v>
      </c>
      <c r="K13" s="214">
        <f t="shared" si="12"/>
        <v>28890</v>
      </c>
      <c r="L13" s="214">
        <f t="shared" si="12"/>
        <v>28676</v>
      </c>
      <c r="M13" s="214">
        <f t="shared" si="12"/>
        <v>28462</v>
      </c>
      <c r="N13" s="214">
        <f t="shared" si="12"/>
        <v>28034</v>
      </c>
      <c r="O13" s="214">
        <f t="shared" si="12"/>
        <v>28034</v>
      </c>
      <c r="P13" s="214">
        <f t="shared" si="12"/>
        <v>28034</v>
      </c>
      <c r="Q13" s="214">
        <f t="shared" si="12"/>
        <v>28034</v>
      </c>
      <c r="R13" s="214">
        <f t="shared" si="12"/>
        <v>28034</v>
      </c>
      <c r="S13" s="214">
        <f t="shared" si="12"/>
        <v>28034</v>
      </c>
      <c r="T13" s="214">
        <f t="shared" si="12"/>
        <v>28034</v>
      </c>
      <c r="U13" s="214">
        <f t="shared" si="12"/>
        <v>28034</v>
      </c>
      <c r="V13" s="214">
        <f t="shared" si="12"/>
        <v>28034</v>
      </c>
      <c r="W13" s="214">
        <f t="shared" si="12"/>
        <v>28034</v>
      </c>
      <c r="X13" s="214">
        <f t="shared" si="12"/>
        <v>28034</v>
      </c>
      <c r="Y13" s="214">
        <f t="shared" si="12"/>
        <v>28034</v>
      </c>
    </row>
    <row r="14">
      <c r="A14" s="211" t="str">
        <f>Items!A33</f>
        <v>Dragon hunter lance</v>
      </c>
      <c r="B14" s="214" t="b">
        <f>AND(IF(B$1="CHOOSE SPELL",FALSE,IF('Sheet 1'!B$38=A14,TRUE,FALSE)),OR('Sheet 1'!$D$75="VORKATH",'Sheet 1'!$D$75="DRAGON"))</f>
        <v>0</v>
      </c>
      <c r="C14" s="213">
        <f>IF(B14,1.2,1)</f>
        <v>1</v>
      </c>
      <c r="D14" s="214">
        <f t="shared" ref="D14:Y14" si="13">INT(D13*$C14)</f>
        <v>30816</v>
      </c>
      <c r="E14" s="214">
        <f t="shared" si="13"/>
        <v>30602</v>
      </c>
      <c r="F14" s="214">
        <f t="shared" si="13"/>
        <v>30174</v>
      </c>
      <c r="G14" s="214">
        <f t="shared" si="13"/>
        <v>29960</v>
      </c>
      <c r="H14" s="214">
        <f t="shared" si="13"/>
        <v>29746</v>
      </c>
      <c r="I14" s="214">
        <f t="shared" si="13"/>
        <v>29532</v>
      </c>
      <c r="J14" s="214">
        <f t="shared" si="13"/>
        <v>29104</v>
      </c>
      <c r="K14" s="214">
        <f t="shared" si="13"/>
        <v>28890</v>
      </c>
      <c r="L14" s="214">
        <f t="shared" si="13"/>
        <v>28676</v>
      </c>
      <c r="M14" s="214">
        <f t="shared" si="13"/>
        <v>28462</v>
      </c>
      <c r="N14" s="214">
        <f t="shared" si="13"/>
        <v>28034</v>
      </c>
      <c r="O14" s="214">
        <f t="shared" si="13"/>
        <v>28034</v>
      </c>
      <c r="P14" s="214">
        <f t="shared" si="13"/>
        <v>28034</v>
      </c>
      <c r="Q14" s="214">
        <f t="shared" si="13"/>
        <v>28034</v>
      </c>
      <c r="R14" s="214">
        <f t="shared" si="13"/>
        <v>28034</v>
      </c>
      <c r="S14" s="214">
        <f t="shared" si="13"/>
        <v>28034</v>
      </c>
      <c r="T14" s="214">
        <f t="shared" si="13"/>
        <v>28034</v>
      </c>
      <c r="U14" s="214">
        <f t="shared" si="13"/>
        <v>28034</v>
      </c>
      <c r="V14" s="214">
        <f t="shared" si="13"/>
        <v>28034</v>
      </c>
      <c r="W14" s="214">
        <f t="shared" si="13"/>
        <v>28034</v>
      </c>
      <c r="X14" s="214">
        <f t="shared" si="13"/>
        <v>28034</v>
      </c>
      <c r="Y14" s="214">
        <f t="shared" si="13"/>
        <v>28034</v>
      </c>
    </row>
    <row r="15">
      <c r="A15" s="211" t="s">
        <v>161</v>
      </c>
      <c r="B15" s="214" t="b">
        <f>AND(Input!AC12,OR('Sheet 1'!B38=Items!A101,'Sheet 1'!B38=Items!A121,'Sheet 1'!B38=Items!A170))</f>
        <v>0</v>
      </c>
      <c r="C15" s="213">
        <f>IF(B15,IF('Sheet 1'!B38=Items!A170,2,1.5),1)</f>
        <v>1</v>
      </c>
      <c r="D15" s="214">
        <f t="shared" ref="D15:Y15" si="14">INT(D14*$C15)</f>
        <v>30816</v>
      </c>
      <c r="E15" s="214">
        <f t="shared" si="14"/>
        <v>30602</v>
      </c>
      <c r="F15" s="214">
        <f t="shared" si="14"/>
        <v>30174</v>
      </c>
      <c r="G15" s="214">
        <f t="shared" si="14"/>
        <v>29960</v>
      </c>
      <c r="H15" s="214">
        <f t="shared" si="14"/>
        <v>29746</v>
      </c>
      <c r="I15" s="214">
        <f t="shared" si="14"/>
        <v>29532</v>
      </c>
      <c r="J15" s="214">
        <f t="shared" si="14"/>
        <v>29104</v>
      </c>
      <c r="K15" s="214">
        <f t="shared" si="14"/>
        <v>28890</v>
      </c>
      <c r="L15" s="214">
        <f t="shared" si="14"/>
        <v>28676</v>
      </c>
      <c r="M15" s="214">
        <f t="shared" si="14"/>
        <v>28462</v>
      </c>
      <c r="N15" s="214">
        <f t="shared" si="14"/>
        <v>28034</v>
      </c>
      <c r="O15" s="214">
        <f t="shared" si="14"/>
        <v>28034</v>
      </c>
      <c r="P15" s="214">
        <f t="shared" si="14"/>
        <v>28034</v>
      </c>
      <c r="Q15" s="214">
        <f t="shared" si="14"/>
        <v>28034</v>
      </c>
      <c r="R15" s="214">
        <f t="shared" si="14"/>
        <v>28034</v>
      </c>
      <c r="S15" s="214">
        <f t="shared" si="14"/>
        <v>28034</v>
      </c>
      <c r="T15" s="214">
        <f t="shared" si="14"/>
        <v>28034</v>
      </c>
      <c r="U15" s="214">
        <f t="shared" si="14"/>
        <v>28034</v>
      </c>
      <c r="V15" s="214">
        <f t="shared" si="14"/>
        <v>28034</v>
      </c>
      <c r="W15" s="214">
        <f t="shared" si="14"/>
        <v>28034</v>
      </c>
      <c r="X15" s="214">
        <f t="shared" si="14"/>
        <v>28034</v>
      </c>
      <c r="Y15" s="214">
        <f t="shared" si="14"/>
        <v>28034</v>
      </c>
    </row>
    <row r="16">
      <c r="A16" s="211" t="str">
        <f>Items!A$153</f>
        <v>Twisted bow</v>
      </c>
      <c r="B16" s="214" t="b">
        <f>IF(B$1="CHOOSE SPELL",FALSE,IF('Sheet 1'!B$38=A16,TRUE,FALSE))</f>
        <v>0</v>
      </c>
      <c r="C16" s="213">
        <f>IF(B16,MIN(140,140+TRUNC((3*MIN(IF('Sheet 1'!E75="RAIDS",MIN(350,MAX('Sheet 1'!$C$81,'Sheet 1'!$H$81)),250),MAX('Sheet 1'!$C$81,'Sheet 1'!$H$81))-10)/100)-TRUNC(((0.3*MIN(IF('Sheet 1'!E75="RAIDS",MIN(350,MAX('Sheet 1'!$C$81,'Sheet 1'!$H$81)),250),MAX('Sheet 1'!$C$81,'Sheet 1'!$H$81))-100)^2)/100))/100,1)</f>
        <v>1</v>
      </c>
      <c r="D16" s="214">
        <f t="shared" ref="D16:Y16" si="15">INT(D15*$C16)</f>
        <v>30816</v>
      </c>
      <c r="E16" s="214">
        <f t="shared" si="15"/>
        <v>30602</v>
      </c>
      <c r="F16" s="214">
        <f t="shared" si="15"/>
        <v>30174</v>
      </c>
      <c r="G16" s="214">
        <f t="shared" si="15"/>
        <v>29960</v>
      </c>
      <c r="H16" s="214">
        <f t="shared" si="15"/>
        <v>29746</v>
      </c>
      <c r="I16" s="214">
        <f t="shared" si="15"/>
        <v>29532</v>
      </c>
      <c r="J16" s="214">
        <f t="shared" si="15"/>
        <v>29104</v>
      </c>
      <c r="K16" s="214">
        <f t="shared" si="15"/>
        <v>28890</v>
      </c>
      <c r="L16" s="214">
        <f t="shared" si="15"/>
        <v>28676</v>
      </c>
      <c r="M16" s="214">
        <f t="shared" si="15"/>
        <v>28462</v>
      </c>
      <c r="N16" s="214">
        <f t="shared" si="15"/>
        <v>28034</v>
      </c>
      <c r="O16" s="214">
        <f t="shared" si="15"/>
        <v>28034</v>
      </c>
      <c r="P16" s="214">
        <f t="shared" si="15"/>
        <v>28034</v>
      </c>
      <c r="Q16" s="214">
        <f t="shared" si="15"/>
        <v>28034</v>
      </c>
      <c r="R16" s="214">
        <f t="shared" si="15"/>
        <v>28034</v>
      </c>
      <c r="S16" s="214">
        <f t="shared" si="15"/>
        <v>28034</v>
      </c>
      <c r="T16" s="214">
        <f t="shared" si="15"/>
        <v>28034</v>
      </c>
      <c r="U16" s="214">
        <f t="shared" si="15"/>
        <v>28034</v>
      </c>
      <c r="V16" s="214">
        <f t="shared" si="15"/>
        <v>28034</v>
      </c>
      <c r="W16" s="214">
        <f t="shared" si="15"/>
        <v>28034</v>
      </c>
      <c r="X16" s="214">
        <f t="shared" si="15"/>
        <v>28034</v>
      </c>
      <c r="Y16" s="214">
        <f t="shared" si="15"/>
        <v>28034</v>
      </c>
    </row>
    <row r="17">
      <c r="A17" s="211" t="s">
        <v>162</v>
      </c>
      <c r="B17" s="214" t="b">
        <f>AND('Sheet 1'!B41=Items!A205,'Sheet 1'!B44=Items!A295,'Sheet 1'!B45=Items!A339,OR('Sheet 1'!B38=Items!A61,'Sheet 1'!B38=Items!A71,'Sheet 1'!B38=Items!A60,'Sheet 1'!B38=Items!A59))</f>
        <v>0</v>
      </c>
      <c r="C17" s="213">
        <f>IF(B17,1.1,1)</f>
        <v>1</v>
      </c>
      <c r="D17" s="214">
        <f t="shared" ref="D17:Y17" si="16">INT(D16*$C17)</f>
        <v>30816</v>
      </c>
      <c r="E17" s="214">
        <f t="shared" si="16"/>
        <v>30602</v>
      </c>
      <c r="F17" s="214">
        <f t="shared" si="16"/>
        <v>30174</v>
      </c>
      <c r="G17" s="214">
        <f t="shared" si="16"/>
        <v>29960</v>
      </c>
      <c r="H17" s="214">
        <f t="shared" si="16"/>
        <v>29746</v>
      </c>
      <c r="I17" s="214">
        <f t="shared" si="16"/>
        <v>29532</v>
      </c>
      <c r="J17" s="214">
        <f t="shared" si="16"/>
        <v>29104</v>
      </c>
      <c r="K17" s="214">
        <f t="shared" si="16"/>
        <v>28890</v>
      </c>
      <c r="L17" s="214">
        <f t="shared" si="16"/>
        <v>28676</v>
      </c>
      <c r="M17" s="214">
        <f t="shared" si="16"/>
        <v>28462</v>
      </c>
      <c r="N17" s="214">
        <f t="shared" si="16"/>
        <v>28034</v>
      </c>
      <c r="O17" s="214">
        <f t="shared" si="16"/>
        <v>28034</v>
      </c>
      <c r="P17" s="214">
        <f t="shared" si="16"/>
        <v>28034</v>
      </c>
      <c r="Q17" s="214">
        <f t="shared" si="16"/>
        <v>28034</v>
      </c>
      <c r="R17" s="214">
        <f t="shared" si="16"/>
        <v>28034</v>
      </c>
      <c r="S17" s="214">
        <f t="shared" si="16"/>
        <v>28034</v>
      </c>
      <c r="T17" s="214">
        <f t="shared" si="16"/>
        <v>28034</v>
      </c>
      <c r="U17" s="214">
        <f t="shared" si="16"/>
        <v>28034</v>
      </c>
      <c r="V17" s="214">
        <f t="shared" si="16"/>
        <v>28034</v>
      </c>
      <c r="W17" s="214">
        <f t="shared" si="16"/>
        <v>28034</v>
      </c>
      <c r="X17" s="214">
        <f t="shared" si="16"/>
        <v>28034</v>
      </c>
      <c r="Y17" s="214">
        <f t="shared" si="16"/>
        <v>28034</v>
      </c>
    </row>
    <row r="18">
      <c r="A18" s="211" t="s">
        <v>163</v>
      </c>
      <c r="B18" s="214" t="b">
        <f>'Sheet 1'!B38=Items!A117</f>
        <v>0</v>
      </c>
      <c r="C18" s="213">
        <f>1+if(B18,if('Sheet 1'!B41=Items!A218,0.06,0)+if('Sheet 1'!B44=Items!A303,0.06,0)+if('Sheet 1'!B45=Items!A346,0.06,0)+if(and('Sheet 1'!B41=Items!A218,'Sheet 1'!B44=Items!A303,'Sheet 1'!B45=Items!A346),0.12,0),0)</f>
        <v>1</v>
      </c>
      <c r="D18" s="214">
        <f t="shared" ref="D18:Y18" si="17">int(D17*$C$18)</f>
        <v>30816</v>
      </c>
      <c r="E18" s="214">
        <f t="shared" si="17"/>
        <v>30602</v>
      </c>
      <c r="F18" s="214">
        <f t="shared" si="17"/>
        <v>30174</v>
      </c>
      <c r="G18" s="214">
        <f t="shared" si="17"/>
        <v>29960</v>
      </c>
      <c r="H18" s="214">
        <f t="shared" si="17"/>
        <v>29746</v>
      </c>
      <c r="I18" s="214">
        <f t="shared" si="17"/>
        <v>29532</v>
      </c>
      <c r="J18" s="214">
        <f t="shared" si="17"/>
        <v>29104</v>
      </c>
      <c r="K18" s="214">
        <f t="shared" si="17"/>
        <v>28890</v>
      </c>
      <c r="L18" s="214">
        <f t="shared" si="17"/>
        <v>28676</v>
      </c>
      <c r="M18" s="214">
        <f t="shared" si="17"/>
        <v>28462</v>
      </c>
      <c r="N18" s="214">
        <f t="shared" si="17"/>
        <v>28034</v>
      </c>
      <c r="O18" s="214">
        <f t="shared" si="17"/>
        <v>28034</v>
      </c>
      <c r="P18" s="214">
        <f t="shared" si="17"/>
        <v>28034</v>
      </c>
      <c r="Q18" s="214">
        <f t="shared" si="17"/>
        <v>28034</v>
      </c>
      <c r="R18" s="214">
        <f t="shared" si="17"/>
        <v>28034</v>
      </c>
      <c r="S18" s="214">
        <f t="shared" si="17"/>
        <v>28034</v>
      </c>
      <c r="T18" s="214">
        <f t="shared" si="17"/>
        <v>28034</v>
      </c>
      <c r="U18" s="214">
        <f t="shared" si="17"/>
        <v>28034</v>
      </c>
      <c r="V18" s="214">
        <f t="shared" si="17"/>
        <v>28034</v>
      </c>
      <c r="W18" s="214">
        <f t="shared" si="17"/>
        <v>28034</v>
      </c>
      <c r="X18" s="214">
        <f t="shared" si="17"/>
        <v>28034</v>
      </c>
      <c r="Y18" s="214">
        <f t="shared" si="17"/>
        <v>28034</v>
      </c>
    </row>
    <row r="19">
      <c r="A19" s="211" t="s">
        <v>164</v>
      </c>
      <c r="B19" s="213">
        <f>if(or(Input!AG13="",Input!AG13="Off (default)"),0,Input!AG13)</f>
        <v>0</v>
      </c>
      <c r="C19" s="215">
        <f>1+B19</f>
        <v>1</v>
      </c>
      <c r="D19" s="214">
        <f t="shared" ref="D19:Y19" si="18">int(D18*$C$19)</f>
        <v>30816</v>
      </c>
      <c r="E19" s="214">
        <f t="shared" si="18"/>
        <v>30602</v>
      </c>
      <c r="F19" s="214">
        <f t="shared" si="18"/>
        <v>30174</v>
      </c>
      <c r="G19" s="214">
        <f t="shared" si="18"/>
        <v>29960</v>
      </c>
      <c r="H19" s="214">
        <f t="shared" si="18"/>
        <v>29746</v>
      </c>
      <c r="I19" s="214">
        <f t="shared" si="18"/>
        <v>29532</v>
      </c>
      <c r="J19" s="214">
        <f t="shared" si="18"/>
        <v>29104</v>
      </c>
      <c r="K19" s="214">
        <f t="shared" si="18"/>
        <v>28890</v>
      </c>
      <c r="L19" s="214">
        <f t="shared" si="18"/>
        <v>28676</v>
      </c>
      <c r="M19" s="214">
        <f t="shared" si="18"/>
        <v>28462</v>
      </c>
      <c r="N19" s="214">
        <f t="shared" si="18"/>
        <v>28034</v>
      </c>
      <c r="O19" s="214">
        <f t="shared" si="18"/>
        <v>28034</v>
      </c>
      <c r="P19" s="214">
        <f t="shared" si="18"/>
        <v>28034</v>
      </c>
      <c r="Q19" s="214">
        <f t="shared" si="18"/>
        <v>28034</v>
      </c>
      <c r="R19" s="214">
        <f t="shared" si="18"/>
        <v>28034</v>
      </c>
      <c r="S19" s="214">
        <f t="shared" si="18"/>
        <v>28034</v>
      </c>
      <c r="T19" s="214">
        <f t="shared" si="18"/>
        <v>28034</v>
      </c>
      <c r="U19" s="214">
        <f t="shared" si="18"/>
        <v>28034</v>
      </c>
      <c r="V19" s="214">
        <f t="shared" si="18"/>
        <v>28034</v>
      </c>
      <c r="W19" s="214">
        <f t="shared" si="18"/>
        <v>28034</v>
      </c>
      <c r="X19" s="214">
        <f t="shared" si="18"/>
        <v>28034</v>
      </c>
      <c r="Y19" s="214">
        <f t="shared" si="18"/>
        <v>28034</v>
      </c>
    </row>
    <row r="20">
      <c r="A20" s="211" t="s">
        <v>165</v>
      </c>
      <c r="B20" s="214" t="b">
        <f>and(isnumber(Distance),or('Sheet 1'!B38=Items!A115,'Sheet 1'!B38=Items!A150,'Sheet 1'!B38=Items!A116))</f>
        <v>0</v>
      </c>
      <c r="C20" s="213">
        <f>if(B20,'Sheet 1'!H18,1)</f>
        <v>1</v>
      </c>
      <c r="D20" s="214">
        <f t="shared" ref="D20:Y20" si="19">D19-int((1-$C$20)*D19)</f>
        <v>30816</v>
      </c>
      <c r="E20" s="214">
        <f t="shared" si="19"/>
        <v>30602</v>
      </c>
      <c r="F20" s="214">
        <f t="shared" si="19"/>
        <v>30174</v>
      </c>
      <c r="G20" s="214">
        <f t="shared" si="19"/>
        <v>29960</v>
      </c>
      <c r="H20" s="214">
        <f t="shared" si="19"/>
        <v>29746</v>
      </c>
      <c r="I20" s="214">
        <f t="shared" si="19"/>
        <v>29532</v>
      </c>
      <c r="J20" s="214">
        <f t="shared" si="19"/>
        <v>29104</v>
      </c>
      <c r="K20" s="214">
        <f t="shared" si="19"/>
        <v>28890</v>
      </c>
      <c r="L20" s="214">
        <f t="shared" si="19"/>
        <v>28676</v>
      </c>
      <c r="M20" s="214">
        <f t="shared" si="19"/>
        <v>28462</v>
      </c>
      <c r="N20" s="214">
        <f t="shared" si="19"/>
        <v>28034</v>
      </c>
      <c r="O20" s="214">
        <f t="shared" si="19"/>
        <v>28034</v>
      </c>
      <c r="P20" s="214">
        <f t="shared" si="19"/>
        <v>28034</v>
      </c>
      <c r="Q20" s="214">
        <f t="shared" si="19"/>
        <v>28034</v>
      </c>
      <c r="R20" s="214">
        <f t="shared" si="19"/>
        <v>28034</v>
      </c>
      <c r="S20" s="214">
        <f t="shared" si="19"/>
        <v>28034</v>
      </c>
      <c r="T20" s="214">
        <f t="shared" si="19"/>
        <v>28034</v>
      </c>
      <c r="U20" s="214">
        <f t="shared" si="19"/>
        <v>28034</v>
      </c>
      <c r="V20" s="214">
        <f t="shared" si="19"/>
        <v>28034</v>
      </c>
      <c r="W20" s="214">
        <f t="shared" si="19"/>
        <v>28034</v>
      </c>
      <c r="X20" s="214">
        <f t="shared" si="19"/>
        <v>28034</v>
      </c>
      <c r="Y20" s="214">
        <f t="shared" si="19"/>
        <v>28034</v>
      </c>
    </row>
    <row r="21">
      <c r="A21" s="211" t="s">
        <v>166</v>
      </c>
      <c r="B21" s="214" t="b">
        <f>C1="crush"</f>
        <v>0</v>
      </c>
      <c r="C21" s="213">
        <f>1 + if(B21=true,if('Sheet 1'!B41=Items!A193,0.005,0) + if('Sheet 1'!B44=Items!A286,0.005,0) + if('Sheet 1'!B45=Items!A331,0.005,0) + if(and('Sheet 1'!B41=Items!A193,'Sheet 1'!B44=Items!A286,'Sheet 1'!B45=Items!A331),0.01,0),0)</f>
        <v>1</v>
      </c>
      <c r="D21" s="214">
        <f t="shared" ref="D21:Y21" si="20">int(D20*$C$21)</f>
        <v>30816</v>
      </c>
      <c r="E21" s="214">
        <f t="shared" si="20"/>
        <v>30602</v>
      </c>
      <c r="F21" s="214">
        <f t="shared" si="20"/>
        <v>30174</v>
      </c>
      <c r="G21" s="214">
        <f t="shared" si="20"/>
        <v>29960</v>
      </c>
      <c r="H21" s="214">
        <f t="shared" si="20"/>
        <v>29746</v>
      </c>
      <c r="I21" s="214">
        <f t="shared" si="20"/>
        <v>29532</v>
      </c>
      <c r="J21" s="214">
        <f t="shared" si="20"/>
        <v>29104</v>
      </c>
      <c r="K21" s="214">
        <f t="shared" si="20"/>
        <v>28890</v>
      </c>
      <c r="L21" s="214">
        <f t="shared" si="20"/>
        <v>28676</v>
      </c>
      <c r="M21" s="214">
        <f t="shared" si="20"/>
        <v>28462</v>
      </c>
      <c r="N21" s="214">
        <f t="shared" si="20"/>
        <v>28034</v>
      </c>
      <c r="O21" s="214">
        <f t="shared" si="20"/>
        <v>28034</v>
      </c>
      <c r="P21" s="214">
        <f t="shared" si="20"/>
        <v>28034</v>
      </c>
      <c r="Q21" s="214">
        <f t="shared" si="20"/>
        <v>28034</v>
      </c>
      <c r="R21" s="214">
        <f t="shared" si="20"/>
        <v>28034</v>
      </c>
      <c r="S21" s="214">
        <f t="shared" si="20"/>
        <v>28034</v>
      </c>
      <c r="T21" s="214">
        <f t="shared" si="20"/>
        <v>28034</v>
      </c>
      <c r="U21" s="214">
        <f t="shared" si="20"/>
        <v>28034</v>
      </c>
      <c r="V21" s="214">
        <f t="shared" si="20"/>
        <v>28034</v>
      </c>
      <c r="W21" s="214">
        <f t="shared" si="20"/>
        <v>28034</v>
      </c>
      <c r="X21" s="214">
        <f t="shared" si="20"/>
        <v>28034</v>
      </c>
      <c r="Y21" s="214">
        <f t="shared" si="20"/>
        <v>28034</v>
      </c>
    </row>
    <row r="22">
      <c r="A22" s="211" t="s">
        <v>57</v>
      </c>
      <c r="B22" s="214"/>
      <c r="C22" s="213"/>
      <c r="D22" s="214">
        <f t="shared" ref="D22:Y22" si="21">INT(D21)</f>
        <v>30816</v>
      </c>
      <c r="E22" s="214">
        <f t="shared" si="21"/>
        <v>30602</v>
      </c>
      <c r="F22" s="214">
        <f t="shared" si="21"/>
        <v>30174</v>
      </c>
      <c r="G22" s="214">
        <f t="shared" si="21"/>
        <v>29960</v>
      </c>
      <c r="H22" s="214">
        <f t="shared" si="21"/>
        <v>29746</v>
      </c>
      <c r="I22" s="214">
        <f t="shared" si="21"/>
        <v>29532</v>
      </c>
      <c r="J22" s="214">
        <f t="shared" si="21"/>
        <v>29104</v>
      </c>
      <c r="K22" s="214">
        <f t="shared" si="21"/>
        <v>28890</v>
      </c>
      <c r="L22" s="214">
        <f t="shared" si="21"/>
        <v>28676</v>
      </c>
      <c r="M22" s="214">
        <f t="shared" si="21"/>
        <v>28462</v>
      </c>
      <c r="N22" s="214">
        <f t="shared" si="21"/>
        <v>28034</v>
      </c>
      <c r="O22" s="214">
        <f t="shared" si="21"/>
        <v>28034</v>
      </c>
      <c r="P22" s="214">
        <f t="shared" si="21"/>
        <v>28034</v>
      </c>
      <c r="Q22" s="214">
        <f t="shared" si="21"/>
        <v>28034</v>
      </c>
      <c r="R22" s="214">
        <f t="shared" si="21"/>
        <v>28034</v>
      </c>
      <c r="S22" s="214">
        <f t="shared" si="21"/>
        <v>28034</v>
      </c>
      <c r="T22" s="214">
        <f t="shared" si="21"/>
        <v>28034</v>
      </c>
      <c r="U22" s="214">
        <f t="shared" si="21"/>
        <v>28034</v>
      </c>
      <c r="V22" s="214">
        <f t="shared" si="21"/>
        <v>28034</v>
      </c>
      <c r="W22" s="214">
        <f t="shared" si="21"/>
        <v>28034</v>
      </c>
      <c r="X22" s="214">
        <f t="shared" si="21"/>
        <v>28034</v>
      </c>
      <c r="Y22" s="214">
        <f t="shared" si="21"/>
        <v>28034</v>
      </c>
    </row>
    <row r="23">
      <c r="A23" s="211" t="str">
        <f>Items!A498</f>
        <v>Brimstone ring</v>
      </c>
      <c r="B23" s="214" t="b">
        <f>AND('Sheet 1'!B49=A23,C1="MAGIC")</f>
        <v>0</v>
      </c>
      <c r="C23" s="213"/>
      <c r="D23" s="214">
        <f>IF($B23,TRUNC(0.1*'Sheet 1'!$E81)/4,0)</f>
        <v>0</v>
      </c>
      <c r="E23" s="214">
        <f>IF($B23,TRUNC(0.1*'Sheet 1'!$E81)/4,0)</f>
        <v>0</v>
      </c>
      <c r="F23" s="214">
        <f>IF($B23,TRUNC(0.1*'Sheet 1'!$E81)/4,0)</f>
        <v>0</v>
      </c>
      <c r="G23" s="214">
        <f>IF($B23,TRUNC(0.1*'Sheet 1'!$E81)/4,0)</f>
        <v>0</v>
      </c>
      <c r="H23" s="214">
        <f>IF($B23,TRUNC(0.1*'Sheet 1'!$E81)/4,0)</f>
        <v>0</v>
      </c>
      <c r="I23" s="214">
        <f>IF($B23,TRUNC(0.1*'Sheet 1'!$E81)/4,0)</f>
        <v>0</v>
      </c>
      <c r="J23" s="214">
        <f>IF($B23,TRUNC(0.1*'Sheet 1'!$E81)/4,0)</f>
        <v>0</v>
      </c>
      <c r="K23" s="214">
        <f>IF($B23,TRUNC(0.1*'Sheet 1'!$E81)/4,0)</f>
        <v>0</v>
      </c>
      <c r="L23" s="214">
        <f>IF($B23,TRUNC(0.1*'Sheet 1'!$E81)/4,0)</f>
        <v>0</v>
      </c>
      <c r="M23" s="214">
        <f>IF($B23,TRUNC(0.1*'Sheet 1'!$E81)/4,0)</f>
        <v>0</v>
      </c>
      <c r="N23" s="214">
        <f>IF($B23,TRUNC(0.1*'Sheet 1'!$E81)/4,0)</f>
        <v>0</v>
      </c>
      <c r="O23" s="214">
        <f>IF($B23,TRUNC(0.1*'Sheet 1'!$E81)/4,0)</f>
        <v>0</v>
      </c>
      <c r="P23" s="214">
        <f>IF($B23,TRUNC(0.1*'Sheet 1'!$E81)/4,0)</f>
        <v>0</v>
      </c>
      <c r="Q23" s="214">
        <f>IF($B23,TRUNC(0.1*'Sheet 1'!$E81)/4,0)</f>
        <v>0</v>
      </c>
      <c r="R23" s="214">
        <f>IF($B23,TRUNC(0.1*'Sheet 1'!$E81)/4,0)</f>
        <v>0</v>
      </c>
      <c r="S23" s="214">
        <f>IF($B23,TRUNC(0.1*'Sheet 1'!$E81)/4,0)</f>
        <v>0</v>
      </c>
      <c r="T23" s="214">
        <f>IF($B23,TRUNC(0.1*'Sheet 1'!$E81)/4,0)</f>
        <v>0</v>
      </c>
      <c r="U23" s="214">
        <f>IF($B23,TRUNC(0.1*'Sheet 1'!$E81)/4,0)</f>
        <v>0</v>
      </c>
      <c r="V23" s="214">
        <f>IF($B23,TRUNC(0.1*'Sheet 1'!$E81)/4,0)</f>
        <v>0</v>
      </c>
      <c r="W23" s="214">
        <f>IF($B23,TRUNC(0.1*'Sheet 1'!$E81)/4,0)</f>
        <v>0</v>
      </c>
      <c r="X23" s="214">
        <f>IF($B23,TRUNC(0.1*'Sheet 1'!$E81)/4,0)</f>
        <v>0</v>
      </c>
      <c r="Y23" s="214">
        <f>IF($B23,TRUNC(0.1*'Sheet 1'!$E81)/4,0)</f>
        <v>0</v>
      </c>
    </row>
    <row r="24">
      <c r="A24" s="211" t="s">
        <v>167</v>
      </c>
      <c r="B24" s="214"/>
      <c r="C24" s="213">
        <f>IF(C1="MAGIC",'Sheet 1'!E81,IF(C1="RANGED",'Sheet 1'!E82,IF(C1="STAB",'Sheet 1'!E78,IF(C1="SLASH",'Sheet 1'!E79,'Sheet 1'!E80))))</f>
        <v>76826</v>
      </c>
      <c r="D24" s="214">
        <f t="shared" ref="D24:Y24" si="22">max(0,INT($C24)-D23)</f>
        <v>76826</v>
      </c>
      <c r="E24" s="214">
        <f t="shared" si="22"/>
        <v>76826</v>
      </c>
      <c r="F24" s="214">
        <f t="shared" si="22"/>
        <v>76826</v>
      </c>
      <c r="G24" s="214">
        <f t="shared" si="22"/>
        <v>76826</v>
      </c>
      <c r="H24" s="214">
        <f t="shared" si="22"/>
        <v>76826</v>
      </c>
      <c r="I24" s="214">
        <f t="shared" si="22"/>
        <v>76826</v>
      </c>
      <c r="J24" s="214">
        <f t="shared" si="22"/>
        <v>76826</v>
      </c>
      <c r="K24" s="214">
        <f t="shared" si="22"/>
        <v>76826</v>
      </c>
      <c r="L24" s="214">
        <f t="shared" si="22"/>
        <v>76826</v>
      </c>
      <c r="M24" s="214">
        <f t="shared" si="22"/>
        <v>76826</v>
      </c>
      <c r="N24" s="214">
        <f t="shared" si="22"/>
        <v>76826</v>
      </c>
      <c r="O24" s="214">
        <f t="shared" si="22"/>
        <v>76826</v>
      </c>
      <c r="P24" s="214">
        <f t="shared" si="22"/>
        <v>76826</v>
      </c>
      <c r="Q24" s="214">
        <f t="shared" si="22"/>
        <v>76826</v>
      </c>
      <c r="R24" s="214">
        <f t="shared" si="22"/>
        <v>76826</v>
      </c>
      <c r="S24" s="214">
        <f t="shared" si="22"/>
        <v>76826</v>
      </c>
      <c r="T24" s="214">
        <f t="shared" si="22"/>
        <v>76826</v>
      </c>
      <c r="U24" s="214">
        <f t="shared" si="22"/>
        <v>76826</v>
      </c>
      <c r="V24" s="214">
        <f t="shared" si="22"/>
        <v>76826</v>
      </c>
      <c r="W24" s="214">
        <f t="shared" si="22"/>
        <v>76826</v>
      </c>
      <c r="X24" s="214">
        <f t="shared" si="22"/>
        <v>76826</v>
      </c>
      <c r="Y24" s="214">
        <f t="shared" si="22"/>
        <v>76826</v>
      </c>
    </row>
    <row r="25">
      <c r="A25" s="211" t="s">
        <v>168</v>
      </c>
      <c r="B25" s="216" t="b">
        <f>or('Sheet 1'!$B$75=A25,and('Sheet 1'!B38=Items!A161,'Sheet 1'!B75='NPC stats'!A460))</f>
        <v>0</v>
      </c>
      <c r="C25" s="213"/>
      <c r="D25" s="214"/>
      <c r="E25" s="214"/>
      <c r="F25" s="214"/>
      <c r="G25" s="214"/>
      <c r="H25" s="214"/>
      <c r="I25" s="214"/>
      <c r="J25" s="214"/>
      <c r="K25" s="214"/>
      <c r="L25" s="214"/>
      <c r="M25" s="214"/>
      <c r="N25" s="214"/>
      <c r="O25" s="214"/>
      <c r="P25" s="214"/>
      <c r="Q25" s="214"/>
      <c r="R25" s="214"/>
      <c r="S25" s="214"/>
      <c r="T25" s="214"/>
      <c r="U25" s="214"/>
      <c r="V25" s="214"/>
      <c r="W25" s="214"/>
      <c r="X25" s="214"/>
      <c r="Y25" s="214"/>
    </row>
    <row r="26">
      <c r="A26" s="211" t="s">
        <v>169</v>
      </c>
      <c r="B26" s="216" t="b">
        <f>'Sheet 1'!$B$75=A26</f>
        <v>0</v>
      </c>
      <c r="C26" s="217" t="b">
        <f>B45</f>
        <v>0</v>
      </c>
      <c r="D26" s="214">
        <f t="shared" ref="D26:Y26" si="23">($C$3+8)*204</f>
        <v>21828</v>
      </c>
      <c r="E26" s="214">
        <f t="shared" si="23"/>
        <v>21828</v>
      </c>
      <c r="F26" s="214">
        <f t="shared" si="23"/>
        <v>21828</v>
      </c>
      <c r="G26" s="214">
        <f t="shared" si="23"/>
        <v>21828</v>
      </c>
      <c r="H26" s="214">
        <f t="shared" si="23"/>
        <v>21828</v>
      </c>
      <c r="I26" s="214">
        <f t="shared" si="23"/>
        <v>21828</v>
      </c>
      <c r="J26" s="214">
        <f t="shared" si="23"/>
        <v>21828</v>
      </c>
      <c r="K26" s="214">
        <f t="shared" si="23"/>
        <v>21828</v>
      </c>
      <c r="L26" s="214">
        <f t="shared" si="23"/>
        <v>21828</v>
      </c>
      <c r="M26" s="214">
        <f t="shared" si="23"/>
        <v>21828</v>
      </c>
      <c r="N26" s="214">
        <f t="shared" si="23"/>
        <v>21828</v>
      </c>
      <c r="O26" s="214">
        <f t="shared" si="23"/>
        <v>21828</v>
      </c>
      <c r="P26" s="214">
        <f t="shared" si="23"/>
        <v>21828</v>
      </c>
      <c r="Q26" s="214">
        <f t="shared" si="23"/>
        <v>21828</v>
      </c>
      <c r="R26" s="214">
        <f t="shared" si="23"/>
        <v>21828</v>
      </c>
      <c r="S26" s="214">
        <f t="shared" si="23"/>
        <v>21828</v>
      </c>
      <c r="T26" s="214">
        <f t="shared" si="23"/>
        <v>21828</v>
      </c>
      <c r="U26" s="214">
        <f t="shared" si="23"/>
        <v>21828</v>
      </c>
      <c r="V26" s="214">
        <f t="shared" si="23"/>
        <v>21828</v>
      </c>
      <c r="W26" s="214">
        <f t="shared" si="23"/>
        <v>21828</v>
      </c>
      <c r="X26" s="214">
        <f t="shared" si="23"/>
        <v>21828</v>
      </c>
      <c r="Y26" s="214">
        <f t="shared" si="23"/>
        <v>21828</v>
      </c>
    </row>
    <row r="27">
      <c r="A27" s="218" t="s">
        <v>170</v>
      </c>
      <c r="B27" s="214"/>
      <c r="C27" s="213"/>
      <c r="D27" s="214">
        <f t="shared" ref="D27:Y27" si="24">if($B$25,1,if(and($B$26,$C$26),min(D28,D26)/D26,IF(D22&gt;D24,1-(D24+2)/(2*(D22+1)),D22/(2*(D24+1)))))</f>
        <v>0.2005544926</v>
      </c>
      <c r="E27" s="214">
        <f t="shared" si="24"/>
        <v>0.199161753</v>
      </c>
      <c r="F27" s="214">
        <f t="shared" si="24"/>
        <v>0.196376274</v>
      </c>
      <c r="G27" s="214">
        <f t="shared" si="24"/>
        <v>0.1949835344</v>
      </c>
      <c r="H27" s="214">
        <f t="shared" si="24"/>
        <v>0.1935907949</v>
      </c>
      <c r="I27" s="214">
        <f t="shared" si="24"/>
        <v>0.1921980554</v>
      </c>
      <c r="J27" s="214">
        <f t="shared" si="24"/>
        <v>0.1894125763</v>
      </c>
      <c r="K27" s="214">
        <f t="shared" si="24"/>
        <v>0.1880198368</v>
      </c>
      <c r="L27" s="214">
        <f t="shared" si="24"/>
        <v>0.1866270972</v>
      </c>
      <c r="M27" s="214">
        <f t="shared" si="24"/>
        <v>0.1852343577</v>
      </c>
      <c r="N27" s="214">
        <f t="shared" si="24"/>
        <v>0.1824488786</v>
      </c>
      <c r="O27" s="214">
        <f t="shared" si="24"/>
        <v>0.1824488786</v>
      </c>
      <c r="P27" s="214">
        <f t="shared" si="24"/>
        <v>0.1824488786</v>
      </c>
      <c r="Q27" s="214">
        <f t="shared" si="24"/>
        <v>0.1824488786</v>
      </c>
      <c r="R27" s="214">
        <f t="shared" si="24"/>
        <v>0.1824488786</v>
      </c>
      <c r="S27" s="214">
        <f t="shared" si="24"/>
        <v>0.1824488786</v>
      </c>
      <c r="T27" s="214">
        <f t="shared" si="24"/>
        <v>0.1824488786</v>
      </c>
      <c r="U27" s="214">
        <f t="shared" si="24"/>
        <v>0.1824488786</v>
      </c>
      <c r="V27" s="214">
        <f t="shared" si="24"/>
        <v>0.1824488786</v>
      </c>
      <c r="W27" s="214">
        <f t="shared" si="24"/>
        <v>0.1824488786</v>
      </c>
      <c r="X27" s="214">
        <f t="shared" si="24"/>
        <v>0.1824488786</v>
      </c>
      <c r="Y27" s="214">
        <f t="shared" si="24"/>
        <v>0.1824488786</v>
      </c>
    </row>
    <row r="28">
      <c r="A28" s="211" t="str">
        <f>Items!P1</f>
        <v>Special accuracy</v>
      </c>
      <c r="B28" s="214"/>
      <c r="C28" s="212">
        <f t="array" ref="C28">1+INDEX(Items!$A$1:$V$698,MATCH('Sheet 1'!B38,Items!$A$1:$A$698,0),MATCH(A28,Items!$A$1:$V$1,0))</f>
        <v>1</v>
      </c>
      <c r="D28" s="214">
        <f t="shared" ref="D28:Y28" si="25">INT(D22*$C28)</f>
        <v>30816</v>
      </c>
      <c r="E28" s="214">
        <f t="shared" si="25"/>
        <v>30602</v>
      </c>
      <c r="F28" s="214">
        <f t="shared" si="25"/>
        <v>30174</v>
      </c>
      <c r="G28" s="214">
        <f t="shared" si="25"/>
        <v>29960</v>
      </c>
      <c r="H28" s="214">
        <f t="shared" si="25"/>
        <v>29746</v>
      </c>
      <c r="I28" s="214">
        <f t="shared" si="25"/>
        <v>29532</v>
      </c>
      <c r="J28" s="214">
        <f t="shared" si="25"/>
        <v>29104</v>
      </c>
      <c r="K28" s="214">
        <f t="shared" si="25"/>
        <v>28890</v>
      </c>
      <c r="L28" s="214">
        <f t="shared" si="25"/>
        <v>28676</v>
      </c>
      <c r="M28" s="214">
        <f t="shared" si="25"/>
        <v>28462</v>
      </c>
      <c r="N28" s="214">
        <f t="shared" si="25"/>
        <v>28034</v>
      </c>
      <c r="O28" s="214">
        <f t="shared" si="25"/>
        <v>28034</v>
      </c>
      <c r="P28" s="214">
        <f t="shared" si="25"/>
        <v>28034</v>
      </c>
      <c r="Q28" s="214">
        <f t="shared" si="25"/>
        <v>28034</v>
      </c>
      <c r="R28" s="214">
        <f t="shared" si="25"/>
        <v>28034</v>
      </c>
      <c r="S28" s="214">
        <f t="shared" si="25"/>
        <v>28034</v>
      </c>
      <c r="T28" s="214">
        <f t="shared" si="25"/>
        <v>28034</v>
      </c>
      <c r="U28" s="214">
        <f t="shared" si="25"/>
        <v>28034</v>
      </c>
      <c r="V28" s="214">
        <f t="shared" si="25"/>
        <v>28034</v>
      </c>
      <c r="W28" s="214">
        <f t="shared" si="25"/>
        <v>28034</v>
      </c>
      <c r="X28" s="214">
        <f t="shared" si="25"/>
        <v>28034</v>
      </c>
      <c r="Y28" s="214">
        <f t="shared" si="25"/>
        <v>28034</v>
      </c>
    </row>
    <row r="29">
      <c r="A29" s="211" t="str">
        <f>Items!A498</f>
        <v>Brimstone ring</v>
      </c>
      <c r="B29" s="212" t="b">
        <f>AND('Sheet 1'!B49=A29,B30="MAGIC")</f>
        <v>0</v>
      </c>
      <c r="C29" s="213"/>
      <c r="D29" s="214">
        <f>IF($B29,TRUNC(0.1*'Sheet 1'!$E81)/4,0)</f>
        <v>0</v>
      </c>
      <c r="E29" s="214">
        <f>IF($B29,TRUNC(0.1*'Sheet 1'!$E81)/4,0)</f>
        <v>0</v>
      </c>
      <c r="F29" s="214">
        <f>IF($B29,TRUNC(0.1*'Sheet 1'!$E81)/4,0)</f>
        <v>0</v>
      </c>
      <c r="G29" s="214">
        <f>IF($B29,TRUNC(0.1*'Sheet 1'!$E81)/4,0)</f>
        <v>0</v>
      </c>
      <c r="H29" s="214">
        <f>IF($B29,TRUNC(0.1*'Sheet 1'!$E81)/4,0)</f>
        <v>0</v>
      </c>
      <c r="I29" s="214">
        <f>IF($B29,TRUNC(0.1*'Sheet 1'!$E81)/4,0)</f>
        <v>0</v>
      </c>
      <c r="J29" s="214">
        <f>IF($B29,TRUNC(0.1*'Sheet 1'!$E81)/4,0)</f>
        <v>0</v>
      </c>
      <c r="K29" s="214">
        <f>IF($B29,TRUNC(0.1*'Sheet 1'!$E81)/4,0)</f>
        <v>0</v>
      </c>
      <c r="L29" s="214">
        <f>IF($B29,TRUNC(0.1*'Sheet 1'!$E81)/4,0)</f>
        <v>0</v>
      </c>
      <c r="M29" s="214">
        <f>IF($B29,TRUNC(0.1*'Sheet 1'!$E81)/4,0)</f>
        <v>0</v>
      </c>
      <c r="N29" s="214">
        <f>IF($B29,TRUNC(0.1*'Sheet 1'!$E81)/4,0)</f>
        <v>0</v>
      </c>
      <c r="O29" s="214">
        <f>IF($B29,TRUNC(0.1*'Sheet 1'!$E81)/4,0)</f>
        <v>0</v>
      </c>
      <c r="P29" s="214">
        <f>IF($B29,TRUNC(0.1*'Sheet 1'!$E81)/4,0)</f>
        <v>0</v>
      </c>
      <c r="Q29" s="214">
        <f>IF($B29,TRUNC(0.1*'Sheet 1'!$E81)/4,0)</f>
        <v>0</v>
      </c>
      <c r="R29" s="214">
        <f>IF($B29,TRUNC(0.1*'Sheet 1'!$E81)/4,0)</f>
        <v>0</v>
      </c>
      <c r="S29" s="214">
        <f>IF($B29,TRUNC(0.1*'Sheet 1'!$E81)/4,0)</f>
        <v>0</v>
      </c>
      <c r="T29" s="214">
        <f>IF($B29,TRUNC(0.1*'Sheet 1'!$E81)/4,0)</f>
        <v>0</v>
      </c>
      <c r="U29" s="214">
        <f>IF($B29,TRUNC(0.1*'Sheet 1'!$E81)/4,0)</f>
        <v>0</v>
      </c>
      <c r="V29" s="214">
        <f>IF($B29,TRUNC(0.1*'Sheet 1'!$E81)/4,0)</f>
        <v>0</v>
      </c>
      <c r="W29" s="214">
        <f>IF($B29,TRUNC(0.1*'Sheet 1'!$E81)/4,0)</f>
        <v>0</v>
      </c>
      <c r="X29" s="214">
        <f>IF($B29,TRUNC(0.1*'Sheet 1'!$E81)/4,0)</f>
        <v>0</v>
      </c>
      <c r="Y29" s="214">
        <f>IF($B29,TRUNC(0.1*'Sheet 1'!$E81)/4,0)</f>
        <v>0</v>
      </c>
    </row>
    <row r="30">
      <c r="A30" s="211" t="str">
        <f>Items!S1</f>
        <v>Special defence roll</v>
      </c>
      <c r="B30" s="212" t="str">
        <f t="array" ref="B30">INDEX(Items!$A$1:$V$698,MATCH('Sheet 1'!B38,Items!$A$1:$A$698,0),MATCH(A30,Items!$A$1:$V$1,0))</f>
        <v/>
      </c>
      <c r="C30" s="213" t="b">
        <f>ISBLANK(B30)</f>
        <v>1</v>
      </c>
      <c r="D30" s="214">
        <f>IF($B30='Sheet 1'!$B78,'Sheet 1'!$E78,IF($B30='Sheet 1'!$B79,'Sheet 1'!$E79,IF($B30='Sheet 1'!$B80,'Sheet 1'!$E80,IF($B30='Sheet 1'!$B81,'Sheet 1'!$E81,IF($B30='Sheet 1'!$B82,'Sheet 1'!$E82))))) -D29</f>
        <v>0</v>
      </c>
      <c r="E30" s="214">
        <f>IF($B30='Sheet 1'!$B78,'Sheet 1'!$E78,IF($B30='Sheet 1'!$B79,'Sheet 1'!$E79,IF($B30='Sheet 1'!$B80,'Sheet 1'!$E80,IF($B30='Sheet 1'!$B81,'Sheet 1'!$E81,IF($B30='Sheet 1'!$B82,'Sheet 1'!$E82))))) -E29</f>
        <v>0</v>
      </c>
      <c r="F30" s="214">
        <f>IF($B30='Sheet 1'!$B78,'Sheet 1'!$E78,IF($B30='Sheet 1'!$B79,'Sheet 1'!$E79,IF($B30='Sheet 1'!$B80,'Sheet 1'!$E80,IF($B30='Sheet 1'!$B81,'Sheet 1'!$E81,IF($B30='Sheet 1'!$B82,'Sheet 1'!$E82))))) -F29</f>
        <v>0</v>
      </c>
      <c r="G30" s="214">
        <f>IF($B30='Sheet 1'!$B78,'Sheet 1'!$E78,IF($B30='Sheet 1'!$B79,'Sheet 1'!$E79,IF($B30='Sheet 1'!$B80,'Sheet 1'!$E80,IF($B30='Sheet 1'!$B81,'Sheet 1'!$E81,IF($B30='Sheet 1'!$B82,'Sheet 1'!$E82))))) -G29</f>
        <v>0</v>
      </c>
      <c r="H30" s="214">
        <f>IF($B30='Sheet 1'!$B78,'Sheet 1'!$E78,IF($B30='Sheet 1'!$B79,'Sheet 1'!$E79,IF($B30='Sheet 1'!$B80,'Sheet 1'!$E80,IF($B30='Sheet 1'!$B81,'Sheet 1'!$E81,IF($B30='Sheet 1'!$B82,'Sheet 1'!$E82))))) -H29</f>
        <v>0</v>
      </c>
      <c r="I30" s="214">
        <f>IF($B30='Sheet 1'!$B78,'Sheet 1'!$E78,IF($B30='Sheet 1'!$B79,'Sheet 1'!$E79,IF($B30='Sheet 1'!$B80,'Sheet 1'!$E80,IF($B30='Sheet 1'!$B81,'Sheet 1'!$E81,IF($B30='Sheet 1'!$B82,'Sheet 1'!$E82))))) -I29</f>
        <v>0</v>
      </c>
      <c r="J30" s="214">
        <f>IF($B30='Sheet 1'!$B78,'Sheet 1'!$E78,IF($B30='Sheet 1'!$B79,'Sheet 1'!$E79,IF($B30='Sheet 1'!$B80,'Sheet 1'!$E80,IF($B30='Sheet 1'!$B81,'Sheet 1'!$E81,IF($B30='Sheet 1'!$B82,'Sheet 1'!$E82))))) -J29</f>
        <v>0</v>
      </c>
      <c r="K30" s="214">
        <f>IF($B30='Sheet 1'!$B78,'Sheet 1'!$E78,IF($B30='Sheet 1'!$B79,'Sheet 1'!$E79,IF($B30='Sheet 1'!$B80,'Sheet 1'!$E80,IF($B30='Sheet 1'!$B81,'Sheet 1'!$E81,IF($B30='Sheet 1'!$B82,'Sheet 1'!$E82))))) -K29</f>
        <v>0</v>
      </c>
      <c r="L30" s="214">
        <f>IF($B30='Sheet 1'!$B78,'Sheet 1'!$E78,IF($B30='Sheet 1'!$B79,'Sheet 1'!$E79,IF($B30='Sheet 1'!$B80,'Sheet 1'!$E80,IF($B30='Sheet 1'!$B81,'Sheet 1'!$E81,IF($B30='Sheet 1'!$B82,'Sheet 1'!$E82))))) -L29</f>
        <v>0</v>
      </c>
      <c r="M30" s="214">
        <f>IF($B30='Sheet 1'!$B78,'Sheet 1'!$E78,IF($B30='Sheet 1'!$B79,'Sheet 1'!$E79,IF($B30='Sheet 1'!$B80,'Sheet 1'!$E80,IF($B30='Sheet 1'!$B81,'Sheet 1'!$E81,IF($B30='Sheet 1'!$B82,'Sheet 1'!$E82))))) -M29</f>
        <v>0</v>
      </c>
      <c r="N30" s="214">
        <f>IF($B30='Sheet 1'!$B78,'Sheet 1'!$E78,IF($B30='Sheet 1'!$B79,'Sheet 1'!$E79,IF($B30='Sheet 1'!$B80,'Sheet 1'!$E80,IF($B30='Sheet 1'!$B81,'Sheet 1'!$E81,IF($B30='Sheet 1'!$B82,'Sheet 1'!$E82))))) -N29</f>
        <v>0</v>
      </c>
      <c r="O30" s="214">
        <f>IF($B30='Sheet 1'!$B78,'Sheet 1'!$E78,IF($B30='Sheet 1'!$B79,'Sheet 1'!$E79,IF($B30='Sheet 1'!$B80,'Sheet 1'!$E80,IF($B30='Sheet 1'!$B81,'Sheet 1'!$E81,IF($B30='Sheet 1'!$B82,'Sheet 1'!$E82))))) -O29</f>
        <v>0</v>
      </c>
      <c r="P30" s="214">
        <f>IF($B30='Sheet 1'!$B78,'Sheet 1'!$E78,IF($B30='Sheet 1'!$B79,'Sheet 1'!$E79,IF($B30='Sheet 1'!$B80,'Sheet 1'!$E80,IF($B30='Sheet 1'!$B81,'Sheet 1'!$E81,IF($B30='Sheet 1'!$B82,'Sheet 1'!$E82))))) -P29</f>
        <v>0</v>
      </c>
      <c r="Q30" s="214">
        <f>IF($B30='Sheet 1'!$B78,'Sheet 1'!$E78,IF($B30='Sheet 1'!$B79,'Sheet 1'!$E79,IF($B30='Sheet 1'!$B80,'Sheet 1'!$E80,IF($B30='Sheet 1'!$B81,'Sheet 1'!$E81,IF($B30='Sheet 1'!$B82,'Sheet 1'!$E82))))) -Q29</f>
        <v>0</v>
      </c>
      <c r="R30" s="214">
        <f>IF($B30='Sheet 1'!$B78,'Sheet 1'!$E78,IF($B30='Sheet 1'!$B79,'Sheet 1'!$E79,IF($B30='Sheet 1'!$B80,'Sheet 1'!$E80,IF($B30='Sheet 1'!$B81,'Sheet 1'!$E81,IF($B30='Sheet 1'!$B82,'Sheet 1'!$E82))))) -R29</f>
        <v>0</v>
      </c>
      <c r="S30" s="214">
        <f>IF($B30='Sheet 1'!$B78,'Sheet 1'!$E78,IF($B30='Sheet 1'!$B79,'Sheet 1'!$E79,IF($B30='Sheet 1'!$B80,'Sheet 1'!$E80,IF($B30='Sheet 1'!$B81,'Sheet 1'!$E81,IF($B30='Sheet 1'!$B82,'Sheet 1'!$E82))))) -S29</f>
        <v>0</v>
      </c>
      <c r="T30" s="214">
        <f>IF($B30='Sheet 1'!$B78,'Sheet 1'!$E78,IF($B30='Sheet 1'!$B79,'Sheet 1'!$E79,IF($B30='Sheet 1'!$B80,'Sheet 1'!$E80,IF($B30='Sheet 1'!$B81,'Sheet 1'!$E81,IF($B30='Sheet 1'!$B82,'Sheet 1'!$E82))))) -T29</f>
        <v>0</v>
      </c>
      <c r="U30" s="214">
        <f>IF($B30='Sheet 1'!$B78,'Sheet 1'!$E78,IF($B30='Sheet 1'!$B79,'Sheet 1'!$E79,IF($B30='Sheet 1'!$B80,'Sheet 1'!$E80,IF($B30='Sheet 1'!$B81,'Sheet 1'!$E81,IF($B30='Sheet 1'!$B82,'Sheet 1'!$E82))))) -U29</f>
        <v>0</v>
      </c>
      <c r="V30" s="214">
        <f>IF($B30='Sheet 1'!$B78,'Sheet 1'!$E78,IF($B30='Sheet 1'!$B79,'Sheet 1'!$E79,IF($B30='Sheet 1'!$B80,'Sheet 1'!$E80,IF($B30='Sheet 1'!$B81,'Sheet 1'!$E81,IF($B30='Sheet 1'!$B82,'Sheet 1'!$E82))))) -V29</f>
        <v>0</v>
      </c>
      <c r="W30" s="214">
        <f>IF($B30='Sheet 1'!$B78,'Sheet 1'!$E78,IF($B30='Sheet 1'!$B79,'Sheet 1'!$E79,IF($B30='Sheet 1'!$B80,'Sheet 1'!$E80,IF($B30='Sheet 1'!$B81,'Sheet 1'!$E81,IF($B30='Sheet 1'!$B82,'Sheet 1'!$E82))))) -W29</f>
        <v>0</v>
      </c>
      <c r="X30" s="214">
        <f>IF($B30='Sheet 1'!$B78,'Sheet 1'!$E78,IF($B30='Sheet 1'!$B79,'Sheet 1'!$E79,IF($B30='Sheet 1'!$B80,'Sheet 1'!$E80,IF($B30='Sheet 1'!$B81,'Sheet 1'!$E81,IF($B30='Sheet 1'!$B82,'Sheet 1'!$E82))))) -X29</f>
        <v>0</v>
      </c>
      <c r="Y30" s="214">
        <f>IF($B30='Sheet 1'!$B78,'Sheet 1'!$E78,IF($B30='Sheet 1'!$B79,'Sheet 1'!$E79,IF($B30='Sheet 1'!$B80,'Sheet 1'!$E80,IF($B30='Sheet 1'!$B81,'Sheet 1'!$E81,IF($B30='Sheet 1'!$B82,'Sheet 1'!$E82))))) -Y29</f>
        <v>0</v>
      </c>
    </row>
    <row r="31">
      <c r="A31" s="211" t="s">
        <v>171</v>
      </c>
      <c r="B31" s="216" t="b">
        <f>IF(B$1="CHOOSE SPELL",FALSE,IF('Sheet 1'!B$38=A31,TRUE,FALSE))</f>
        <v>0</v>
      </c>
      <c r="C31" s="217">
        <f>if(B31,0.25,1)</f>
        <v>1</v>
      </c>
      <c r="D31" s="214">
        <f t="shared" ref="D31:Y31" si="26">int(D30*$C$31)</f>
        <v>0</v>
      </c>
      <c r="E31" s="214">
        <f t="shared" si="26"/>
        <v>0</v>
      </c>
      <c r="F31" s="214">
        <f t="shared" si="26"/>
        <v>0</v>
      </c>
      <c r="G31" s="214">
        <f t="shared" si="26"/>
        <v>0</v>
      </c>
      <c r="H31" s="214">
        <f t="shared" si="26"/>
        <v>0</v>
      </c>
      <c r="I31" s="214">
        <f t="shared" si="26"/>
        <v>0</v>
      </c>
      <c r="J31" s="214">
        <f t="shared" si="26"/>
        <v>0</v>
      </c>
      <c r="K31" s="214">
        <f t="shared" si="26"/>
        <v>0</v>
      </c>
      <c r="L31" s="214">
        <f t="shared" si="26"/>
        <v>0</v>
      </c>
      <c r="M31" s="214">
        <f t="shared" si="26"/>
        <v>0</v>
      </c>
      <c r="N31" s="214">
        <f t="shared" si="26"/>
        <v>0</v>
      </c>
      <c r="O31" s="214">
        <f t="shared" si="26"/>
        <v>0</v>
      </c>
      <c r="P31" s="214">
        <f t="shared" si="26"/>
        <v>0</v>
      </c>
      <c r="Q31" s="214">
        <f t="shared" si="26"/>
        <v>0</v>
      </c>
      <c r="R31" s="214">
        <f t="shared" si="26"/>
        <v>0</v>
      </c>
      <c r="S31" s="214">
        <f t="shared" si="26"/>
        <v>0</v>
      </c>
      <c r="T31" s="214">
        <f t="shared" si="26"/>
        <v>0</v>
      </c>
      <c r="U31" s="214">
        <f t="shared" si="26"/>
        <v>0</v>
      </c>
      <c r="V31" s="214">
        <f t="shared" si="26"/>
        <v>0</v>
      </c>
      <c r="W31" s="214">
        <f t="shared" si="26"/>
        <v>0</v>
      </c>
      <c r="X31" s="214">
        <f t="shared" si="26"/>
        <v>0</v>
      </c>
      <c r="Y31" s="214">
        <f t="shared" si="26"/>
        <v>0</v>
      </c>
    </row>
    <row r="32">
      <c r="A32" s="218" t="s">
        <v>172</v>
      </c>
      <c r="B32" s="217"/>
      <c r="C32" s="217"/>
      <c r="D32" s="219" t="str">
        <f t="shared" ref="D32:Y32" si="27">IF($C30,, IF($B176,D176, IF(D28&gt;D31,1-(D31+2)/(2*(D28+1)),D28/(2*(D31+1)))))</f>
        <v/>
      </c>
      <c r="E32" s="219" t="str">
        <f t="shared" si="27"/>
        <v/>
      </c>
      <c r="F32" s="219" t="str">
        <f t="shared" si="27"/>
        <v/>
      </c>
      <c r="G32" s="219" t="str">
        <f t="shared" si="27"/>
        <v/>
      </c>
      <c r="H32" s="219" t="str">
        <f t="shared" si="27"/>
        <v/>
      </c>
      <c r="I32" s="219" t="str">
        <f t="shared" si="27"/>
        <v/>
      </c>
      <c r="J32" s="219" t="str">
        <f t="shared" si="27"/>
        <v/>
      </c>
      <c r="K32" s="219" t="str">
        <f t="shared" si="27"/>
        <v/>
      </c>
      <c r="L32" s="219" t="str">
        <f t="shared" si="27"/>
        <v/>
      </c>
      <c r="M32" s="219" t="str">
        <f t="shared" si="27"/>
        <v/>
      </c>
      <c r="N32" s="219" t="str">
        <f t="shared" si="27"/>
        <v/>
      </c>
      <c r="O32" s="219" t="str">
        <f t="shared" si="27"/>
        <v/>
      </c>
      <c r="P32" s="219" t="str">
        <f t="shared" si="27"/>
        <v/>
      </c>
      <c r="Q32" s="219" t="str">
        <f t="shared" si="27"/>
        <v/>
      </c>
      <c r="R32" s="219" t="str">
        <f t="shared" si="27"/>
        <v/>
      </c>
      <c r="S32" s="219" t="str">
        <f t="shared" si="27"/>
        <v/>
      </c>
      <c r="T32" s="219" t="str">
        <f t="shared" si="27"/>
        <v/>
      </c>
      <c r="U32" s="219" t="str">
        <f t="shared" si="27"/>
        <v/>
      </c>
      <c r="V32" s="219" t="str">
        <f t="shared" si="27"/>
        <v/>
      </c>
      <c r="W32" s="219" t="str">
        <f t="shared" si="27"/>
        <v/>
      </c>
      <c r="X32" s="219" t="str">
        <f t="shared" si="27"/>
        <v/>
      </c>
      <c r="Y32" s="219" t="str">
        <f t="shared" si="27"/>
        <v/>
      </c>
    </row>
    <row r="33">
      <c r="A33" s="214"/>
      <c r="B33" s="214"/>
      <c r="C33" s="213"/>
      <c r="D33" s="214"/>
      <c r="E33" s="214"/>
      <c r="F33" s="214"/>
      <c r="G33" s="214"/>
      <c r="H33" s="214"/>
      <c r="I33" s="214"/>
      <c r="J33" s="214"/>
      <c r="K33" s="214"/>
      <c r="L33" s="214"/>
      <c r="M33" s="214"/>
      <c r="N33" s="214"/>
      <c r="O33" s="214"/>
      <c r="P33" s="214"/>
      <c r="Q33" s="214"/>
      <c r="R33" s="214"/>
      <c r="S33" s="214"/>
      <c r="T33" s="214"/>
      <c r="U33" s="214"/>
      <c r="V33" s="214"/>
      <c r="W33" s="214"/>
      <c r="X33" s="214"/>
      <c r="Y33" s="214"/>
    </row>
    <row r="34">
      <c r="A34" s="214"/>
      <c r="B34" s="214"/>
      <c r="C34" s="213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4"/>
      <c r="U34" s="214"/>
      <c r="V34" s="214"/>
      <c r="W34" s="214"/>
      <c r="X34" s="214"/>
      <c r="Y34" s="214"/>
    </row>
    <row r="35">
      <c r="A35" s="214"/>
      <c r="B35" s="214"/>
      <c r="C35" s="213" t="str">
        <f>IF(C1="MAGIC","Magic",IF(C1="RANGED","Ranged","Strength"))</f>
        <v>Magic</v>
      </c>
      <c r="D35" s="214" t="str">
        <f t="shared" ref="D35:Y35" si="28">D36&amp;"/"&amp;$C36</f>
        <v>109/99</v>
      </c>
      <c r="E35" s="214" t="str">
        <f t="shared" si="28"/>
        <v>108/99</v>
      </c>
      <c r="F35" s="214" t="str">
        <f t="shared" si="28"/>
        <v>107/99</v>
      </c>
      <c r="G35" s="214" t="str">
        <f t="shared" si="28"/>
        <v>106/99</v>
      </c>
      <c r="H35" s="214" t="str">
        <f t="shared" si="28"/>
        <v>105/99</v>
      </c>
      <c r="I35" s="214" t="str">
        <f t="shared" si="28"/>
        <v>104/99</v>
      </c>
      <c r="J35" s="214" t="str">
        <f t="shared" si="28"/>
        <v>103/99</v>
      </c>
      <c r="K35" s="214" t="str">
        <f t="shared" si="28"/>
        <v>102/99</v>
      </c>
      <c r="L35" s="214" t="str">
        <f t="shared" si="28"/>
        <v>101/99</v>
      </c>
      <c r="M35" s="214" t="str">
        <f t="shared" si="28"/>
        <v>100/99</v>
      </c>
      <c r="N35" s="214" t="str">
        <f t="shared" si="28"/>
        <v>99/99</v>
      </c>
      <c r="O35" s="214" t="str">
        <f t="shared" si="28"/>
        <v>99/99</v>
      </c>
      <c r="P35" s="214" t="str">
        <f t="shared" si="28"/>
        <v>99/99</v>
      </c>
      <c r="Q35" s="214" t="str">
        <f t="shared" si="28"/>
        <v>99/99</v>
      </c>
      <c r="R35" s="214" t="str">
        <f t="shared" si="28"/>
        <v>99/99</v>
      </c>
      <c r="S35" s="214" t="str">
        <f t="shared" si="28"/>
        <v>99/99</v>
      </c>
      <c r="T35" s="214" t="str">
        <f t="shared" si="28"/>
        <v>99/99</v>
      </c>
      <c r="U35" s="214" t="str">
        <f t="shared" si="28"/>
        <v>99/99</v>
      </c>
      <c r="V35" s="214" t="str">
        <f t="shared" si="28"/>
        <v>99/99</v>
      </c>
      <c r="W35" s="214" t="str">
        <f t="shared" si="28"/>
        <v>99/99</v>
      </c>
      <c r="X35" s="214" t="str">
        <f t="shared" si="28"/>
        <v>99/99</v>
      </c>
      <c r="Y35" s="214" t="str">
        <f t="shared" si="28"/>
        <v>99/99</v>
      </c>
    </row>
    <row r="36">
      <c r="A36" s="211" t="s">
        <v>27</v>
      </c>
      <c r="B36" s="214"/>
      <c r="C36" s="213">
        <f>IF(C1="MAGIC",'Sheet 1'!D9,IF(C1="RANGED",'Sheet 1'!D10,'Sheet 1'!D7))</f>
        <v>99</v>
      </c>
      <c r="D36" s="214">
        <f>IF('Sheet 1'!$E$18="MAGIC",'Sheet 1'!I9,IF('Sheet 1'!$E$18="RANGED",'Sheet 1'!I10,'Sheet 1'!I7))</f>
        <v>109</v>
      </c>
      <c r="E36" s="214">
        <f t="shared" ref="E36:Y36" si="29">MAX($C36,D36-1)</f>
        <v>108</v>
      </c>
      <c r="F36" s="214">
        <f t="shared" si="29"/>
        <v>107</v>
      </c>
      <c r="G36" s="214">
        <f t="shared" si="29"/>
        <v>106</v>
      </c>
      <c r="H36" s="214">
        <f t="shared" si="29"/>
        <v>105</v>
      </c>
      <c r="I36" s="214">
        <f t="shared" si="29"/>
        <v>104</v>
      </c>
      <c r="J36" s="214">
        <f t="shared" si="29"/>
        <v>103</v>
      </c>
      <c r="K36" s="214">
        <f t="shared" si="29"/>
        <v>102</v>
      </c>
      <c r="L36" s="214">
        <f t="shared" si="29"/>
        <v>101</v>
      </c>
      <c r="M36" s="214">
        <f t="shared" si="29"/>
        <v>100</v>
      </c>
      <c r="N36" s="214">
        <f t="shared" si="29"/>
        <v>99</v>
      </c>
      <c r="O36" s="214">
        <f t="shared" si="29"/>
        <v>99</v>
      </c>
      <c r="P36" s="214">
        <f t="shared" si="29"/>
        <v>99</v>
      </c>
      <c r="Q36" s="214">
        <f t="shared" si="29"/>
        <v>99</v>
      </c>
      <c r="R36" s="214">
        <f t="shared" si="29"/>
        <v>99</v>
      </c>
      <c r="S36" s="214">
        <f t="shared" si="29"/>
        <v>99</v>
      </c>
      <c r="T36" s="214">
        <f t="shared" si="29"/>
        <v>99</v>
      </c>
      <c r="U36" s="214">
        <f t="shared" si="29"/>
        <v>99</v>
      </c>
      <c r="V36" s="214">
        <f t="shared" si="29"/>
        <v>99</v>
      </c>
      <c r="W36" s="214">
        <f t="shared" si="29"/>
        <v>99</v>
      </c>
      <c r="X36" s="214">
        <f t="shared" si="29"/>
        <v>99</v>
      </c>
      <c r="Y36" s="214">
        <f t="shared" si="29"/>
        <v>99</v>
      </c>
    </row>
    <row r="37">
      <c r="A37" s="211" t="s">
        <v>49</v>
      </c>
      <c r="B37" s="214"/>
      <c r="C37" s="213">
        <f>1+IF($C$1="MAGIC",0,IF($C$1="RANGED",'Sheet 1'!L11,'Sheet 1'!L7))</f>
        <v>1</v>
      </c>
      <c r="D37" s="214">
        <f t="shared" ref="D37:Y37" si="30">INT(D36*$C37)</f>
        <v>109</v>
      </c>
      <c r="E37" s="214">
        <f t="shared" si="30"/>
        <v>108</v>
      </c>
      <c r="F37" s="214">
        <f t="shared" si="30"/>
        <v>107</v>
      </c>
      <c r="G37" s="214">
        <f t="shared" si="30"/>
        <v>106</v>
      </c>
      <c r="H37" s="214">
        <f t="shared" si="30"/>
        <v>105</v>
      </c>
      <c r="I37" s="214">
        <f t="shared" si="30"/>
        <v>104</v>
      </c>
      <c r="J37" s="214">
        <f t="shared" si="30"/>
        <v>103</v>
      </c>
      <c r="K37" s="214">
        <f t="shared" si="30"/>
        <v>102</v>
      </c>
      <c r="L37" s="214">
        <f t="shared" si="30"/>
        <v>101</v>
      </c>
      <c r="M37" s="214">
        <f t="shared" si="30"/>
        <v>100</v>
      </c>
      <c r="N37" s="214">
        <f t="shared" si="30"/>
        <v>99</v>
      </c>
      <c r="O37" s="214">
        <f t="shared" si="30"/>
        <v>99</v>
      </c>
      <c r="P37" s="214">
        <f t="shared" si="30"/>
        <v>99</v>
      </c>
      <c r="Q37" s="214">
        <f t="shared" si="30"/>
        <v>99</v>
      </c>
      <c r="R37" s="214">
        <f t="shared" si="30"/>
        <v>99</v>
      </c>
      <c r="S37" s="214">
        <f t="shared" si="30"/>
        <v>99</v>
      </c>
      <c r="T37" s="214">
        <f t="shared" si="30"/>
        <v>99</v>
      </c>
      <c r="U37" s="214">
        <f t="shared" si="30"/>
        <v>99</v>
      </c>
      <c r="V37" s="214">
        <f t="shared" si="30"/>
        <v>99</v>
      </c>
      <c r="W37" s="214">
        <f t="shared" si="30"/>
        <v>99</v>
      </c>
      <c r="X37" s="214">
        <f t="shared" si="30"/>
        <v>99</v>
      </c>
      <c r="Y37" s="214">
        <f t="shared" si="30"/>
        <v>99</v>
      </c>
    </row>
    <row r="38">
      <c r="A38" s="211" t="s">
        <v>155</v>
      </c>
      <c r="B38" s="214"/>
      <c r="C38" s="213">
        <f>IF($C$1="MAGIC",0,IF($C$1="RANGED",'Sheet 1'!F23,'Sheet 1'!F19))</f>
        <v>0</v>
      </c>
      <c r="D38" s="214">
        <f t="shared" ref="D38:Y38" si="31">INT(D37+$C38)</f>
        <v>109</v>
      </c>
      <c r="E38" s="214">
        <f t="shared" si="31"/>
        <v>108</v>
      </c>
      <c r="F38" s="214">
        <f t="shared" si="31"/>
        <v>107</v>
      </c>
      <c r="G38" s="214">
        <f t="shared" si="31"/>
        <v>106</v>
      </c>
      <c r="H38" s="214">
        <f t="shared" si="31"/>
        <v>105</v>
      </c>
      <c r="I38" s="214">
        <f t="shared" si="31"/>
        <v>104</v>
      </c>
      <c r="J38" s="214">
        <f t="shared" si="31"/>
        <v>103</v>
      </c>
      <c r="K38" s="214">
        <f t="shared" si="31"/>
        <v>102</v>
      </c>
      <c r="L38" s="214">
        <f t="shared" si="31"/>
        <v>101</v>
      </c>
      <c r="M38" s="214">
        <f t="shared" si="31"/>
        <v>100</v>
      </c>
      <c r="N38" s="214">
        <f t="shared" si="31"/>
        <v>99</v>
      </c>
      <c r="O38" s="214">
        <f t="shared" si="31"/>
        <v>99</v>
      </c>
      <c r="P38" s="214">
        <f t="shared" si="31"/>
        <v>99</v>
      </c>
      <c r="Q38" s="214">
        <f t="shared" si="31"/>
        <v>99</v>
      </c>
      <c r="R38" s="214">
        <f t="shared" si="31"/>
        <v>99</v>
      </c>
      <c r="S38" s="214">
        <f t="shared" si="31"/>
        <v>99</v>
      </c>
      <c r="T38" s="214">
        <f t="shared" si="31"/>
        <v>99</v>
      </c>
      <c r="U38" s="214">
        <f t="shared" si="31"/>
        <v>99</v>
      </c>
      <c r="V38" s="214">
        <f t="shared" si="31"/>
        <v>99</v>
      </c>
      <c r="W38" s="214">
        <f t="shared" si="31"/>
        <v>99</v>
      </c>
      <c r="X38" s="214">
        <f t="shared" si="31"/>
        <v>99</v>
      </c>
      <c r="Y38" s="214">
        <f t="shared" si="31"/>
        <v>99</v>
      </c>
    </row>
    <row r="39">
      <c r="A39" s="211" t="s">
        <v>156</v>
      </c>
      <c r="B39" s="214" t="b">
        <f>AND('Sheet 1'!$B$41=Items!$A$208,OR('Sheet 1'!$B$44=Items!$A$289,'Sheet 1'!$B$44=Items!$A$290),OR('Sheet 1'!$B$45=Items!$A$333,'Sheet 1'!$B$45=Items!$A$334),'Sheet 1'!$B$47=Items!$A$417)</f>
        <v>0</v>
      </c>
      <c r="C39" s="213">
        <f>1+IF(B39,IF($C$1="MAGIC",0,0.1),0) + IF(B40,0.025,0)</f>
        <v>1</v>
      </c>
      <c r="D39" s="214">
        <f t="shared" ref="D39:Y39" si="32">INT(D38*$C39)</f>
        <v>109</v>
      </c>
      <c r="E39" s="214">
        <f t="shared" si="32"/>
        <v>108</v>
      </c>
      <c r="F39" s="214">
        <f t="shared" si="32"/>
        <v>107</v>
      </c>
      <c r="G39" s="214">
        <f t="shared" si="32"/>
        <v>106</v>
      </c>
      <c r="H39" s="214">
        <f t="shared" si="32"/>
        <v>105</v>
      </c>
      <c r="I39" s="214">
        <f t="shared" si="32"/>
        <v>104</v>
      </c>
      <c r="J39" s="214">
        <f t="shared" si="32"/>
        <v>103</v>
      </c>
      <c r="K39" s="214">
        <f t="shared" si="32"/>
        <v>102</v>
      </c>
      <c r="L39" s="214">
        <f t="shared" si="32"/>
        <v>101</v>
      </c>
      <c r="M39" s="214">
        <f t="shared" si="32"/>
        <v>100</v>
      </c>
      <c r="N39" s="214">
        <f t="shared" si="32"/>
        <v>99</v>
      </c>
      <c r="O39" s="214">
        <f t="shared" si="32"/>
        <v>99</v>
      </c>
      <c r="P39" s="214">
        <f t="shared" si="32"/>
        <v>99</v>
      </c>
      <c r="Q39" s="214">
        <f t="shared" si="32"/>
        <v>99</v>
      </c>
      <c r="R39" s="214">
        <f t="shared" si="32"/>
        <v>99</v>
      </c>
      <c r="S39" s="214">
        <f t="shared" si="32"/>
        <v>99</v>
      </c>
      <c r="T39" s="214">
        <f t="shared" si="32"/>
        <v>99</v>
      </c>
      <c r="U39" s="214">
        <f t="shared" si="32"/>
        <v>99</v>
      </c>
      <c r="V39" s="214">
        <f t="shared" si="32"/>
        <v>99</v>
      </c>
      <c r="W39" s="214">
        <f t="shared" si="32"/>
        <v>99</v>
      </c>
      <c r="X39" s="214">
        <f t="shared" si="32"/>
        <v>99</v>
      </c>
      <c r="Y39" s="214">
        <f t="shared" si="32"/>
        <v>99</v>
      </c>
    </row>
    <row r="40">
      <c r="A40" s="211" t="s">
        <v>173</v>
      </c>
      <c r="B40" s="214" t="b">
        <f>AND(C1="RANGED",B39=TRUE,'Sheet 1'!$B$44=Items!$A$290,'Sheet 1'!$B$45=Items!$A$334)</f>
        <v>0</v>
      </c>
      <c r="C40" s="213">
        <f>1+IF(B40,0,0)</f>
        <v>1</v>
      </c>
      <c r="D40" s="214">
        <f t="shared" ref="D40:Y40" si="33">INT(D39*$C40)</f>
        <v>109</v>
      </c>
      <c r="E40" s="214">
        <f t="shared" si="33"/>
        <v>108</v>
      </c>
      <c r="F40" s="214">
        <f t="shared" si="33"/>
        <v>107</v>
      </c>
      <c r="G40" s="214">
        <f t="shared" si="33"/>
        <v>106</v>
      </c>
      <c r="H40" s="214">
        <f t="shared" si="33"/>
        <v>105</v>
      </c>
      <c r="I40" s="214">
        <f t="shared" si="33"/>
        <v>104</v>
      </c>
      <c r="J40" s="214">
        <f t="shared" si="33"/>
        <v>103</v>
      </c>
      <c r="K40" s="214">
        <f t="shared" si="33"/>
        <v>102</v>
      </c>
      <c r="L40" s="214">
        <f t="shared" si="33"/>
        <v>101</v>
      </c>
      <c r="M40" s="214">
        <f t="shared" si="33"/>
        <v>100</v>
      </c>
      <c r="N40" s="214">
        <f t="shared" si="33"/>
        <v>99</v>
      </c>
      <c r="O40" s="214">
        <f t="shared" si="33"/>
        <v>99</v>
      </c>
      <c r="P40" s="214">
        <f t="shared" si="33"/>
        <v>99</v>
      </c>
      <c r="Q40" s="214">
        <f t="shared" si="33"/>
        <v>99</v>
      </c>
      <c r="R40" s="214">
        <f t="shared" si="33"/>
        <v>99</v>
      </c>
      <c r="S40" s="214">
        <f t="shared" si="33"/>
        <v>99</v>
      </c>
      <c r="T40" s="214">
        <f t="shared" si="33"/>
        <v>99</v>
      </c>
      <c r="U40" s="214">
        <f t="shared" si="33"/>
        <v>99</v>
      </c>
      <c r="V40" s="214">
        <f t="shared" si="33"/>
        <v>99</v>
      </c>
      <c r="W40" s="214">
        <f t="shared" si="33"/>
        <v>99</v>
      </c>
      <c r="X40" s="214">
        <f t="shared" si="33"/>
        <v>99</v>
      </c>
      <c r="Y40" s="214">
        <f t="shared" si="33"/>
        <v>99</v>
      </c>
    </row>
    <row r="41">
      <c r="A41" s="211" t="s">
        <v>157</v>
      </c>
      <c r="B41" s="214"/>
      <c r="C41" s="213"/>
      <c r="D41" s="214">
        <f t="shared" ref="D41:Y41" si="34">INT(D40)</f>
        <v>109</v>
      </c>
      <c r="E41" s="214">
        <f t="shared" si="34"/>
        <v>108</v>
      </c>
      <c r="F41" s="214">
        <f t="shared" si="34"/>
        <v>107</v>
      </c>
      <c r="G41" s="214">
        <f t="shared" si="34"/>
        <v>106</v>
      </c>
      <c r="H41" s="214">
        <f t="shared" si="34"/>
        <v>105</v>
      </c>
      <c r="I41" s="214">
        <f t="shared" si="34"/>
        <v>104</v>
      </c>
      <c r="J41" s="214">
        <f t="shared" si="34"/>
        <v>103</v>
      </c>
      <c r="K41" s="214">
        <f t="shared" si="34"/>
        <v>102</v>
      </c>
      <c r="L41" s="214">
        <f t="shared" si="34"/>
        <v>101</v>
      </c>
      <c r="M41" s="214">
        <f t="shared" si="34"/>
        <v>100</v>
      </c>
      <c r="N41" s="214">
        <f t="shared" si="34"/>
        <v>99</v>
      </c>
      <c r="O41" s="214">
        <f t="shared" si="34"/>
        <v>99</v>
      </c>
      <c r="P41" s="214">
        <f t="shared" si="34"/>
        <v>99</v>
      </c>
      <c r="Q41" s="214">
        <f t="shared" si="34"/>
        <v>99</v>
      </c>
      <c r="R41" s="214">
        <f t="shared" si="34"/>
        <v>99</v>
      </c>
      <c r="S41" s="214">
        <f t="shared" si="34"/>
        <v>99</v>
      </c>
      <c r="T41" s="214">
        <f t="shared" si="34"/>
        <v>99</v>
      </c>
      <c r="U41" s="214">
        <f t="shared" si="34"/>
        <v>99</v>
      </c>
      <c r="V41" s="214">
        <f t="shared" si="34"/>
        <v>99</v>
      </c>
      <c r="W41" s="214">
        <f t="shared" si="34"/>
        <v>99</v>
      </c>
      <c r="X41" s="214">
        <f t="shared" si="34"/>
        <v>99</v>
      </c>
      <c r="Y41" s="214">
        <f t="shared" si="34"/>
        <v>99</v>
      </c>
    </row>
    <row r="42">
      <c r="A42" s="211" t="s">
        <v>158</v>
      </c>
      <c r="B42" s="214"/>
      <c r="C42" s="213">
        <f>IF($C$1="RANGED",'Sheet 1'!N51,'Sheet 1'!M51)</f>
        <v>0</v>
      </c>
      <c r="D42" s="214">
        <f t="shared" ref="D42:Y42" si="35">INT(0.5+D41*(64+$C42)/640)</f>
        <v>11</v>
      </c>
      <c r="E42" s="214">
        <f t="shared" si="35"/>
        <v>11</v>
      </c>
      <c r="F42" s="214">
        <f t="shared" si="35"/>
        <v>11</v>
      </c>
      <c r="G42" s="214">
        <f t="shared" si="35"/>
        <v>11</v>
      </c>
      <c r="H42" s="214">
        <f t="shared" si="35"/>
        <v>11</v>
      </c>
      <c r="I42" s="214">
        <f t="shared" si="35"/>
        <v>10</v>
      </c>
      <c r="J42" s="214">
        <f t="shared" si="35"/>
        <v>10</v>
      </c>
      <c r="K42" s="214">
        <f t="shared" si="35"/>
        <v>10</v>
      </c>
      <c r="L42" s="214">
        <f t="shared" si="35"/>
        <v>10</v>
      </c>
      <c r="M42" s="214">
        <f t="shared" si="35"/>
        <v>10</v>
      </c>
      <c r="N42" s="214">
        <f t="shared" si="35"/>
        <v>10</v>
      </c>
      <c r="O42" s="214">
        <f t="shared" si="35"/>
        <v>10</v>
      </c>
      <c r="P42" s="214">
        <f t="shared" si="35"/>
        <v>10</v>
      </c>
      <c r="Q42" s="214">
        <f t="shared" si="35"/>
        <v>10</v>
      </c>
      <c r="R42" s="214">
        <f t="shared" si="35"/>
        <v>10</v>
      </c>
      <c r="S42" s="214">
        <f t="shared" si="35"/>
        <v>10</v>
      </c>
      <c r="T42" s="214">
        <f t="shared" si="35"/>
        <v>10</v>
      </c>
      <c r="U42" s="214">
        <f t="shared" si="35"/>
        <v>10</v>
      </c>
      <c r="V42" s="214">
        <f t="shared" si="35"/>
        <v>10</v>
      </c>
      <c r="W42" s="214">
        <f t="shared" si="35"/>
        <v>10</v>
      </c>
      <c r="X42" s="214">
        <f t="shared" si="35"/>
        <v>10</v>
      </c>
      <c r="Y42" s="214">
        <f t="shared" si="35"/>
        <v>10</v>
      </c>
    </row>
    <row r="43">
      <c r="A43" s="211"/>
      <c r="B43" s="214"/>
      <c r="C43" s="213"/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14"/>
      <c r="T43" s="214"/>
      <c r="U43" s="214"/>
      <c r="V43" s="214"/>
      <c r="W43" s="214"/>
      <c r="X43" s="214"/>
      <c r="Y43" s="214"/>
    </row>
    <row r="44">
      <c r="A44" s="211" t="s">
        <v>174</v>
      </c>
      <c r="B44" s="214" t="b">
        <f>B1="CHOOSE SPELL"</f>
        <v>1</v>
      </c>
      <c r="C44" s="213" t="str">
        <f>IF(B44,'Sheet 1'!B39)</f>
        <v>Fire surge</v>
      </c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214"/>
      <c r="W44" s="214"/>
      <c r="X44" s="214"/>
      <c r="Y44" s="214"/>
    </row>
    <row r="45">
      <c r="A45" s="211" t="s">
        <v>175</v>
      </c>
      <c r="B45" s="214" t="b">
        <f>iferror(or(C45="barrage",C45="blitz",C45="burst",C45="rush"),false)</f>
        <v>0</v>
      </c>
      <c r="C45" s="213" t="str">
        <f>IFERROR(__xludf.DUMMYFUNCTION("index(split(C44,"" ""),1,2)"),"surge")</f>
        <v>surge</v>
      </c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214"/>
      <c r="W45" s="214"/>
      <c r="X45" s="214"/>
      <c r="Y45" s="214"/>
    </row>
    <row r="46">
      <c r="A46" s="211" t="s">
        <v>176</v>
      </c>
      <c r="B46" s="214" t="b">
        <f>C44=A46</f>
        <v>0</v>
      </c>
      <c r="C46" s="213">
        <f t="array" ref="C46">INDEX(Items!$A$1:$V$698,MATCH(C44,Items!$A$1:$A$698,0),MATCH(Items!$T$1,Items!$A$1:$V$1,0))</f>
        <v>24</v>
      </c>
      <c r="D46" s="214">
        <f t="shared" ref="D46:Y46" si="36">IF($B46,INT(10+D41/10),$C46)</f>
        <v>24</v>
      </c>
      <c r="E46" s="214">
        <f t="shared" si="36"/>
        <v>24</v>
      </c>
      <c r="F46" s="214">
        <f t="shared" si="36"/>
        <v>24</v>
      </c>
      <c r="G46" s="214">
        <f t="shared" si="36"/>
        <v>24</v>
      </c>
      <c r="H46" s="214">
        <f t="shared" si="36"/>
        <v>24</v>
      </c>
      <c r="I46" s="214">
        <f t="shared" si="36"/>
        <v>24</v>
      </c>
      <c r="J46" s="214">
        <f t="shared" si="36"/>
        <v>24</v>
      </c>
      <c r="K46" s="214">
        <f t="shared" si="36"/>
        <v>24</v>
      </c>
      <c r="L46" s="214">
        <f t="shared" si="36"/>
        <v>24</v>
      </c>
      <c r="M46" s="214">
        <f t="shared" si="36"/>
        <v>24</v>
      </c>
      <c r="N46" s="214">
        <f t="shared" si="36"/>
        <v>24</v>
      </c>
      <c r="O46" s="214">
        <f t="shared" si="36"/>
        <v>24</v>
      </c>
      <c r="P46" s="214">
        <f t="shared" si="36"/>
        <v>24</v>
      </c>
      <c r="Q46" s="214">
        <f t="shared" si="36"/>
        <v>24</v>
      </c>
      <c r="R46" s="214">
        <f t="shared" si="36"/>
        <v>24</v>
      </c>
      <c r="S46" s="214">
        <f t="shared" si="36"/>
        <v>24</v>
      </c>
      <c r="T46" s="214">
        <f t="shared" si="36"/>
        <v>24</v>
      </c>
      <c r="U46" s="214">
        <f t="shared" si="36"/>
        <v>24</v>
      </c>
      <c r="V46" s="214">
        <f t="shared" si="36"/>
        <v>24</v>
      </c>
      <c r="W46" s="214">
        <f t="shared" si="36"/>
        <v>24</v>
      </c>
      <c r="X46" s="214">
        <f t="shared" si="36"/>
        <v>24</v>
      </c>
      <c r="Y46" s="214">
        <f t="shared" si="36"/>
        <v>24</v>
      </c>
    </row>
    <row r="47">
      <c r="A47" s="211" t="str">
        <f>Items!A94</f>
        <v>Enchanted slayer's staff</v>
      </c>
      <c r="B47" s="214" t="b">
        <f>AND('Sheet 1'!B$38=Items!A94,B46)</f>
        <v>0</v>
      </c>
      <c r="C47" s="213"/>
      <c r="D47" s="214">
        <f t="shared" ref="D47:Y47" si="37">IF($B47,INT(13+D41/6),D46)</f>
        <v>24</v>
      </c>
      <c r="E47" s="214">
        <f t="shared" si="37"/>
        <v>24</v>
      </c>
      <c r="F47" s="214">
        <f t="shared" si="37"/>
        <v>24</v>
      </c>
      <c r="G47" s="214">
        <f t="shared" si="37"/>
        <v>24</v>
      </c>
      <c r="H47" s="214">
        <f t="shared" si="37"/>
        <v>24</v>
      </c>
      <c r="I47" s="214">
        <f t="shared" si="37"/>
        <v>24</v>
      </c>
      <c r="J47" s="214">
        <f t="shared" si="37"/>
        <v>24</v>
      </c>
      <c r="K47" s="214">
        <f t="shared" si="37"/>
        <v>24</v>
      </c>
      <c r="L47" s="214">
        <f t="shared" si="37"/>
        <v>24</v>
      </c>
      <c r="M47" s="214">
        <f t="shared" si="37"/>
        <v>24</v>
      </c>
      <c r="N47" s="214">
        <f t="shared" si="37"/>
        <v>24</v>
      </c>
      <c r="O47" s="214">
        <f t="shared" si="37"/>
        <v>24</v>
      </c>
      <c r="P47" s="214">
        <f t="shared" si="37"/>
        <v>24</v>
      </c>
      <c r="Q47" s="214">
        <f t="shared" si="37"/>
        <v>24</v>
      </c>
      <c r="R47" s="214">
        <f t="shared" si="37"/>
        <v>24</v>
      </c>
      <c r="S47" s="214">
        <f t="shared" si="37"/>
        <v>24</v>
      </c>
      <c r="T47" s="214">
        <f t="shared" si="37"/>
        <v>24</v>
      </c>
      <c r="U47" s="214">
        <f t="shared" si="37"/>
        <v>24</v>
      </c>
      <c r="V47" s="214">
        <f t="shared" si="37"/>
        <v>24</v>
      </c>
      <c r="W47" s="214">
        <f t="shared" si="37"/>
        <v>24</v>
      </c>
      <c r="X47" s="214">
        <f t="shared" si="37"/>
        <v>24</v>
      </c>
      <c r="Y47" s="214">
        <f t="shared" si="37"/>
        <v>24</v>
      </c>
    </row>
    <row r="48">
      <c r="A48" s="211" t="str">
        <f>Items!A431</f>
        <v>Chaos gauntlets</v>
      </c>
      <c r="B48" s="214" t="b">
        <f>AND('Sheet 1'!B47=A48,OR(C44=Items!A574,C44=Items!A579,C44=Items!A584,C44=Items!A589))</f>
        <v>0</v>
      </c>
      <c r="C48" s="213">
        <f>IF(B48,3,0)</f>
        <v>0</v>
      </c>
      <c r="D48" s="214">
        <f t="shared" ref="D48:Y48" si="38">INT(D47+$C48)</f>
        <v>24</v>
      </c>
      <c r="E48" s="214">
        <f t="shared" si="38"/>
        <v>24</v>
      </c>
      <c r="F48" s="214">
        <f t="shared" si="38"/>
        <v>24</v>
      </c>
      <c r="G48" s="214">
        <f t="shared" si="38"/>
        <v>24</v>
      </c>
      <c r="H48" s="214">
        <f t="shared" si="38"/>
        <v>24</v>
      </c>
      <c r="I48" s="214">
        <f t="shared" si="38"/>
        <v>24</v>
      </c>
      <c r="J48" s="214">
        <f t="shared" si="38"/>
        <v>24</v>
      </c>
      <c r="K48" s="214">
        <f t="shared" si="38"/>
        <v>24</v>
      </c>
      <c r="L48" s="214">
        <f t="shared" si="38"/>
        <v>24</v>
      </c>
      <c r="M48" s="214">
        <f t="shared" si="38"/>
        <v>24</v>
      </c>
      <c r="N48" s="214">
        <f t="shared" si="38"/>
        <v>24</v>
      </c>
      <c r="O48" s="214">
        <f t="shared" si="38"/>
        <v>24</v>
      </c>
      <c r="P48" s="214">
        <f t="shared" si="38"/>
        <v>24</v>
      </c>
      <c r="Q48" s="214">
        <f t="shared" si="38"/>
        <v>24</v>
      </c>
      <c r="R48" s="214">
        <f t="shared" si="38"/>
        <v>24</v>
      </c>
      <c r="S48" s="214">
        <f t="shared" si="38"/>
        <v>24</v>
      </c>
      <c r="T48" s="214">
        <f t="shared" si="38"/>
        <v>24</v>
      </c>
      <c r="U48" s="214">
        <f t="shared" si="38"/>
        <v>24</v>
      </c>
      <c r="V48" s="214">
        <f t="shared" si="38"/>
        <v>24</v>
      </c>
      <c r="W48" s="214">
        <f t="shared" si="38"/>
        <v>24</v>
      </c>
      <c r="X48" s="214">
        <f t="shared" si="38"/>
        <v>24</v>
      </c>
      <c r="Y48" s="214">
        <f t="shared" si="38"/>
        <v>24</v>
      </c>
    </row>
    <row r="49">
      <c r="A49" s="211" t="str">
        <f>Items!A172</f>
        <v>Trident of the seas</v>
      </c>
      <c r="B49" s="214" t="b">
        <f>AND('Sheet 1'!B$38=A49,C$1="MAGIC")</f>
        <v>0</v>
      </c>
      <c r="C49" s="213"/>
      <c r="D49" s="214">
        <f t="shared" ref="D49:Y49" si="39">INT(D41/3-5)</f>
        <v>31</v>
      </c>
      <c r="E49" s="214">
        <f t="shared" si="39"/>
        <v>31</v>
      </c>
      <c r="F49" s="214">
        <f t="shared" si="39"/>
        <v>30</v>
      </c>
      <c r="G49" s="214">
        <f t="shared" si="39"/>
        <v>30</v>
      </c>
      <c r="H49" s="214">
        <f t="shared" si="39"/>
        <v>30</v>
      </c>
      <c r="I49" s="214">
        <f t="shared" si="39"/>
        <v>29</v>
      </c>
      <c r="J49" s="214">
        <f t="shared" si="39"/>
        <v>29</v>
      </c>
      <c r="K49" s="214">
        <f t="shared" si="39"/>
        <v>29</v>
      </c>
      <c r="L49" s="214">
        <f t="shared" si="39"/>
        <v>28</v>
      </c>
      <c r="M49" s="214">
        <f t="shared" si="39"/>
        <v>28</v>
      </c>
      <c r="N49" s="214">
        <f t="shared" si="39"/>
        <v>28</v>
      </c>
      <c r="O49" s="214">
        <f t="shared" si="39"/>
        <v>28</v>
      </c>
      <c r="P49" s="214">
        <f t="shared" si="39"/>
        <v>28</v>
      </c>
      <c r="Q49" s="214">
        <f t="shared" si="39"/>
        <v>28</v>
      </c>
      <c r="R49" s="214">
        <f t="shared" si="39"/>
        <v>28</v>
      </c>
      <c r="S49" s="214">
        <f t="shared" si="39"/>
        <v>28</v>
      </c>
      <c r="T49" s="214">
        <f t="shared" si="39"/>
        <v>28</v>
      </c>
      <c r="U49" s="214">
        <f t="shared" si="39"/>
        <v>28</v>
      </c>
      <c r="V49" s="214">
        <f t="shared" si="39"/>
        <v>28</v>
      </c>
      <c r="W49" s="214">
        <f t="shared" si="39"/>
        <v>28</v>
      </c>
      <c r="X49" s="214">
        <f t="shared" si="39"/>
        <v>28</v>
      </c>
      <c r="Y49" s="214">
        <f t="shared" si="39"/>
        <v>28</v>
      </c>
    </row>
    <row r="50">
      <c r="A50" s="211" t="str">
        <f>Items!A173</f>
        <v>Trident of the swamp</v>
      </c>
      <c r="B50" s="214" t="b">
        <f>AND('Sheet 1'!B$38=A50,C$1="MAGIC")</f>
        <v>0</v>
      </c>
      <c r="C50" s="213"/>
      <c r="D50" s="214">
        <f t="shared" ref="D50:Y50" si="40">INT(D41/3-2)</f>
        <v>34</v>
      </c>
      <c r="E50" s="214">
        <f t="shared" si="40"/>
        <v>34</v>
      </c>
      <c r="F50" s="214">
        <f t="shared" si="40"/>
        <v>33</v>
      </c>
      <c r="G50" s="214">
        <f t="shared" si="40"/>
        <v>33</v>
      </c>
      <c r="H50" s="214">
        <f t="shared" si="40"/>
        <v>33</v>
      </c>
      <c r="I50" s="214">
        <f t="shared" si="40"/>
        <v>32</v>
      </c>
      <c r="J50" s="214">
        <f t="shared" si="40"/>
        <v>32</v>
      </c>
      <c r="K50" s="214">
        <f t="shared" si="40"/>
        <v>32</v>
      </c>
      <c r="L50" s="214">
        <f t="shared" si="40"/>
        <v>31</v>
      </c>
      <c r="M50" s="214">
        <f t="shared" si="40"/>
        <v>31</v>
      </c>
      <c r="N50" s="214">
        <f t="shared" si="40"/>
        <v>31</v>
      </c>
      <c r="O50" s="214">
        <f t="shared" si="40"/>
        <v>31</v>
      </c>
      <c r="P50" s="214">
        <f t="shared" si="40"/>
        <v>31</v>
      </c>
      <c r="Q50" s="214">
        <f t="shared" si="40"/>
        <v>31</v>
      </c>
      <c r="R50" s="214">
        <f t="shared" si="40"/>
        <v>31</v>
      </c>
      <c r="S50" s="214">
        <f t="shared" si="40"/>
        <v>31</v>
      </c>
      <c r="T50" s="214">
        <f t="shared" si="40"/>
        <v>31</v>
      </c>
      <c r="U50" s="214">
        <f t="shared" si="40"/>
        <v>31</v>
      </c>
      <c r="V50" s="214">
        <f t="shared" si="40"/>
        <v>31</v>
      </c>
      <c r="W50" s="214">
        <f t="shared" si="40"/>
        <v>31</v>
      </c>
      <c r="X50" s="214">
        <f t="shared" si="40"/>
        <v>31</v>
      </c>
      <c r="Y50" s="214">
        <f t="shared" si="40"/>
        <v>31</v>
      </c>
    </row>
    <row r="51">
      <c r="A51" s="211" t="str">
        <f>Items!A171</f>
        <v>Sanguinesti staff</v>
      </c>
      <c r="B51" s="214" t="b">
        <f>AND('Sheet 1'!B$38=A51,C$1="MAGIC")</f>
        <v>0</v>
      </c>
      <c r="C51" s="213"/>
      <c r="D51" s="214">
        <f t="shared" ref="D51:Y51" si="41">INT(D41/3-1)</f>
        <v>35</v>
      </c>
      <c r="E51" s="214">
        <f t="shared" si="41"/>
        <v>35</v>
      </c>
      <c r="F51" s="214">
        <f t="shared" si="41"/>
        <v>34</v>
      </c>
      <c r="G51" s="214">
        <f t="shared" si="41"/>
        <v>34</v>
      </c>
      <c r="H51" s="214">
        <f t="shared" si="41"/>
        <v>34</v>
      </c>
      <c r="I51" s="214">
        <f t="shared" si="41"/>
        <v>33</v>
      </c>
      <c r="J51" s="214">
        <f t="shared" si="41"/>
        <v>33</v>
      </c>
      <c r="K51" s="214">
        <f t="shared" si="41"/>
        <v>33</v>
      </c>
      <c r="L51" s="214">
        <f t="shared" si="41"/>
        <v>32</v>
      </c>
      <c r="M51" s="214">
        <f t="shared" si="41"/>
        <v>32</v>
      </c>
      <c r="N51" s="214">
        <f t="shared" si="41"/>
        <v>32</v>
      </c>
      <c r="O51" s="214">
        <f t="shared" si="41"/>
        <v>32</v>
      </c>
      <c r="P51" s="214">
        <f t="shared" si="41"/>
        <v>32</v>
      </c>
      <c r="Q51" s="214">
        <f t="shared" si="41"/>
        <v>32</v>
      </c>
      <c r="R51" s="214">
        <f t="shared" si="41"/>
        <v>32</v>
      </c>
      <c r="S51" s="214">
        <f t="shared" si="41"/>
        <v>32</v>
      </c>
      <c r="T51" s="214">
        <f t="shared" si="41"/>
        <v>32</v>
      </c>
      <c r="U51" s="214">
        <f t="shared" si="41"/>
        <v>32</v>
      </c>
      <c r="V51" s="214">
        <f t="shared" si="41"/>
        <v>32</v>
      </c>
      <c r="W51" s="214">
        <f t="shared" si="41"/>
        <v>32</v>
      </c>
      <c r="X51" s="214">
        <f t="shared" si="41"/>
        <v>32</v>
      </c>
      <c r="Y51" s="214">
        <f t="shared" si="41"/>
        <v>32</v>
      </c>
    </row>
    <row r="52">
      <c r="A52" s="211" t="s">
        <v>177</v>
      </c>
      <c r="B52" s="214" t="b">
        <f>or('Sheet 1'!B38=Items!A158,'Sheet 1'!B38=Items!A159,'Sheet 1'!B38=Items!A160)</f>
        <v>0</v>
      </c>
      <c r="C52" s="213" t="str">
        <f>IFERROR(__xludf.DUMMYFUNCTION("substitute(index(split('Sheet 1'!B38,""(""),2),"")"",)"),"#REF!")</f>
        <v>#REF!</v>
      </c>
      <c r="D52" s="214" t="str">
        <f t="shared" ref="D52:Y52" si="42">INT(D41/3+if($C$52="perfected",6,if($C$52="attuned",-4,if($C$52="basic",-10,))))</f>
        <v>#REF!</v>
      </c>
      <c r="E52" s="214" t="str">
        <f t="shared" si="42"/>
        <v>#REF!</v>
      </c>
      <c r="F52" s="214" t="str">
        <f t="shared" si="42"/>
        <v>#REF!</v>
      </c>
      <c r="G52" s="214" t="str">
        <f t="shared" si="42"/>
        <v>#REF!</v>
      </c>
      <c r="H52" s="214" t="str">
        <f t="shared" si="42"/>
        <v>#REF!</v>
      </c>
      <c r="I52" s="214" t="str">
        <f t="shared" si="42"/>
        <v>#REF!</v>
      </c>
      <c r="J52" s="214" t="str">
        <f t="shared" si="42"/>
        <v>#REF!</v>
      </c>
      <c r="K52" s="214" t="str">
        <f t="shared" si="42"/>
        <v>#REF!</v>
      </c>
      <c r="L52" s="214" t="str">
        <f t="shared" si="42"/>
        <v>#REF!</v>
      </c>
      <c r="M52" s="214" t="str">
        <f t="shared" si="42"/>
        <v>#REF!</v>
      </c>
      <c r="N52" s="214" t="str">
        <f t="shared" si="42"/>
        <v>#REF!</v>
      </c>
      <c r="O52" s="214" t="str">
        <f t="shared" si="42"/>
        <v>#REF!</v>
      </c>
      <c r="P52" s="214" t="str">
        <f t="shared" si="42"/>
        <v>#REF!</v>
      </c>
      <c r="Q52" s="214" t="str">
        <f t="shared" si="42"/>
        <v>#REF!</v>
      </c>
      <c r="R52" s="214" t="str">
        <f t="shared" si="42"/>
        <v>#REF!</v>
      </c>
      <c r="S52" s="214" t="str">
        <f t="shared" si="42"/>
        <v>#REF!</v>
      </c>
      <c r="T52" s="214" t="str">
        <f t="shared" si="42"/>
        <v>#REF!</v>
      </c>
      <c r="U52" s="214" t="str">
        <f t="shared" si="42"/>
        <v>#REF!</v>
      </c>
      <c r="V52" s="214" t="str">
        <f t="shared" si="42"/>
        <v>#REF!</v>
      </c>
      <c r="W52" s="214" t="str">
        <f t="shared" si="42"/>
        <v>#REF!</v>
      </c>
      <c r="X52" s="214" t="str">
        <f t="shared" si="42"/>
        <v>#REF!</v>
      </c>
      <c r="Y52" s="214" t="str">
        <f t="shared" si="42"/>
        <v>#REF!</v>
      </c>
    </row>
    <row r="53">
      <c r="A53" s="211" t="s">
        <v>178</v>
      </c>
      <c r="B53" s="214" t="b">
        <f>'Sheet 1'!B38=Items!A161</f>
        <v>0</v>
      </c>
      <c r="C53" s="213"/>
      <c r="D53" s="214">
        <f t="shared" ref="D53:Y53" si="43">int(int(D41*$C$60)/6-1)</f>
        <v>24</v>
      </c>
      <c r="E53" s="214">
        <f t="shared" si="43"/>
        <v>23</v>
      </c>
      <c r="F53" s="214">
        <f t="shared" si="43"/>
        <v>23</v>
      </c>
      <c r="G53" s="214">
        <f t="shared" si="43"/>
        <v>23</v>
      </c>
      <c r="H53" s="214">
        <f t="shared" si="43"/>
        <v>23</v>
      </c>
      <c r="I53" s="214">
        <f t="shared" si="43"/>
        <v>22</v>
      </c>
      <c r="J53" s="214">
        <f t="shared" si="43"/>
        <v>22</v>
      </c>
      <c r="K53" s="214">
        <f t="shared" si="43"/>
        <v>22</v>
      </c>
      <c r="L53" s="214">
        <f t="shared" si="43"/>
        <v>22</v>
      </c>
      <c r="M53" s="214">
        <f t="shared" si="43"/>
        <v>22</v>
      </c>
      <c r="N53" s="214">
        <f t="shared" si="43"/>
        <v>21</v>
      </c>
      <c r="O53" s="214">
        <f t="shared" si="43"/>
        <v>21</v>
      </c>
      <c r="P53" s="214">
        <f t="shared" si="43"/>
        <v>21</v>
      </c>
      <c r="Q53" s="214">
        <f t="shared" si="43"/>
        <v>21</v>
      </c>
      <c r="R53" s="214">
        <f t="shared" si="43"/>
        <v>21</v>
      </c>
      <c r="S53" s="214">
        <f t="shared" si="43"/>
        <v>21</v>
      </c>
      <c r="T53" s="214">
        <f t="shared" si="43"/>
        <v>21</v>
      </c>
      <c r="U53" s="214">
        <f t="shared" si="43"/>
        <v>21</v>
      </c>
      <c r="V53" s="214">
        <f t="shared" si="43"/>
        <v>21</v>
      </c>
      <c r="W53" s="214">
        <f t="shared" si="43"/>
        <v>21</v>
      </c>
      <c r="X53" s="214">
        <f t="shared" si="43"/>
        <v>21</v>
      </c>
      <c r="Y53" s="214">
        <f t="shared" si="43"/>
        <v>21</v>
      </c>
    </row>
    <row r="54">
      <c r="A54" s="211" t="str">
        <f>Items!A157</f>
        <v>Black salamander</v>
      </c>
      <c r="B54" s="214" t="b">
        <f>AND('Sheet 1'!B$38=A54,C$1="MAGIC")</f>
        <v>0</v>
      </c>
      <c r="C54" s="213"/>
      <c r="D54" s="214">
        <f t="shared" ref="D54:Y54" si="44">INT(0.5+D41*(64+92)/640)</f>
        <v>27</v>
      </c>
      <c r="E54" s="214">
        <f t="shared" si="44"/>
        <v>26</v>
      </c>
      <c r="F54" s="214">
        <f t="shared" si="44"/>
        <v>26</v>
      </c>
      <c r="G54" s="214">
        <f t="shared" si="44"/>
        <v>26</v>
      </c>
      <c r="H54" s="214">
        <f t="shared" si="44"/>
        <v>26</v>
      </c>
      <c r="I54" s="214">
        <f t="shared" si="44"/>
        <v>25</v>
      </c>
      <c r="J54" s="214">
        <f t="shared" si="44"/>
        <v>25</v>
      </c>
      <c r="K54" s="214">
        <f t="shared" si="44"/>
        <v>25</v>
      </c>
      <c r="L54" s="214">
        <f t="shared" si="44"/>
        <v>25</v>
      </c>
      <c r="M54" s="214">
        <f t="shared" si="44"/>
        <v>24</v>
      </c>
      <c r="N54" s="214">
        <f t="shared" si="44"/>
        <v>24</v>
      </c>
      <c r="O54" s="214">
        <f t="shared" si="44"/>
        <v>24</v>
      </c>
      <c r="P54" s="214">
        <f t="shared" si="44"/>
        <v>24</v>
      </c>
      <c r="Q54" s="214">
        <f t="shared" si="44"/>
        <v>24</v>
      </c>
      <c r="R54" s="214">
        <f t="shared" si="44"/>
        <v>24</v>
      </c>
      <c r="S54" s="214">
        <f t="shared" si="44"/>
        <v>24</v>
      </c>
      <c r="T54" s="214">
        <f t="shared" si="44"/>
        <v>24</v>
      </c>
      <c r="U54" s="214">
        <f t="shared" si="44"/>
        <v>24</v>
      </c>
      <c r="V54" s="214">
        <f t="shared" si="44"/>
        <v>24</v>
      </c>
      <c r="W54" s="214">
        <f t="shared" si="44"/>
        <v>24</v>
      </c>
      <c r="X54" s="214">
        <f t="shared" si="44"/>
        <v>24</v>
      </c>
      <c r="Y54" s="214">
        <f t="shared" si="44"/>
        <v>24</v>
      </c>
    </row>
    <row r="55">
      <c r="A55" s="211" t="s">
        <v>179</v>
      </c>
      <c r="B55" s="214"/>
      <c r="C55" s="213"/>
      <c r="D55" s="214">
        <f t="shared" ref="D55:Y55" si="45">IF($B44,D48,IF($B49,D49,IF($B50,D50,IF($B51,D51,IF($B52,D52,if($B54,D54,if($B53,D53)))))))</f>
        <v>24</v>
      </c>
      <c r="E55" s="214">
        <f t="shared" si="45"/>
        <v>24</v>
      </c>
      <c r="F55" s="214">
        <f t="shared" si="45"/>
        <v>24</v>
      </c>
      <c r="G55" s="214">
        <f t="shared" si="45"/>
        <v>24</v>
      </c>
      <c r="H55" s="214">
        <f t="shared" si="45"/>
        <v>24</v>
      </c>
      <c r="I55" s="214">
        <f t="shared" si="45"/>
        <v>24</v>
      </c>
      <c r="J55" s="214">
        <f t="shared" si="45"/>
        <v>24</v>
      </c>
      <c r="K55" s="214">
        <f t="shared" si="45"/>
        <v>24</v>
      </c>
      <c r="L55" s="214">
        <f t="shared" si="45"/>
        <v>24</v>
      </c>
      <c r="M55" s="214">
        <f t="shared" si="45"/>
        <v>24</v>
      </c>
      <c r="N55" s="214">
        <f t="shared" si="45"/>
        <v>24</v>
      </c>
      <c r="O55" s="214">
        <f t="shared" si="45"/>
        <v>24</v>
      </c>
      <c r="P55" s="214">
        <f t="shared" si="45"/>
        <v>24</v>
      </c>
      <c r="Q55" s="214">
        <f t="shared" si="45"/>
        <v>24</v>
      </c>
      <c r="R55" s="214">
        <f t="shared" si="45"/>
        <v>24</v>
      </c>
      <c r="S55" s="214">
        <f t="shared" si="45"/>
        <v>24</v>
      </c>
      <c r="T55" s="214">
        <f t="shared" si="45"/>
        <v>24</v>
      </c>
      <c r="U55" s="214">
        <f t="shared" si="45"/>
        <v>24</v>
      </c>
      <c r="V55" s="214">
        <f t="shared" si="45"/>
        <v>24</v>
      </c>
      <c r="W55" s="214">
        <f t="shared" si="45"/>
        <v>24</v>
      </c>
      <c r="X55" s="214">
        <f t="shared" si="45"/>
        <v>24</v>
      </c>
      <c r="Y55" s="214">
        <f t="shared" si="45"/>
        <v>24</v>
      </c>
    </row>
    <row r="56">
      <c r="A56" s="211" t="str">
        <f>Items!A177</f>
        <v>Mystic smoke staff</v>
      </c>
      <c r="B56" s="214" t="b">
        <f>B9</f>
        <v>0</v>
      </c>
      <c r="C56" s="213">
        <f>IF(B56,0.1,0)</f>
        <v>0</v>
      </c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  <c r="U56" s="214"/>
      <c r="V56" s="214"/>
      <c r="W56" s="214"/>
      <c r="X56" s="214"/>
      <c r="Y56" s="214"/>
    </row>
    <row r="57">
      <c r="A57" s="211" t="s">
        <v>180</v>
      </c>
      <c r="B57" s="220" t="b">
        <f>AND(OR('Sheet 1'!$D$75="VORKATH",'Sheet 1'!$D$75="UNDEAD"),OR('Sheet 1'!B43=Items!A273,'Sheet 1'!B43=Items!A274))</f>
        <v>0</v>
      </c>
      <c r="C57" s="213" t="b">
        <f>IF(B57,IF('Sheet 1'!B43=Items!A273,0.15,IF('Sheet 1'!B43=Items!A274,0.2)))</f>
        <v>0</v>
      </c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  <c r="U57" s="214"/>
      <c r="V57" s="214"/>
      <c r="W57" s="214"/>
      <c r="X57" s="214"/>
      <c r="Y57" s="214"/>
    </row>
    <row r="58">
      <c r="A58" s="211" t="str">
        <f>Items!A170</f>
        <v>Thammaron's sceptre</v>
      </c>
      <c r="B58" s="220" t="b">
        <f>AND('Sheet 1'!B38=A58,Input!AC12)</f>
        <v>0</v>
      </c>
      <c r="C58" s="213">
        <f>IF(B58,0.25,0)</f>
        <v>0</v>
      </c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214"/>
    </row>
    <row r="59">
      <c r="A59" s="211" t="s">
        <v>181</v>
      </c>
      <c r="B59" s="220" t="b">
        <f>AND(C1="MAGIC",B39=TRUE,'Sheet 1'!$B$44=Items!$A$290,'Sheet 1'!$B$45=Items!$A$334)</f>
        <v>0</v>
      </c>
      <c r="C59" s="213">
        <f>IF(B59,0.025,0)</f>
        <v>0</v>
      </c>
      <c r="D59" s="214"/>
      <c r="E59" s="214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</row>
    <row r="60">
      <c r="A60" s="211" t="str">
        <f>Items!N1</f>
        <v>Magic damage</v>
      </c>
      <c r="B60" s="214"/>
      <c r="C60" s="213">
        <f>1+'Sheet 1'!O51+C56+C57+C58+C59</f>
        <v>1.38</v>
      </c>
      <c r="D60" s="214">
        <f t="shared" ref="D60:Y60" si="46">INT(D55*if($B$53,1,$C60))</f>
        <v>33</v>
      </c>
      <c r="E60" s="214">
        <f t="shared" si="46"/>
        <v>33</v>
      </c>
      <c r="F60" s="214">
        <f t="shared" si="46"/>
        <v>33</v>
      </c>
      <c r="G60" s="214">
        <f t="shared" si="46"/>
        <v>33</v>
      </c>
      <c r="H60" s="214">
        <f t="shared" si="46"/>
        <v>33</v>
      </c>
      <c r="I60" s="214">
        <f t="shared" si="46"/>
        <v>33</v>
      </c>
      <c r="J60" s="214">
        <f t="shared" si="46"/>
        <v>33</v>
      </c>
      <c r="K60" s="214">
        <f t="shared" si="46"/>
        <v>33</v>
      </c>
      <c r="L60" s="214">
        <f t="shared" si="46"/>
        <v>33</v>
      </c>
      <c r="M60" s="214">
        <f t="shared" si="46"/>
        <v>33</v>
      </c>
      <c r="N60" s="214">
        <f t="shared" si="46"/>
        <v>33</v>
      </c>
      <c r="O60" s="214">
        <f t="shared" si="46"/>
        <v>33</v>
      </c>
      <c r="P60" s="214">
        <f t="shared" si="46"/>
        <v>33</v>
      </c>
      <c r="Q60" s="214">
        <f t="shared" si="46"/>
        <v>33</v>
      </c>
      <c r="R60" s="214">
        <f t="shared" si="46"/>
        <v>33</v>
      </c>
      <c r="S60" s="214">
        <f t="shared" si="46"/>
        <v>33</v>
      </c>
      <c r="T60" s="214">
        <f t="shared" si="46"/>
        <v>33</v>
      </c>
      <c r="U60" s="214">
        <f t="shared" si="46"/>
        <v>33</v>
      </c>
      <c r="V60" s="214">
        <f t="shared" si="46"/>
        <v>33</v>
      </c>
      <c r="W60" s="214">
        <f t="shared" si="46"/>
        <v>33</v>
      </c>
      <c r="X60" s="214">
        <f t="shared" si="46"/>
        <v>33</v>
      </c>
      <c r="Y60" s="214">
        <f t="shared" si="46"/>
        <v>33</v>
      </c>
    </row>
    <row r="61">
      <c r="A61" s="211" t="s">
        <v>182</v>
      </c>
      <c r="B61" s="211" t="b">
        <f>AND('Sheet 1'!E98,'Sheet 1'!B41=Items!A204,B57=FALSE)</f>
        <v>0</v>
      </c>
      <c r="C61" s="213">
        <f>1+IF(B61,0.15,0)</f>
        <v>1</v>
      </c>
      <c r="D61" s="214">
        <f t="shared" ref="D61:Y61" si="47">INT(D60*$C61)</f>
        <v>33</v>
      </c>
      <c r="E61" s="214">
        <f t="shared" si="47"/>
        <v>33</v>
      </c>
      <c r="F61" s="214">
        <f t="shared" si="47"/>
        <v>33</v>
      </c>
      <c r="G61" s="214">
        <f t="shared" si="47"/>
        <v>33</v>
      </c>
      <c r="H61" s="214">
        <f t="shared" si="47"/>
        <v>33</v>
      </c>
      <c r="I61" s="214">
        <f t="shared" si="47"/>
        <v>33</v>
      </c>
      <c r="J61" s="214">
        <f t="shared" si="47"/>
        <v>33</v>
      </c>
      <c r="K61" s="214">
        <f t="shared" si="47"/>
        <v>33</v>
      </c>
      <c r="L61" s="214">
        <f t="shared" si="47"/>
        <v>33</v>
      </c>
      <c r="M61" s="214">
        <f t="shared" si="47"/>
        <v>33</v>
      </c>
      <c r="N61" s="214">
        <f t="shared" si="47"/>
        <v>33</v>
      </c>
      <c r="O61" s="214">
        <f t="shared" si="47"/>
        <v>33</v>
      </c>
      <c r="P61" s="214">
        <f t="shared" si="47"/>
        <v>33</v>
      </c>
      <c r="Q61" s="214">
        <f t="shared" si="47"/>
        <v>33</v>
      </c>
      <c r="R61" s="214">
        <f t="shared" si="47"/>
        <v>33</v>
      </c>
      <c r="S61" s="214">
        <f t="shared" si="47"/>
        <v>33</v>
      </c>
      <c r="T61" s="214">
        <f t="shared" si="47"/>
        <v>33</v>
      </c>
      <c r="U61" s="214">
        <f t="shared" si="47"/>
        <v>33</v>
      </c>
      <c r="V61" s="214">
        <f t="shared" si="47"/>
        <v>33</v>
      </c>
      <c r="W61" s="214">
        <f t="shared" si="47"/>
        <v>33</v>
      </c>
      <c r="X61" s="214">
        <f t="shared" si="47"/>
        <v>33</v>
      </c>
      <c r="Y61" s="214">
        <f t="shared" si="47"/>
        <v>33</v>
      </c>
    </row>
    <row r="62">
      <c r="A62" s="211" t="str">
        <f>Items!A407</f>
        <v>Tome of fire</v>
      </c>
      <c r="B62" s="214" t="b">
        <f>AND('Sheet 1'!B46=A62,OR(C44=Items!A588,C44=Items!A589,C44=Items!A590,C44=Items!A591,C44=Items!A592))</f>
        <v>1</v>
      </c>
      <c r="C62" s="213">
        <f>1+IF(B62,0.5,0)</f>
        <v>1.5</v>
      </c>
      <c r="D62" s="214">
        <f t="shared" ref="D62:Y62" si="48">INT(D61*$C62)</f>
        <v>49</v>
      </c>
      <c r="E62" s="214">
        <f t="shared" si="48"/>
        <v>49</v>
      </c>
      <c r="F62" s="214">
        <f t="shared" si="48"/>
        <v>49</v>
      </c>
      <c r="G62" s="214">
        <f t="shared" si="48"/>
        <v>49</v>
      </c>
      <c r="H62" s="214">
        <f t="shared" si="48"/>
        <v>49</v>
      </c>
      <c r="I62" s="214">
        <f t="shared" si="48"/>
        <v>49</v>
      </c>
      <c r="J62" s="214">
        <f t="shared" si="48"/>
        <v>49</v>
      </c>
      <c r="K62" s="214">
        <f t="shared" si="48"/>
        <v>49</v>
      </c>
      <c r="L62" s="214">
        <f t="shared" si="48"/>
        <v>49</v>
      </c>
      <c r="M62" s="214">
        <f t="shared" si="48"/>
        <v>49</v>
      </c>
      <c r="N62" s="214">
        <f t="shared" si="48"/>
        <v>49</v>
      </c>
      <c r="O62" s="214">
        <f t="shared" si="48"/>
        <v>49</v>
      </c>
      <c r="P62" s="214">
        <f t="shared" si="48"/>
        <v>49</v>
      </c>
      <c r="Q62" s="214">
        <f t="shared" si="48"/>
        <v>49</v>
      </c>
      <c r="R62" s="214">
        <f t="shared" si="48"/>
        <v>49</v>
      </c>
      <c r="S62" s="214">
        <f t="shared" si="48"/>
        <v>49</v>
      </c>
      <c r="T62" s="214">
        <f t="shared" si="48"/>
        <v>49</v>
      </c>
      <c r="U62" s="214">
        <f t="shared" si="48"/>
        <v>49</v>
      </c>
      <c r="V62" s="214">
        <f t="shared" si="48"/>
        <v>49</v>
      </c>
      <c r="W62" s="214">
        <f t="shared" si="48"/>
        <v>49</v>
      </c>
      <c r="X62" s="214">
        <f t="shared" si="48"/>
        <v>49</v>
      </c>
      <c r="Y62" s="214">
        <f t="shared" si="48"/>
        <v>49</v>
      </c>
    </row>
    <row r="63">
      <c r="A63" s="211" t="s">
        <v>164</v>
      </c>
      <c r="B63" s="214">
        <f>if(or(Input!AG13="",Input!AG13="Off (default)"),0,Input!AG13)</f>
        <v>0</v>
      </c>
      <c r="C63" s="213">
        <f>B63+1</f>
        <v>1</v>
      </c>
      <c r="D63" s="214">
        <f t="shared" ref="D63:Y63" si="49">int(D62*$C$63)</f>
        <v>49</v>
      </c>
      <c r="E63" s="214">
        <f t="shared" si="49"/>
        <v>49</v>
      </c>
      <c r="F63" s="214">
        <f t="shared" si="49"/>
        <v>49</v>
      </c>
      <c r="G63" s="214">
        <f t="shared" si="49"/>
        <v>49</v>
      </c>
      <c r="H63" s="214">
        <f t="shared" si="49"/>
        <v>49</v>
      </c>
      <c r="I63" s="214">
        <f t="shared" si="49"/>
        <v>49</v>
      </c>
      <c r="J63" s="214">
        <f t="shared" si="49"/>
        <v>49</v>
      </c>
      <c r="K63" s="214">
        <f t="shared" si="49"/>
        <v>49</v>
      </c>
      <c r="L63" s="214">
        <f t="shared" si="49"/>
        <v>49</v>
      </c>
      <c r="M63" s="214">
        <f t="shared" si="49"/>
        <v>49</v>
      </c>
      <c r="N63" s="214">
        <f t="shared" si="49"/>
        <v>49</v>
      </c>
      <c r="O63" s="214">
        <f t="shared" si="49"/>
        <v>49</v>
      </c>
      <c r="P63" s="214">
        <f t="shared" si="49"/>
        <v>49</v>
      </c>
      <c r="Q63" s="214">
        <f t="shared" si="49"/>
        <v>49</v>
      </c>
      <c r="R63" s="214">
        <f t="shared" si="49"/>
        <v>49</v>
      </c>
      <c r="S63" s="214">
        <f t="shared" si="49"/>
        <v>49</v>
      </c>
      <c r="T63" s="214">
        <f t="shared" si="49"/>
        <v>49</v>
      </c>
      <c r="U63" s="214">
        <f t="shared" si="49"/>
        <v>49</v>
      </c>
      <c r="V63" s="214">
        <f t="shared" si="49"/>
        <v>49</v>
      </c>
      <c r="W63" s="214">
        <f t="shared" si="49"/>
        <v>49</v>
      </c>
      <c r="X63" s="214">
        <f t="shared" si="49"/>
        <v>49</v>
      </c>
      <c r="Y63" s="214">
        <f t="shared" si="49"/>
        <v>49</v>
      </c>
    </row>
    <row r="64">
      <c r="A64" s="211" t="s">
        <v>183</v>
      </c>
      <c r="B64" s="214" t="b">
        <f>and('Sheet 1'!$B$75='NPC stats'!A525,C1="magic")</f>
        <v>0</v>
      </c>
      <c r="C64" s="212">
        <f>if(B64,2,1)</f>
        <v>1</v>
      </c>
      <c r="D64" s="214">
        <f t="shared" ref="D64:Y64" si="50">D63*$C$64</f>
        <v>49</v>
      </c>
      <c r="E64" s="214">
        <f t="shared" si="50"/>
        <v>49</v>
      </c>
      <c r="F64" s="214">
        <f t="shared" si="50"/>
        <v>49</v>
      </c>
      <c r="G64" s="214">
        <f t="shared" si="50"/>
        <v>49</v>
      </c>
      <c r="H64" s="214">
        <f t="shared" si="50"/>
        <v>49</v>
      </c>
      <c r="I64" s="214">
        <f t="shared" si="50"/>
        <v>49</v>
      </c>
      <c r="J64" s="214">
        <f t="shared" si="50"/>
        <v>49</v>
      </c>
      <c r="K64" s="214">
        <f t="shared" si="50"/>
        <v>49</v>
      </c>
      <c r="L64" s="214">
        <f t="shared" si="50"/>
        <v>49</v>
      </c>
      <c r="M64" s="214">
        <f t="shared" si="50"/>
        <v>49</v>
      </c>
      <c r="N64" s="214">
        <f t="shared" si="50"/>
        <v>49</v>
      </c>
      <c r="O64" s="214">
        <f t="shared" si="50"/>
        <v>49</v>
      </c>
      <c r="P64" s="214">
        <f t="shared" si="50"/>
        <v>49</v>
      </c>
      <c r="Q64" s="214">
        <f t="shared" si="50"/>
        <v>49</v>
      </c>
      <c r="R64" s="214">
        <f t="shared" si="50"/>
        <v>49</v>
      </c>
      <c r="S64" s="214">
        <f t="shared" si="50"/>
        <v>49</v>
      </c>
      <c r="T64" s="214">
        <f t="shared" si="50"/>
        <v>49</v>
      </c>
      <c r="U64" s="214">
        <f t="shared" si="50"/>
        <v>49</v>
      </c>
      <c r="V64" s="214">
        <f t="shared" si="50"/>
        <v>49</v>
      </c>
      <c r="W64" s="214">
        <f t="shared" si="50"/>
        <v>49</v>
      </c>
      <c r="X64" s="214">
        <f t="shared" si="50"/>
        <v>49</v>
      </c>
      <c r="Y64" s="214">
        <f t="shared" si="50"/>
        <v>49</v>
      </c>
    </row>
    <row r="65">
      <c r="A65" s="211" t="s">
        <v>184</v>
      </c>
      <c r="B65" s="214" t="b">
        <f>if(B53,false,true)</f>
        <v>1</v>
      </c>
      <c r="C65" s="213">
        <f>C113</f>
        <v>1</v>
      </c>
      <c r="D65" s="214">
        <f t="shared" ref="D65:Y65" si="51">INT(D64*$C65)</f>
        <v>49</v>
      </c>
      <c r="E65" s="214">
        <f t="shared" si="51"/>
        <v>49</v>
      </c>
      <c r="F65" s="214">
        <f t="shared" si="51"/>
        <v>49</v>
      </c>
      <c r="G65" s="214">
        <f t="shared" si="51"/>
        <v>49</v>
      </c>
      <c r="H65" s="214">
        <f t="shared" si="51"/>
        <v>49</v>
      </c>
      <c r="I65" s="214">
        <f t="shared" si="51"/>
        <v>49</v>
      </c>
      <c r="J65" s="214">
        <f t="shared" si="51"/>
        <v>49</v>
      </c>
      <c r="K65" s="214">
        <f t="shared" si="51"/>
        <v>49</v>
      </c>
      <c r="L65" s="214">
        <f t="shared" si="51"/>
        <v>49</v>
      </c>
      <c r="M65" s="214">
        <f t="shared" si="51"/>
        <v>49</v>
      </c>
      <c r="N65" s="214">
        <f t="shared" si="51"/>
        <v>49</v>
      </c>
      <c r="O65" s="214">
        <f t="shared" si="51"/>
        <v>49</v>
      </c>
      <c r="P65" s="214">
        <f t="shared" si="51"/>
        <v>49</v>
      </c>
      <c r="Q65" s="214">
        <f t="shared" si="51"/>
        <v>49</v>
      </c>
      <c r="R65" s="214">
        <f t="shared" si="51"/>
        <v>49</v>
      </c>
      <c r="S65" s="214">
        <f t="shared" si="51"/>
        <v>49</v>
      </c>
      <c r="T65" s="214">
        <f t="shared" si="51"/>
        <v>49</v>
      </c>
      <c r="U65" s="214">
        <f t="shared" si="51"/>
        <v>49</v>
      </c>
      <c r="V65" s="214">
        <f t="shared" si="51"/>
        <v>49</v>
      </c>
      <c r="W65" s="214">
        <f t="shared" si="51"/>
        <v>49</v>
      </c>
      <c r="X65" s="214">
        <f t="shared" si="51"/>
        <v>49</v>
      </c>
      <c r="Y65" s="214">
        <f t="shared" si="51"/>
        <v>49</v>
      </c>
    </row>
    <row r="66">
      <c r="A66" s="211" t="s">
        <v>185</v>
      </c>
      <c r="B66" s="214" t="b">
        <f>AND(C1="MAGIC",'Sheet 1'!B38=Items!A155,'Sheet 1'!B41=Items!A227,'Sheet 1'!B43=Items!A276,'Sheet 1'!B44=Items!A319,'Sheet 1'!B45=Items!A361)</f>
        <v>0</v>
      </c>
      <c r="C66" s="213">
        <f>1+IF(B66,0.3,0)</f>
        <v>1</v>
      </c>
      <c r="D66" s="214">
        <f t="shared" ref="D66:Y66" si="52">INT(D65*$C66)</f>
        <v>49</v>
      </c>
      <c r="E66" s="214">
        <f t="shared" si="52"/>
        <v>49</v>
      </c>
      <c r="F66" s="214">
        <f t="shared" si="52"/>
        <v>49</v>
      </c>
      <c r="G66" s="214">
        <f t="shared" si="52"/>
        <v>49</v>
      </c>
      <c r="H66" s="214">
        <f t="shared" si="52"/>
        <v>49</v>
      </c>
      <c r="I66" s="214">
        <f t="shared" si="52"/>
        <v>49</v>
      </c>
      <c r="J66" s="214">
        <f t="shared" si="52"/>
        <v>49</v>
      </c>
      <c r="K66" s="214">
        <f t="shared" si="52"/>
        <v>49</v>
      </c>
      <c r="L66" s="214">
        <f t="shared" si="52"/>
        <v>49</v>
      </c>
      <c r="M66" s="214">
        <f t="shared" si="52"/>
        <v>49</v>
      </c>
      <c r="N66" s="214">
        <f t="shared" si="52"/>
        <v>49</v>
      </c>
      <c r="O66" s="214">
        <f t="shared" si="52"/>
        <v>49</v>
      </c>
      <c r="P66" s="214">
        <f t="shared" si="52"/>
        <v>49</v>
      </c>
      <c r="Q66" s="214">
        <f t="shared" si="52"/>
        <v>49</v>
      </c>
      <c r="R66" s="214">
        <f t="shared" si="52"/>
        <v>49</v>
      </c>
      <c r="S66" s="214">
        <f t="shared" si="52"/>
        <v>49</v>
      </c>
      <c r="T66" s="214">
        <f t="shared" si="52"/>
        <v>49</v>
      </c>
      <c r="U66" s="214">
        <f t="shared" si="52"/>
        <v>49</v>
      </c>
      <c r="V66" s="214">
        <f t="shared" si="52"/>
        <v>49</v>
      </c>
      <c r="W66" s="214">
        <f t="shared" si="52"/>
        <v>49</v>
      </c>
      <c r="X66" s="214">
        <f t="shared" si="52"/>
        <v>49</v>
      </c>
      <c r="Y66" s="214">
        <f t="shared" si="52"/>
        <v>49</v>
      </c>
    </row>
    <row r="67">
      <c r="A67" s="211" t="s">
        <v>186</v>
      </c>
      <c r="B67" s="214" t="b">
        <f>and('Sheet 1'!B38=Items!A166,C1="magic")</f>
        <v>0</v>
      </c>
      <c r="C67" s="213" t="str">
        <f>if(B67,int(44*$C$60),"")</f>
        <v/>
      </c>
      <c r="D67" s="214">
        <f t="shared" ref="D67:Y67" si="53">if($C$67="",D66,int(INT((44-int((99-min(D36,99))/2.27))*$C$61)*$C$60))</f>
        <v>49</v>
      </c>
      <c r="E67" s="214">
        <f t="shared" si="53"/>
        <v>49</v>
      </c>
      <c r="F67" s="214">
        <f t="shared" si="53"/>
        <v>49</v>
      </c>
      <c r="G67" s="214">
        <f t="shared" si="53"/>
        <v>49</v>
      </c>
      <c r="H67" s="214">
        <f t="shared" si="53"/>
        <v>49</v>
      </c>
      <c r="I67" s="214">
        <f t="shared" si="53"/>
        <v>49</v>
      </c>
      <c r="J67" s="214">
        <f t="shared" si="53"/>
        <v>49</v>
      </c>
      <c r="K67" s="214">
        <f t="shared" si="53"/>
        <v>49</v>
      </c>
      <c r="L67" s="214">
        <f t="shared" si="53"/>
        <v>49</v>
      </c>
      <c r="M67" s="214">
        <f t="shared" si="53"/>
        <v>49</v>
      </c>
      <c r="N67" s="214">
        <f t="shared" si="53"/>
        <v>49</v>
      </c>
      <c r="O67" s="214">
        <f t="shared" si="53"/>
        <v>49</v>
      </c>
      <c r="P67" s="214">
        <f t="shared" si="53"/>
        <v>49</v>
      </c>
      <c r="Q67" s="214">
        <f t="shared" si="53"/>
        <v>49</v>
      </c>
      <c r="R67" s="214">
        <f t="shared" si="53"/>
        <v>49</v>
      </c>
      <c r="S67" s="214">
        <f t="shared" si="53"/>
        <v>49</v>
      </c>
      <c r="T67" s="214">
        <f t="shared" si="53"/>
        <v>49</v>
      </c>
      <c r="U67" s="214">
        <f t="shared" si="53"/>
        <v>49</v>
      </c>
      <c r="V67" s="214">
        <f t="shared" si="53"/>
        <v>49</v>
      </c>
      <c r="W67" s="214">
        <f t="shared" si="53"/>
        <v>49</v>
      </c>
      <c r="X67" s="214">
        <f t="shared" si="53"/>
        <v>49</v>
      </c>
      <c r="Y67" s="214">
        <f t="shared" si="53"/>
        <v>49</v>
      </c>
    </row>
    <row r="68">
      <c r="A68" s="211" t="s">
        <v>187</v>
      </c>
      <c r="B68" s="214" t="b">
        <f>and('Sheet 1'!B38=Items!A168,C1="magic")</f>
        <v>0</v>
      </c>
      <c r="C68" s="213" t="str">
        <f>if(B68,int(58*$C$60),"")</f>
        <v/>
      </c>
      <c r="D68" s="214">
        <f t="shared" ref="D68:Y68" si="54">if($C$68="",D67,int(int(int(min(D36,99)*(7/12)+(7/6))*$C$61)*$C$60))</f>
        <v>49</v>
      </c>
      <c r="E68" s="214">
        <f t="shared" si="54"/>
        <v>49</v>
      </c>
      <c r="F68" s="214">
        <f t="shared" si="54"/>
        <v>49</v>
      </c>
      <c r="G68" s="214">
        <f t="shared" si="54"/>
        <v>49</v>
      </c>
      <c r="H68" s="214">
        <f t="shared" si="54"/>
        <v>49</v>
      </c>
      <c r="I68" s="214">
        <f t="shared" si="54"/>
        <v>49</v>
      </c>
      <c r="J68" s="214">
        <f t="shared" si="54"/>
        <v>49</v>
      </c>
      <c r="K68" s="214">
        <f t="shared" si="54"/>
        <v>49</v>
      </c>
      <c r="L68" s="214">
        <f t="shared" si="54"/>
        <v>49</v>
      </c>
      <c r="M68" s="214">
        <f t="shared" si="54"/>
        <v>49</v>
      </c>
      <c r="N68" s="214">
        <f t="shared" si="54"/>
        <v>49</v>
      </c>
      <c r="O68" s="214">
        <f t="shared" si="54"/>
        <v>49</v>
      </c>
      <c r="P68" s="214">
        <f t="shared" si="54"/>
        <v>49</v>
      </c>
      <c r="Q68" s="214">
        <f t="shared" si="54"/>
        <v>49</v>
      </c>
      <c r="R68" s="214">
        <f t="shared" si="54"/>
        <v>49</v>
      </c>
      <c r="S68" s="214">
        <f t="shared" si="54"/>
        <v>49</v>
      </c>
      <c r="T68" s="214">
        <f t="shared" si="54"/>
        <v>49</v>
      </c>
      <c r="U68" s="214">
        <f t="shared" si="54"/>
        <v>49</v>
      </c>
      <c r="V68" s="214">
        <f t="shared" si="54"/>
        <v>49</v>
      </c>
      <c r="W68" s="214">
        <f t="shared" si="54"/>
        <v>49</v>
      </c>
      <c r="X68" s="214">
        <f t="shared" si="54"/>
        <v>49</v>
      </c>
      <c r="Y68" s="214">
        <f t="shared" si="54"/>
        <v>49</v>
      </c>
    </row>
    <row r="69">
      <c r="A69" s="211" t="s">
        <v>178</v>
      </c>
      <c r="B69" s="214" t="b">
        <f>and('Sheet 1'!B38=Items!A161,C1="magic")</f>
        <v>0</v>
      </c>
      <c r="C69" s="213">
        <f>if(B69,150,0)</f>
        <v>0</v>
      </c>
      <c r="D69" s="214">
        <f t="shared" ref="D69:Y69" si="55">if($B$69,$C$69,D68)</f>
        <v>49</v>
      </c>
      <c r="E69" s="214">
        <f t="shared" si="55"/>
        <v>49</v>
      </c>
      <c r="F69" s="214">
        <f t="shared" si="55"/>
        <v>49</v>
      </c>
      <c r="G69" s="214">
        <f t="shared" si="55"/>
        <v>49</v>
      </c>
      <c r="H69" s="214">
        <f t="shared" si="55"/>
        <v>49</v>
      </c>
      <c r="I69" s="214">
        <f t="shared" si="55"/>
        <v>49</v>
      </c>
      <c r="J69" s="214">
        <f t="shared" si="55"/>
        <v>49</v>
      </c>
      <c r="K69" s="214">
        <f t="shared" si="55"/>
        <v>49</v>
      </c>
      <c r="L69" s="214">
        <f t="shared" si="55"/>
        <v>49</v>
      </c>
      <c r="M69" s="214">
        <f t="shared" si="55"/>
        <v>49</v>
      </c>
      <c r="N69" s="214">
        <f t="shared" si="55"/>
        <v>49</v>
      </c>
      <c r="O69" s="214">
        <f t="shared" si="55"/>
        <v>49</v>
      </c>
      <c r="P69" s="214">
        <f t="shared" si="55"/>
        <v>49</v>
      </c>
      <c r="Q69" s="214">
        <f t="shared" si="55"/>
        <v>49</v>
      </c>
      <c r="R69" s="214">
        <f t="shared" si="55"/>
        <v>49</v>
      </c>
      <c r="S69" s="214">
        <f t="shared" si="55"/>
        <v>49</v>
      </c>
      <c r="T69" s="214">
        <f t="shared" si="55"/>
        <v>49</v>
      </c>
      <c r="U69" s="214">
        <f t="shared" si="55"/>
        <v>49</v>
      </c>
      <c r="V69" s="214">
        <f t="shared" si="55"/>
        <v>49</v>
      </c>
      <c r="W69" s="214">
        <f t="shared" si="55"/>
        <v>49</v>
      </c>
      <c r="X69" s="214">
        <f t="shared" si="55"/>
        <v>49</v>
      </c>
      <c r="Y69" s="214">
        <f t="shared" si="55"/>
        <v>49</v>
      </c>
    </row>
    <row r="70">
      <c r="A70" s="211" t="s">
        <v>188</v>
      </c>
      <c r="B70" s="214" t="b">
        <f>or(B67,B66,B68,B69)</f>
        <v>0</v>
      </c>
      <c r="C70" s="213"/>
      <c r="D70" s="214" t="str">
        <f t="shared" ref="D70:Y70" si="56">if($B$70,D69,"")</f>
        <v/>
      </c>
      <c r="E70" s="214" t="str">
        <f t="shared" si="56"/>
        <v/>
      </c>
      <c r="F70" s="214" t="str">
        <f t="shared" si="56"/>
        <v/>
      </c>
      <c r="G70" s="214" t="str">
        <f t="shared" si="56"/>
        <v/>
      </c>
      <c r="H70" s="214" t="str">
        <f t="shared" si="56"/>
        <v/>
      </c>
      <c r="I70" s="214" t="str">
        <f t="shared" si="56"/>
        <v/>
      </c>
      <c r="J70" s="214" t="str">
        <f t="shared" si="56"/>
        <v/>
      </c>
      <c r="K70" s="214" t="str">
        <f t="shared" si="56"/>
        <v/>
      </c>
      <c r="L70" s="214" t="str">
        <f t="shared" si="56"/>
        <v/>
      </c>
      <c r="M70" s="214" t="str">
        <f t="shared" si="56"/>
        <v/>
      </c>
      <c r="N70" s="214" t="str">
        <f t="shared" si="56"/>
        <v/>
      </c>
      <c r="O70" s="214" t="str">
        <f t="shared" si="56"/>
        <v/>
      </c>
      <c r="P70" s="214" t="str">
        <f t="shared" si="56"/>
        <v/>
      </c>
      <c r="Q70" s="214" t="str">
        <f t="shared" si="56"/>
        <v/>
      </c>
      <c r="R70" s="214" t="str">
        <f t="shared" si="56"/>
        <v/>
      </c>
      <c r="S70" s="214" t="str">
        <f t="shared" si="56"/>
        <v/>
      </c>
      <c r="T70" s="214" t="str">
        <f t="shared" si="56"/>
        <v/>
      </c>
      <c r="U70" s="214" t="str">
        <f t="shared" si="56"/>
        <v/>
      </c>
      <c r="V70" s="214" t="str">
        <f t="shared" si="56"/>
        <v/>
      </c>
      <c r="W70" s="214" t="str">
        <f t="shared" si="56"/>
        <v/>
      </c>
      <c r="X70" s="214" t="str">
        <f t="shared" si="56"/>
        <v/>
      </c>
      <c r="Y70" s="214" t="str">
        <f t="shared" si="56"/>
        <v/>
      </c>
    </row>
    <row r="71">
      <c r="A71" s="211"/>
      <c r="B71" s="214"/>
      <c r="C71" s="213"/>
      <c r="D71" s="214"/>
      <c r="E71" s="214"/>
      <c r="F71" s="214"/>
      <c r="G71" s="214"/>
      <c r="H71" s="214"/>
      <c r="I71" s="214"/>
      <c r="J71" s="214"/>
      <c r="K71" s="214"/>
      <c r="L71" s="214"/>
      <c r="M71" s="214"/>
      <c r="N71" s="214"/>
      <c r="O71" s="214"/>
      <c r="P71" s="214"/>
      <c r="Q71" s="214"/>
      <c r="R71" s="214"/>
      <c r="S71" s="214"/>
      <c r="T71" s="214"/>
      <c r="U71" s="214"/>
      <c r="V71" s="214"/>
      <c r="W71" s="214"/>
      <c r="X71" s="214"/>
      <c r="Y71" s="214"/>
    </row>
    <row r="72">
      <c r="A72" s="211" t="s">
        <v>189</v>
      </c>
      <c r="B72" s="211" t="b">
        <f>AND(OR('Sheet 1'!$D$75="VORKATH",'Sheet 1'!$D$75="UNDEAD"),OR('Sheet 1'!B43=Items!A273,'Sheet 1'!B43=Items!A274))</f>
        <v>0</v>
      </c>
      <c r="C72" s="213">
        <f>1+IF(B72,IF('Sheet 1'!B43=Items!A273,IF(C1="RANGED",0.15,1/6),IF('Sheet 1'!B43=Items!A274,0.2)))</f>
        <v>1</v>
      </c>
      <c r="D72" s="214">
        <f t="shared" ref="D72:Y72" si="57">INT(D42*$C72)</f>
        <v>11</v>
      </c>
      <c r="E72" s="214">
        <f t="shared" si="57"/>
        <v>11</v>
      </c>
      <c r="F72" s="214">
        <f t="shared" si="57"/>
        <v>11</v>
      </c>
      <c r="G72" s="214">
        <f t="shared" si="57"/>
        <v>11</v>
      </c>
      <c r="H72" s="214">
        <f t="shared" si="57"/>
        <v>11</v>
      </c>
      <c r="I72" s="214">
        <f t="shared" si="57"/>
        <v>10</v>
      </c>
      <c r="J72" s="214">
        <f t="shared" si="57"/>
        <v>10</v>
      </c>
      <c r="K72" s="214">
        <f t="shared" si="57"/>
        <v>10</v>
      </c>
      <c r="L72" s="214">
        <f t="shared" si="57"/>
        <v>10</v>
      </c>
      <c r="M72" s="214">
        <f t="shared" si="57"/>
        <v>10</v>
      </c>
      <c r="N72" s="214">
        <f t="shared" si="57"/>
        <v>10</v>
      </c>
      <c r="O72" s="214">
        <f t="shared" si="57"/>
        <v>10</v>
      </c>
      <c r="P72" s="214">
        <f t="shared" si="57"/>
        <v>10</v>
      </c>
      <c r="Q72" s="214">
        <f t="shared" si="57"/>
        <v>10</v>
      </c>
      <c r="R72" s="214">
        <f t="shared" si="57"/>
        <v>10</v>
      </c>
      <c r="S72" s="214">
        <f t="shared" si="57"/>
        <v>10</v>
      </c>
      <c r="T72" s="214">
        <f t="shared" si="57"/>
        <v>10</v>
      </c>
      <c r="U72" s="214">
        <f t="shared" si="57"/>
        <v>10</v>
      </c>
      <c r="V72" s="214">
        <f t="shared" si="57"/>
        <v>10</v>
      </c>
      <c r="W72" s="214">
        <f t="shared" si="57"/>
        <v>10</v>
      </c>
      <c r="X72" s="214">
        <f t="shared" si="57"/>
        <v>10</v>
      </c>
      <c r="Y72" s="214">
        <f t="shared" si="57"/>
        <v>10</v>
      </c>
    </row>
    <row r="73">
      <c r="A73" s="211" t="s">
        <v>190</v>
      </c>
      <c r="B73" s="214" t="b">
        <f>AND('Sheet 1'!E98,'Sheet 1'!B41=Items!A204,B72=FALSE)</f>
        <v>0</v>
      </c>
      <c r="C73" s="213">
        <f>1+IF(B73,IF(C1="RANGED",0.15,1/6))</f>
        <v>1</v>
      </c>
      <c r="D73" s="214">
        <f t="shared" ref="D73:Y73" si="58">INT(D72*$C73)</f>
        <v>11</v>
      </c>
      <c r="E73" s="214">
        <f t="shared" si="58"/>
        <v>11</v>
      </c>
      <c r="F73" s="214">
        <f t="shared" si="58"/>
        <v>11</v>
      </c>
      <c r="G73" s="214">
        <f t="shared" si="58"/>
        <v>11</v>
      </c>
      <c r="H73" s="214">
        <f t="shared" si="58"/>
        <v>11</v>
      </c>
      <c r="I73" s="214">
        <f t="shared" si="58"/>
        <v>10</v>
      </c>
      <c r="J73" s="214">
        <f t="shared" si="58"/>
        <v>10</v>
      </c>
      <c r="K73" s="214">
        <f t="shared" si="58"/>
        <v>10</v>
      </c>
      <c r="L73" s="214">
        <f t="shared" si="58"/>
        <v>10</v>
      </c>
      <c r="M73" s="214">
        <f t="shared" si="58"/>
        <v>10</v>
      </c>
      <c r="N73" s="214">
        <f t="shared" si="58"/>
        <v>10</v>
      </c>
      <c r="O73" s="214">
        <f t="shared" si="58"/>
        <v>10</v>
      </c>
      <c r="P73" s="214">
        <f t="shared" si="58"/>
        <v>10</v>
      </c>
      <c r="Q73" s="214">
        <f t="shared" si="58"/>
        <v>10</v>
      </c>
      <c r="R73" s="214">
        <f t="shared" si="58"/>
        <v>10</v>
      </c>
      <c r="S73" s="214">
        <f t="shared" si="58"/>
        <v>10</v>
      </c>
      <c r="T73" s="214">
        <f t="shared" si="58"/>
        <v>10</v>
      </c>
      <c r="U73" s="214">
        <f t="shared" si="58"/>
        <v>10</v>
      </c>
      <c r="V73" s="214">
        <f t="shared" si="58"/>
        <v>10</v>
      </c>
      <c r="W73" s="214">
        <f t="shared" si="58"/>
        <v>10</v>
      </c>
      <c r="X73" s="214">
        <f t="shared" si="58"/>
        <v>10</v>
      </c>
      <c r="Y73" s="214">
        <f t="shared" si="58"/>
        <v>10</v>
      </c>
    </row>
    <row r="74">
      <c r="A74" s="211" t="str">
        <f>Items!A$11</f>
        <v>Arclight</v>
      </c>
      <c r="B74" s="214" t="b">
        <f>AND(IF(B$1="CHOOSE SPELL",FALSE,IF('Sheet 1'!B$38=A74,TRUE,FALSE)),'Sheet 1'!$D$75="DEMON")</f>
        <v>0</v>
      </c>
      <c r="C74" s="213">
        <f>IF(B74,1.7,1)</f>
        <v>1</v>
      </c>
      <c r="D74" s="214">
        <f t="shared" ref="D74:Y74" si="59">INT(D73*$C74)</f>
        <v>11</v>
      </c>
      <c r="E74" s="214">
        <f t="shared" si="59"/>
        <v>11</v>
      </c>
      <c r="F74" s="214">
        <f t="shared" si="59"/>
        <v>11</v>
      </c>
      <c r="G74" s="214">
        <f t="shared" si="59"/>
        <v>11</v>
      </c>
      <c r="H74" s="214">
        <f t="shared" si="59"/>
        <v>11</v>
      </c>
      <c r="I74" s="214">
        <f t="shared" si="59"/>
        <v>10</v>
      </c>
      <c r="J74" s="214">
        <f t="shared" si="59"/>
        <v>10</v>
      </c>
      <c r="K74" s="214">
        <f t="shared" si="59"/>
        <v>10</v>
      </c>
      <c r="L74" s="214">
        <f t="shared" si="59"/>
        <v>10</v>
      </c>
      <c r="M74" s="214">
        <f t="shared" si="59"/>
        <v>10</v>
      </c>
      <c r="N74" s="214">
        <f t="shared" si="59"/>
        <v>10</v>
      </c>
      <c r="O74" s="214">
        <f t="shared" si="59"/>
        <v>10</v>
      </c>
      <c r="P74" s="214">
        <f t="shared" si="59"/>
        <v>10</v>
      </c>
      <c r="Q74" s="214">
        <f t="shared" si="59"/>
        <v>10</v>
      </c>
      <c r="R74" s="214">
        <f t="shared" si="59"/>
        <v>10</v>
      </c>
      <c r="S74" s="214">
        <f t="shared" si="59"/>
        <v>10</v>
      </c>
      <c r="T74" s="214">
        <f t="shared" si="59"/>
        <v>10</v>
      </c>
      <c r="U74" s="214">
        <f t="shared" si="59"/>
        <v>10</v>
      </c>
      <c r="V74" s="214">
        <f t="shared" si="59"/>
        <v>10</v>
      </c>
      <c r="W74" s="214">
        <f t="shared" si="59"/>
        <v>10</v>
      </c>
      <c r="X74" s="214">
        <f t="shared" si="59"/>
        <v>10</v>
      </c>
      <c r="Y74" s="214">
        <f t="shared" si="59"/>
        <v>10</v>
      </c>
    </row>
    <row r="75">
      <c r="A75" s="211" t="str">
        <f>Items!A$55</f>
        <v>Leaf-bladed battleaxe</v>
      </c>
      <c r="B75" s="214" t="b">
        <f>AND(IF(B$1="CHOOSE SPELL",FALSE,IF('Sheet 1'!B$38=A75,TRUE,FALSE)),'Sheet 1'!$D$75="KURASK")</f>
        <v>0</v>
      </c>
      <c r="C75" s="213">
        <f>IF(B75,1.175,1)</f>
        <v>1</v>
      </c>
      <c r="D75" s="214">
        <f t="shared" ref="D75:Y75" si="60">INT(D74*$C75)</f>
        <v>11</v>
      </c>
      <c r="E75" s="214">
        <f t="shared" si="60"/>
        <v>11</v>
      </c>
      <c r="F75" s="214">
        <f t="shared" si="60"/>
        <v>11</v>
      </c>
      <c r="G75" s="214">
        <f t="shared" si="60"/>
        <v>11</v>
      </c>
      <c r="H75" s="214">
        <f t="shared" si="60"/>
        <v>11</v>
      </c>
      <c r="I75" s="214">
        <f t="shared" si="60"/>
        <v>10</v>
      </c>
      <c r="J75" s="214">
        <f t="shared" si="60"/>
        <v>10</v>
      </c>
      <c r="K75" s="214">
        <f t="shared" si="60"/>
        <v>10</v>
      </c>
      <c r="L75" s="214">
        <f t="shared" si="60"/>
        <v>10</v>
      </c>
      <c r="M75" s="214">
        <f t="shared" si="60"/>
        <v>10</v>
      </c>
      <c r="N75" s="214">
        <f t="shared" si="60"/>
        <v>10</v>
      </c>
      <c r="O75" s="214">
        <f t="shared" si="60"/>
        <v>10</v>
      </c>
      <c r="P75" s="214">
        <f t="shared" si="60"/>
        <v>10</v>
      </c>
      <c r="Q75" s="214">
        <f t="shared" si="60"/>
        <v>10</v>
      </c>
      <c r="R75" s="214">
        <f t="shared" si="60"/>
        <v>10</v>
      </c>
      <c r="S75" s="214">
        <f t="shared" si="60"/>
        <v>10</v>
      </c>
      <c r="T75" s="214">
        <f t="shared" si="60"/>
        <v>10</v>
      </c>
      <c r="U75" s="214">
        <f t="shared" si="60"/>
        <v>10</v>
      </c>
      <c r="V75" s="214">
        <f t="shared" si="60"/>
        <v>10</v>
      </c>
      <c r="W75" s="214">
        <f t="shared" si="60"/>
        <v>10</v>
      </c>
      <c r="X75" s="214">
        <f t="shared" si="60"/>
        <v>10</v>
      </c>
      <c r="Y75" s="214">
        <f t="shared" si="60"/>
        <v>10</v>
      </c>
    </row>
    <row r="76">
      <c r="A76" s="211" t="str">
        <f>Items!A$126</f>
        <v>Dragon hunter crossbow</v>
      </c>
      <c r="B76" s="214" t="b">
        <f>AND(IF(B$1="CHOOSE SPELL",FALSE,IF('Sheet 1'!B$38=A76,TRUE,FALSE)),OR('Sheet 1'!$D$75="VORKATH",'Sheet 1'!$D$75="DRAGON"))</f>
        <v>0</v>
      </c>
      <c r="C76" s="213">
        <f>IF(B76,1.3,1)</f>
        <v>1</v>
      </c>
      <c r="D76" s="214">
        <f t="shared" ref="D76:Y76" si="61">INT(D75*$C76)</f>
        <v>11</v>
      </c>
      <c r="E76" s="214">
        <f t="shared" si="61"/>
        <v>11</v>
      </c>
      <c r="F76" s="214">
        <f t="shared" si="61"/>
        <v>11</v>
      </c>
      <c r="G76" s="214">
        <f t="shared" si="61"/>
        <v>11</v>
      </c>
      <c r="H76" s="214">
        <f t="shared" si="61"/>
        <v>11</v>
      </c>
      <c r="I76" s="214">
        <f t="shared" si="61"/>
        <v>10</v>
      </c>
      <c r="J76" s="214">
        <f t="shared" si="61"/>
        <v>10</v>
      </c>
      <c r="K76" s="214">
        <f t="shared" si="61"/>
        <v>10</v>
      </c>
      <c r="L76" s="214">
        <f t="shared" si="61"/>
        <v>10</v>
      </c>
      <c r="M76" s="214">
        <f t="shared" si="61"/>
        <v>10</v>
      </c>
      <c r="N76" s="214">
        <f t="shared" si="61"/>
        <v>10</v>
      </c>
      <c r="O76" s="214">
        <f t="shared" si="61"/>
        <v>10</v>
      </c>
      <c r="P76" s="214">
        <f t="shared" si="61"/>
        <v>10</v>
      </c>
      <c r="Q76" s="214">
        <f t="shared" si="61"/>
        <v>10</v>
      </c>
      <c r="R76" s="214">
        <f t="shared" si="61"/>
        <v>10</v>
      </c>
      <c r="S76" s="214">
        <f t="shared" si="61"/>
        <v>10</v>
      </c>
      <c r="T76" s="214">
        <f t="shared" si="61"/>
        <v>10</v>
      </c>
      <c r="U76" s="214">
        <f t="shared" si="61"/>
        <v>10</v>
      </c>
      <c r="V76" s="214">
        <f t="shared" si="61"/>
        <v>10</v>
      </c>
      <c r="W76" s="214">
        <f t="shared" si="61"/>
        <v>10</v>
      </c>
      <c r="X76" s="214">
        <f t="shared" si="61"/>
        <v>10</v>
      </c>
      <c r="Y76" s="214">
        <f t="shared" si="61"/>
        <v>10</v>
      </c>
    </row>
    <row r="77">
      <c r="A77" s="211" t="str">
        <f>Items!A33</f>
        <v>Dragon hunter lance</v>
      </c>
      <c r="B77" s="214" t="b">
        <f>AND(IF(B$1="CHOOSE SPELL",FALSE,IF('Sheet 1'!B$38=A77,TRUE,FALSE)),OR('Sheet 1'!$D$75="VORKATH",'Sheet 1'!$D$75="DRAGON"))</f>
        <v>0</v>
      </c>
      <c r="C77" s="213">
        <f>IF(B77,1.2,1)</f>
        <v>1</v>
      </c>
      <c r="D77" s="214">
        <f t="shared" ref="D77:Y77" si="62">INT(D76*$C77)</f>
        <v>11</v>
      </c>
      <c r="E77" s="214">
        <f t="shared" si="62"/>
        <v>11</v>
      </c>
      <c r="F77" s="214">
        <f t="shared" si="62"/>
        <v>11</v>
      </c>
      <c r="G77" s="214">
        <f t="shared" si="62"/>
        <v>11</v>
      </c>
      <c r="H77" s="214">
        <f t="shared" si="62"/>
        <v>11</v>
      </c>
      <c r="I77" s="214">
        <f t="shared" si="62"/>
        <v>10</v>
      </c>
      <c r="J77" s="214">
        <f t="shared" si="62"/>
        <v>10</v>
      </c>
      <c r="K77" s="214">
        <f t="shared" si="62"/>
        <v>10</v>
      </c>
      <c r="L77" s="214">
        <f t="shared" si="62"/>
        <v>10</v>
      </c>
      <c r="M77" s="214">
        <f t="shared" si="62"/>
        <v>10</v>
      </c>
      <c r="N77" s="214">
        <f t="shared" si="62"/>
        <v>10</v>
      </c>
      <c r="O77" s="214">
        <f t="shared" si="62"/>
        <v>10</v>
      </c>
      <c r="P77" s="214">
        <f t="shared" si="62"/>
        <v>10</v>
      </c>
      <c r="Q77" s="214">
        <f t="shared" si="62"/>
        <v>10</v>
      </c>
      <c r="R77" s="214">
        <f t="shared" si="62"/>
        <v>10</v>
      </c>
      <c r="S77" s="214">
        <f t="shared" si="62"/>
        <v>10</v>
      </c>
      <c r="T77" s="214">
        <f t="shared" si="62"/>
        <v>10</v>
      </c>
      <c r="U77" s="214">
        <f t="shared" si="62"/>
        <v>10</v>
      </c>
      <c r="V77" s="214">
        <f t="shared" si="62"/>
        <v>10</v>
      </c>
      <c r="W77" s="214">
        <f t="shared" si="62"/>
        <v>10</v>
      </c>
      <c r="X77" s="214">
        <f t="shared" si="62"/>
        <v>10</v>
      </c>
      <c r="Y77" s="214">
        <f t="shared" si="62"/>
        <v>10</v>
      </c>
    </row>
    <row r="78">
      <c r="A78" s="211" t="s">
        <v>161</v>
      </c>
      <c r="B78" s="214" t="b">
        <f>AND(Input!AC12,OR('Sheet 1'!B38=Items!A101,'Sheet 1'!B38=Items!A121))</f>
        <v>0</v>
      </c>
      <c r="C78" s="213">
        <f>IF(B78,1.5,1)</f>
        <v>1</v>
      </c>
      <c r="D78" s="214">
        <f t="shared" ref="D78:Y78" si="63">INT(D77*$C78)</f>
        <v>11</v>
      </c>
      <c r="E78" s="214">
        <f t="shared" si="63"/>
        <v>11</v>
      </c>
      <c r="F78" s="214">
        <f t="shared" si="63"/>
        <v>11</v>
      </c>
      <c r="G78" s="214">
        <f t="shared" si="63"/>
        <v>11</v>
      </c>
      <c r="H78" s="214">
        <f t="shared" si="63"/>
        <v>11</v>
      </c>
      <c r="I78" s="214">
        <f t="shared" si="63"/>
        <v>10</v>
      </c>
      <c r="J78" s="214">
        <f t="shared" si="63"/>
        <v>10</v>
      </c>
      <c r="K78" s="214">
        <f t="shared" si="63"/>
        <v>10</v>
      </c>
      <c r="L78" s="214">
        <f t="shared" si="63"/>
        <v>10</v>
      </c>
      <c r="M78" s="214">
        <f t="shared" si="63"/>
        <v>10</v>
      </c>
      <c r="N78" s="214">
        <f t="shared" si="63"/>
        <v>10</v>
      </c>
      <c r="O78" s="214">
        <f t="shared" si="63"/>
        <v>10</v>
      </c>
      <c r="P78" s="214">
        <f t="shared" si="63"/>
        <v>10</v>
      </c>
      <c r="Q78" s="214">
        <f t="shared" si="63"/>
        <v>10</v>
      </c>
      <c r="R78" s="214">
        <f t="shared" si="63"/>
        <v>10</v>
      </c>
      <c r="S78" s="214">
        <f t="shared" si="63"/>
        <v>10</v>
      </c>
      <c r="T78" s="214">
        <f t="shared" si="63"/>
        <v>10</v>
      </c>
      <c r="U78" s="214">
        <f t="shared" si="63"/>
        <v>10</v>
      </c>
      <c r="V78" s="214">
        <f t="shared" si="63"/>
        <v>10</v>
      </c>
      <c r="W78" s="214">
        <f t="shared" si="63"/>
        <v>10</v>
      </c>
      <c r="X78" s="214">
        <f t="shared" si="63"/>
        <v>10</v>
      </c>
      <c r="Y78" s="214">
        <f t="shared" si="63"/>
        <v>10</v>
      </c>
    </row>
    <row r="79">
      <c r="A79" s="211" t="str">
        <f>Items!A$153</f>
        <v>Twisted bow</v>
      </c>
      <c r="B79" s="214" t="b">
        <f>IF(B$1="CHOOSE SPELL",FALSE,IF('Sheet 1'!B$38=A79,TRUE,FALSE))</f>
        <v>0</v>
      </c>
      <c r="C79" s="213">
        <f>IF(B79,MIN(250,250+TRUNC((3*MIN(IF('Sheet 1'!E75="RAIDS",MIN(350,MAX('Sheet 1'!$G$81,'Sheet 1'!$H$81)),250),MAX('Sheet 1'!$G$81,'Sheet 1'!$H$81))-14)/100)-TRUNC(((0.3*MIN(IF('Sheet 1'!E75="RAIDS",MIN(350,MAX('Sheet 1'!$G$81,'Sheet 1'!$H$81)),250),MAX('Sheet 1'!$G$81,'Sheet 1'!$H$81))-140)^2)/100))/100,1)</f>
        <v>1</v>
      </c>
      <c r="D79" s="214">
        <f t="shared" ref="D79:Y79" si="64">INT(D78*$C79)</f>
        <v>11</v>
      </c>
      <c r="E79" s="214">
        <f t="shared" si="64"/>
        <v>11</v>
      </c>
      <c r="F79" s="214">
        <f t="shared" si="64"/>
        <v>11</v>
      </c>
      <c r="G79" s="214">
        <f t="shared" si="64"/>
        <v>11</v>
      </c>
      <c r="H79" s="214">
        <f t="shared" si="64"/>
        <v>11</v>
      </c>
      <c r="I79" s="214">
        <f t="shared" si="64"/>
        <v>10</v>
      </c>
      <c r="J79" s="214">
        <f t="shared" si="64"/>
        <v>10</v>
      </c>
      <c r="K79" s="214">
        <f t="shared" si="64"/>
        <v>10</v>
      </c>
      <c r="L79" s="214">
        <f t="shared" si="64"/>
        <v>10</v>
      </c>
      <c r="M79" s="214">
        <f t="shared" si="64"/>
        <v>10</v>
      </c>
      <c r="N79" s="214">
        <f t="shared" si="64"/>
        <v>10</v>
      </c>
      <c r="O79" s="214">
        <f t="shared" si="64"/>
        <v>10</v>
      </c>
      <c r="P79" s="214">
        <f t="shared" si="64"/>
        <v>10</v>
      </c>
      <c r="Q79" s="214">
        <f t="shared" si="64"/>
        <v>10</v>
      </c>
      <c r="R79" s="214">
        <f t="shared" si="64"/>
        <v>10</v>
      </c>
      <c r="S79" s="214">
        <f t="shared" si="64"/>
        <v>10</v>
      </c>
      <c r="T79" s="214">
        <f t="shared" si="64"/>
        <v>10</v>
      </c>
      <c r="U79" s="214">
        <f t="shared" si="64"/>
        <v>10</v>
      </c>
      <c r="V79" s="214">
        <f t="shared" si="64"/>
        <v>10</v>
      </c>
      <c r="W79" s="214">
        <f t="shared" si="64"/>
        <v>10</v>
      </c>
      <c r="X79" s="214">
        <f t="shared" si="64"/>
        <v>10</v>
      </c>
      <c r="Y79" s="214">
        <f t="shared" si="64"/>
        <v>10</v>
      </c>
    </row>
    <row r="80">
      <c r="A80" s="211" t="s">
        <v>162</v>
      </c>
      <c r="B80" s="214" t="b">
        <f>AND('Sheet 1'!B41=Items!A205,'Sheet 1'!B44=Items!A295,'Sheet 1'!B45=Items!A339,OR('Sheet 1'!B38=Items!A61,'Sheet 1'!B38=Items!A71,'Sheet 1'!B38=Items!A60,'Sheet 1'!B38=Items!A59))</f>
        <v>0</v>
      </c>
      <c r="C80" s="213">
        <f>IF(B80,1.1,1)</f>
        <v>1</v>
      </c>
      <c r="D80" s="214">
        <f t="shared" ref="D80:Y80" si="65">INT(D79*$C80)</f>
        <v>11</v>
      </c>
      <c r="E80" s="214">
        <f t="shared" si="65"/>
        <v>11</v>
      </c>
      <c r="F80" s="214">
        <f t="shared" si="65"/>
        <v>11</v>
      </c>
      <c r="G80" s="214">
        <f t="shared" si="65"/>
        <v>11</v>
      </c>
      <c r="H80" s="214">
        <f t="shared" si="65"/>
        <v>11</v>
      </c>
      <c r="I80" s="214">
        <f t="shared" si="65"/>
        <v>10</v>
      </c>
      <c r="J80" s="214">
        <f t="shared" si="65"/>
        <v>10</v>
      </c>
      <c r="K80" s="214">
        <f t="shared" si="65"/>
        <v>10</v>
      </c>
      <c r="L80" s="214">
        <f t="shared" si="65"/>
        <v>10</v>
      </c>
      <c r="M80" s="214">
        <f t="shared" si="65"/>
        <v>10</v>
      </c>
      <c r="N80" s="214">
        <f t="shared" si="65"/>
        <v>10</v>
      </c>
      <c r="O80" s="214">
        <f t="shared" si="65"/>
        <v>10</v>
      </c>
      <c r="P80" s="214">
        <f t="shared" si="65"/>
        <v>10</v>
      </c>
      <c r="Q80" s="214">
        <f t="shared" si="65"/>
        <v>10</v>
      </c>
      <c r="R80" s="214">
        <f t="shared" si="65"/>
        <v>10</v>
      </c>
      <c r="S80" s="214">
        <f t="shared" si="65"/>
        <v>10</v>
      </c>
      <c r="T80" s="214">
        <f t="shared" si="65"/>
        <v>10</v>
      </c>
      <c r="U80" s="214">
        <f t="shared" si="65"/>
        <v>10</v>
      </c>
      <c r="V80" s="214">
        <f t="shared" si="65"/>
        <v>10</v>
      </c>
      <c r="W80" s="214">
        <f t="shared" si="65"/>
        <v>10</v>
      </c>
      <c r="X80" s="214">
        <f t="shared" si="65"/>
        <v>10</v>
      </c>
      <c r="Y80" s="214">
        <f t="shared" si="65"/>
        <v>10</v>
      </c>
    </row>
    <row r="81">
      <c r="A81" s="211" t="s">
        <v>191</v>
      </c>
      <c r="B81" s="214" t="b">
        <f>'Sheet 1'!B38=Items!A117</f>
        <v>0</v>
      </c>
      <c r="C81" s="213">
        <f>1+if(B81,if('Sheet 1'!B41=Items!A218,0.03,0)+if('Sheet 1'!B44=Items!A303,0.03,0)+if('Sheet 1'!B45=Items!A346,0.03,0)+if(and('Sheet 1'!B41=Items!A218,'Sheet 1'!B44=Items!A303,'Sheet 1'!B45=Items!A346),0.06,0),0)</f>
        <v>1</v>
      </c>
      <c r="D81" s="214">
        <f t="shared" ref="D81:Y81" si="66">int(D80*$C$81)</f>
        <v>11</v>
      </c>
      <c r="E81" s="214">
        <f t="shared" si="66"/>
        <v>11</v>
      </c>
      <c r="F81" s="214">
        <f t="shared" si="66"/>
        <v>11</v>
      </c>
      <c r="G81" s="214">
        <f t="shared" si="66"/>
        <v>11</v>
      </c>
      <c r="H81" s="214">
        <f t="shared" si="66"/>
        <v>11</v>
      </c>
      <c r="I81" s="214">
        <f t="shared" si="66"/>
        <v>10</v>
      </c>
      <c r="J81" s="214">
        <f t="shared" si="66"/>
        <v>10</v>
      </c>
      <c r="K81" s="214">
        <f t="shared" si="66"/>
        <v>10</v>
      </c>
      <c r="L81" s="214">
        <f t="shared" si="66"/>
        <v>10</v>
      </c>
      <c r="M81" s="214">
        <f t="shared" si="66"/>
        <v>10</v>
      </c>
      <c r="N81" s="214">
        <f t="shared" si="66"/>
        <v>10</v>
      </c>
      <c r="O81" s="214">
        <f t="shared" si="66"/>
        <v>10</v>
      </c>
      <c r="P81" s="214">
        <f t="shared" si="66"/>
        <v>10</v>
      </c>
      <c r="Q81" s="214">
        <f t="shared" si="66"/>
        <v>10</v>
      </c>
      <c r="R81" s="214">
        <f t="shared" si="66"/>
        <v>10</v>
      </c>
      <c r="S81" s="214">
        <f t="shared" si="66"/>
        <v>10</v>
      </c>
      <c r="T81" s="214">
        <f t="shared" si="66"/>
        <v>10</v>
      </c>
      <c r="U81" s="214">
        <f t="shared" si="66"/>
        <v>10</v>
      </c>
      <c r="V81" s="214">
        <f t="shared" si="66"/>
        <v>10</v>
      </c>
      <c r="W81" s="214">
        <f t="shared" si="66"/>
        <v>10</v>
      </c>
      <c r="X81" s="214">
        <f t="shared" si="66"/>
        <v>10</v>
      </c>
      <c r="Y81" s="214">
        <f t="shared" si="66"/>
        <v>10</v>
      </c>
    </row>
    <row r="82">
      <c r="A82" s="211" t="s">
        <v>164</v>
      </c>
      <c r="B82" s="214">
        <f>if(or(Input!AG13="",Input!AG13="Off (default)"),0,Input!AG13)</f>
        <v>0</v>
      </c>
      <c r="C82" s="215">
        <f>1+B82</f>
        <v>1</v>
      </c>
      <c r="D82" s="214">
        <f t="shared" ref="D82:Y82" si="67">int(D81*$C$82)</f>
        <v>11</v>
      </c>
      <c r="E82" s="214">
        <f t="shared" si="67"/>
        <v>11</v>
      </c>
      <c r="F82" s="214">
        <f t="shared" si="67"/>
        <v>11</v>
      </c>
      <c r="G82" s="214">
        <f t="shared" si="67"/>
        <v>11</v>
      </c>
      <c r="H82" s="214">
        <f t="shared" si="67"/>
        <v>11</v>
      </c>
      <c r="I82" s="214">
        <f t="shared" si="67"/>
        <v>10</v>
      </c>
      <c r="J82" s="214">
        <f t="shared" si="67"/>
        <v>10</v>
      </c>
      <c r="K82" s="214">
        <f t="shared" si="67"/>
        <v>10</v>
      </c>
      <c r="L82" s="214">
        <f t="shared" si="67"/>
        <v>10</v>
      </c>
      <c r="M82" s="214">
        <f t="shared" si="67"/>
        <v>10</v>
      </c>
      <c r="N82" s="214">
        <f t="shared" si="67"/>
        <v>10</v>
      </c>
      <c r="O82" s="214">
        <f t="shared" si="67"/>
        <v>10</v>
      </c>
      <c r="P82" s="214">
        <f t="shared" si="67"/>
        <v>10</v>
      </c>
      <c r="Q82" s="214">
        <f t="shared" si="67"/>
        <v>10</v>
      </c>
      <c r="R82" s="214">
        <f t="shared" si="67"/>
        <v>10</v>
      </c>
      <c r="S82" s="214">
        <f t="shared" si="67"/>
        <v>10</v>
      </c>
      <c r="T82" s="214">
        <f t="shared" si="67"/>
        <v>10</v>
      </c>
      <c r="U82" s="214">
        <f t="shared" si="67"/>
        <v>10</v>
      </c>
      <c r="V82" s="214">
        <f t="shared" si="67"/>
        <v>10</v>
      </c>
      <c r="W82" s="214">
        <f t="shared" si="67"/>
        <v>10</v>
      </c>
      <c r="X82" s="214">
        <f t="shared" si="67"/>
        <v>10</v>
      </c>
      <c r="Y82" s="214">
        <f t="shared" si="67"/>
        <v>10</v>
      </c>
    </row>
    <row r="83">
      <c r="A83" s="211" t="s">
        <v>166</v>
      </c>
      <c r="B83" s="214" t="b">
        <f>C1="crush"</f>
        <v>0</v>
      </c>
      <c r="C83" s="213">
        <f>1 + if(B21=true,if('Sheet 1'!B41=Items!A193,0.005,0) + if('Sheet 1'!B44=Items!A286,0.005,0) + if('Sheet 1'!B45=Items!A331,0.005,0) + if(and('Sheet 1'!B41=Items!A193,'Sheet 1'!B44=Items!A286,'Sheet 1'!B45=Items!A331),0.01,0),0)</f>
        <v>1</v>
      </c>
      <c r="D83" s="214">
        <f t="shared" ref="D83:Y83" si="68">int(D82*$C$83)</f>
        <v>11</v>
      </c>
      <c r="E83" s="214">
        <f t="shared" si="68"/>
        <v>11</v>
      </c>
      <c r="F83" s="214">
        <f t="shared" si="68"/>
        <v>11</v>
      </c>
      <c r="G83" s="214">
        <f t="shared" si="68"/>
        <v>11</v>
      </c>
      <c r="H83" s="214">
        <f t="shared" si="68"/>
        <v>11</v>
      </c>
      <c r="I83" s="214">
        <f t="shared" si="68"/>
        <v>10</v>
      </c>
      <c r="J83" s="214">
        <f t="shared" si="68"/>
        <v>10</v>
      </c>
      <c r="K83" s="214">
        <f t="shared" si="68"/>
        <v>10</v>
      </c>
      <c r="L83" s="214">
        <f t="shared" si="68"/>
        <v>10</v>
      </c>
      <c r="M83" s="214">
        <f t="shared" si="68"/>
        <v>10</v>
      </c>
      <c r="N83" s="214">
        <f t="shared" si="68"/>
        <v>10</v>
      </c>
      <c r="O83" s="214">
        <f t="shared" si="68"/>
        <v>10</v>
      </c>
      <c r="P83" s="214">
        <f t="shared" si="68"/>
        <v>10</v>
      </c>
      <c r="Q83" s="214">
        <f t="shared" si="68"/>
        <v>10</v>
      </c>
      <c r="R83" s="214">
        <f t="shared" si="68"/>
        <v>10</v>
      </c>
      <c r="S83" s="214">
        <f t="shared" si="68"/>
        <v>10</v>
      </c>
      <c r="T83" s="214">
        <f t="shared" si="68"/>
        <v>10</v>
      </c>
      <c r="U83" s="214">
        <f t="shared" si="68"/>
        <v>10</v>
      </c>
      <c r="V83" s="214">
        <f t="shared" si="68"/>
        <v>10</v>
      </c>
      <c r="W83" s="214">
        <f t="shared" si="68"/>
        <v>10</v>
      </c>
      <c r="X83" s="214">
        <f t="shared" si="68"/>
        <v>10</v>
      </c>
      <c r="Y83" s="214">
        <f t="shared" si="68"/>
        <v>10</v>
      </c>
    </row>
    <row r="84">
      <c r="A84" s="211" t="s">
        <v>58</v>
      </c>
      <c r="B84" s="214"/>
      <c r="C84" s="213">
        <f>C113</f>
        <v>1</v>
      </c>
      <c r="D84" s="214">
        <f t="shared" ref="D84:Y84" si="69">INT(D83*$C84)</f>
        <v>11</v>
      </c>
      <c r="E84" s="214">
        <f t="shared" si="69"/>
        <v>11</v>
      </c>
      <c r="F84" s="214">
        <f t="shared" si="69"/>
        <v>11</v>
      </c>
      <c r="G84" s="214">
        <f t="shared" si="69"/>
        <v>11</v>
      </c>
      <c r="H84" s="214">
        <f t="shared" si="69"/>
        <v>11</v>
      </c>
      <c r="I84" s="214">
        <f t="shared" si="69"/>
        <v>10</v>
      </c>
      <c r="J84" s="214">
        <f t="shared" si="69"/>
        <v>10</v>
      </c>
      <c r="K84" s="214">
        <f t="shared" si="69"/>
        <v>10</v>
      </c>
      <c r="L84" s="214">
        <f t="shared" si="69"/>
        <v>10</v>
      </c>
      <c r="M84" s="214">
        <f t="shared" si="69"/>
        <v>10</v>
      </c>
      <c r="N84" s="214">
        <f t="shared" si="69"/>
        <v>10</v>
      </c>
      <c r="O84" s="214">
        <f t="shared" si="69"/>
        <v>10</v>
      </c>
      <c r="P84" s="214">
        <f t="shared" si="69"/>
        <v>10</v>
      </c>
      <c r="Q84" s="214">
        <f t="shared" si="69"/>
        <v>10</v>
      </c>
      <c r="R84" s="214">
        <f t="shared" si="69"/>
        <v>10</v>
      </c>
      <c r="S84" s="214">
        <f t="shared" si="69"/>
        <v>10</v>
      </c>
      <c r="T84" s="214">
        <f t="shared" si="69"/>
        <v>10</v>
      </c>
      <c r="U84" s="214">
        <f t="shared" si="69"/>
        <v>10</v>
      </c>
      <c r="V84" s="214">
        <f t="shared" si="69"/>
        <v>10</v>
      </c>
      <c r="W84" s="214">
        <f t="shared" si="69"/>
        <v>10</v>
      </c>
      <c r="X84" s="214">
        <f t="shared" si="69"/>
        <v>10</v>
      </c>
      <c r="Y84" s="214">
        <f t="shared" si="69"/>
        <v>10</v>
      </c>
    </row>
    <row r="85">
      <c r="A85" s="211" t="str">
        <f>Items!Q1</f>
        <v>Special damage 1</v>
      </c>
      <c r="B85" s="214"/>
      <c r="C85" s="212">
        <f t="array" ref="C85">1+INDEX(Items!$A$1:$V$698,MATCH('Sheet 1'!B38,Items!$A$1:$A$698,0),MATCH(A85,Items!$A$1:$V$1,0))</f>
        <v>1</v>
      </c>
      <c r="D85" s="214">
        <f t="shared" ref="D85:Y85" si="70">INT(D84*$C85)</f>
        <v>11</v>
      </c>
      <c r="E85" s="214">
        <f t="shared" si="70"/>
        <v>11</v>
      </c>
      <c r="F85" s="214">
        <f t="shared" si="70"/>
        <v>11</v>
      </c>
      <c r="G85" s="214">
        <f t="shared" si="70"/>
        <v>11</v>
      </c>
      <c r="H85" s="214">
        <f t="shared" si="70"/>
        <v>11</v>
      </c>
      <c r="I85" s="214">
        <f t="shared" si="70"/>
        <v>10</v>
      </c>
      <c r="J85" s="214">
        <f t="shared" si="70"/>
        <v>10</v>
      </c>
      <c r="K85" s="214">
        <f t="shared" si="70"/>
        <v>10</v>
      </c>
      <c r="L85" s="214">
        <f t="shared" si="70"/>
        <v>10</v>
      </c>
      <c r="M85" s="214">
        <f t="shared" si="70"/>
        <v>10</v>
      </c>
      <c r="N85" s="214">
        <f t="shared" si="70"/>
        <v>10</v>
      </c>
      <c r="O85" s="214">
        <f t="shared" si="70"/>
        <v>10</v>
      </c>
      <c r="P85" s="214">
        <f t="shared" si="70"/>
        <v>10</v>
      </c>
      <c r="Q85" s="214">
        <f t="shared" si="70"/>
        <v>10</v>
      </c>
      <c r="R85" s="214">
        <f t="shared" si="70"/>
        <v>10</v>
      </c>
      <c r="S85" s="214">
        <f t="shared" si="70"/>
        <v>10</v>
      </c>
      <c r="T85" s="214">
        <f t="shared" si="70"/>
        <v>10</v>
      </c>
      <c r="U85" s="214">
        <f t="shared" si="70"/>
        <v>10</v>
      </c>
      <c r="V85" s="214">
        <f t="shared" si="70"/>
        <v>10</v>
      </c>
      <c r="W85" s="214">
        <f t="shared" si="70"/>
        <v>10</v>
      </c>
      <c r="X85" s="214">
        <f t="shared" si="70"/>
        <v>10</v>
      </c>
      <c r="Y85" s="214">
        <f t="shared" si="70"/>
        <v>10</v>
      </c>
    </row>
    <row r="86">
      <c r="A86" s="211" t="str">
        <f>Items!R1</f>
        <v>Special damage 2</v>
      </c>
      <c r="B86" s="214"/>
      <c r="C86" s="213">
        <f t="array" ref="C86">1+INDEX(Items!$A$1:$V$698,MATCH('Sheet 1'!B38,Items!$A$1:$A$698,0),MATCH(A86,Items!$A$1:$V$1,0))</f>
        <v>1</v>
      </c>
      <c r="D86" s="214">
        <f t="shared" ref="D86:Y86" si="71">INT(D85*$C86)</f>
        <v>11</v>
      </c>
      <c r="E86" s="214">
        <f t="shared" si="71"/>
        <v>11</v>
      </c>
      <c r="F86" s="214">
        <f t="shared" si="71"/>
        <v>11</v>
      </c>
      <c r="G86" s="214">
        <f t="shared" si="71"/>
        <v>11</v>
      </c>
      <c r="H86" s="214">
        <f t="shared" si="71"/>
        <v>11</v>
      </c>
      <c r="I86" s="214">
        <f t="shared" si="71"/>
        <v>10</v>
      </c>
      <c r="J86" s="214">
        <f t="shared" si="71"/>
        <v>10</v>
      </c>
      <c r="K86" s="214">
        <f t="shared" si="71"/>
        <v>10</v>
      </c>
      <c r="L86" s="214">
        <f t="shared" si="71"/>
        <v>10</v>
      </c>
      <c r="M86" s="214">
        <f t="shared" si="71"/>
        <v>10</v>
      </c>
      <c r="N86" s="214">
        <f t="shared" si="71"/>
        <v>10</v>
      </c>
      <c r="O86" s="214">
        <f t="shared" si="71"/>
        <v>10</v>
      </c>
      <c r="P86" s="214">
        <f t="shared" si="71"/>
        <v>10</v>
      </c>
      <c r="Q86" s="214">
        <f t="shared" si="71"/>
        <v>10</v>
      </c>
      <c r="R86" s="214">
        <f t="shared" si="71"/>
        <v>10</v>
      </c>
      <c r="S86" s="214">
        <f t="shared" si="71"/>
        <v>10</v>
      </c>
      <c r="T86" s="214">
        <f t="shared" si="71"/>
        <v>10</v>
      </c>
      <c r="U86" s="214">
        <f t="shared" si="71"/>
        <v>10</v>
      </c>
      <c r="V86" s="214">
        <f t="shared" si="71"/>
        <v>10</v>
      </c>
      <c r="W86" s="214">
        <f t="shared" si="71"/>
        <v>10</v>
      </c>
      <c r="X86" s="214">
        <f t="shared" si="71"/>
        <v>10</v>
      </c>
      <c r="Y86" s="214">
        <f t="shared" si="71"/>
        <v>10</v>
      </c>
    </row>
    <row r="87">
      <c r="A87" s="211" t="s">
        <v>192</v>
      </c>
      <c r="B87" s="214" t="b">
        <f>AND('Sheet 1'!B43=Items!A275,OR('Sheet 1'!B38=Items!A61,'Sheet 1'!B38=Items!A71,'Sheet 1'!B38=Items!A60,'Sheet 1'!B38=Items!A59))</f>
        <v>0</v>
      </c>
      <c r="C87" s="213">
        <f>1+IF(B87,0.2,0)</f>
        <v>1</v>
      </c>
      <c r="D87" s="214">
        <f t="shared" ref="D87:D89" si="73">INT(D$84*$C87)</f>
        <v>11</v>
      </c>
      <c r="E87" s="214">
        <f t="shared" ref="E87:Y87" si="72">INT(E84*$C87)</f>
        <v>11</v>
      </c>
      <c r="F87" s="214">
        <f t="shared" si="72"/>
        <v>11</v>
      </c>
      <c r="G87" s="214">
        <f t="shared" si="72"/>
        <v>11</v>
      </c>
      <c r="H87" s="214">
        <f t="shared" si="72"/>
        <v>11</v>
      </c>
      <c r="I87" s="214">
        <f t="shared" si="72"/>
        <v>10</v>
      </c>
      <c r="J87" s="214">
        <f t="shared" si="72"/>
        <v>10</v>
      </c>
      <c r="K87" s="214">
        <f t="shared" si="72"/>
        <v>10</v>
      </c>
      <c r="L87" s="214">
        <f t="shared" si="72"/>
        <v>10</v>
      </c>
      <c r="M87" s="214">
        <f t="shared" si="72"/>
        <v>10</v>
      </c>
      <c r="N87" s="214">
        <f t="shared" si="72"/>
        <v>10</v>
      </c>
      <c r="O87" s="214">
        <f t="shared" si="72"/>
        <v>10</v>
      </c>
      <c r="P87" s="214">
        <f t="shared" si="72"/>
        <v>10</v>
      </c>
      <c r="Q87" s="214">
        <f t="shared" si="72"/>
        <v>10</v>
      </c>
      <c r="R87" s="214">
        <f t="shared" si="72"/>
        <v>10</v>
      </c>
      <c r="S87" s="214">
        <f t="shared" si="72"/>
        <v>10</v>
      </c>
      <c r="T87" s="214">
        <f t="shared" si="72"/>
        <v>10</v>
      </c>
      <c r="U87" s="214">
        <f t="shared" si="72"/>
        <v>10</v>
      </c>
      <c r="V87" s="214">
        <f t="shared" si="72"/>
        <v>10</v>
      </c>
      <c r="W87" s="214">
        <f t="shared" si="72"/>
        <v>10</v>
      </c>
      <c r="X87" s="214">
        <f t="shared" si="72"/>
        <v>10</v>
      </c>
      <c r="Y87" s="214">
        <f t="shared" si="72"/>
        <v>10</v>
      </c>
    </row>
    <row r="88">
      <c r="A88" s="211" t="s">
        <v>193</v>
      </c>
      <c r="B88" s="214" t="b">
        <f>'Sheet 1'!B38=Items!A24</f>
        <v>0</v>
      </c>
      <c r="C88" s="213">
        <f>1+IF(B88,0.6,0)</f>
        <v>1</v>
      </c>
      <c r="D88" s="214">
        <f t="shared" si="73"/>
        <v>11</v>
      </c>
      <c r="E88" s="214">
        <f t="shared" ref="E88:Y88" si="74">INT(E$84*$C88)</f>
        <v>11</v>
      </c>
      <c r="F88" s="214">
        <f t="shared" si="74"/>
        <v>11</v>
      </c>
      <c r="G88" s="214">
        <f t="shared" si="74"/>
        <v>11</v>
      </c>
      <c r="H88" s="214">
        <f t="shared" si="74"/>
        <v>11</v>
      </c>
      <c r="I88" s="214">
        <f t="shared" si="74"/>
        <v>10</v>
      </c>
      <c r="J88" s="214">
        <f t="shared" si="74"/>
        <v>10</v>
      </c>
      <c r="K88" s="214">
        <f t="shared" si="74"/>
        <v>10</v>
      </c>
      <c r="L88" s="214">
        <f t="shared" si="74"/>
        <v>10</v>
      </c>
      <c r="M88" s="214">
        <f t="shared" si="74"/>
        <v>10</v>
      </c>
      <c r="N88" s="214">
        <f t="shared" si="74"/>
        <v>10</v>
      </c>
      <c r="O88" s="214">
        <f t="shared" si="74"/>
        <v>10</v>
      </c>
      <c r="P88" s="214">
        <f t="shared" si="74"/>
        <v>10</v>
      </c>
      <c r="Q88" s="214">
        <f t="shared" si="74"/>
        <v>10</v>
      </c>
      <c r="R88" s="214">
        <f t="shared" si="74"/>
        <v>10</v>
      </c>
      <c r="S88" s="214">
        <f t="shared" si="74"/>
        <v>10</v>
      </c>
      <c r="T88" s="214">
        <f t="shared" si="74"/>
        <v>10</v>
      </c>
      <c r="U88" s="214">
        <f t="shared" si="74"/>
        <v>10</v>
      </c>
      <c r="V88" s="214">
        <f t="shared" si="74"/>
        <v>10</v>
      </c>
      <c r="W88" s="214">
        <f t="shared" si="74"/>
        <v>10</v>
      </c>
      <c r="X88" s="214">
        <f t="shared" si="74"/>
        <v>10</v>
      </c>
      <c r="Y88" s="214">
        <f t="shared" si="74"/>
        <v>10</v>
      </c>
    </row>
    <row r="89">
      <c r="A89" s="211" t="s">
        <v>194</v>
      </c>
      <c r="B89" s="214" t="b">
        <f>AND('Sheet 1'!B38=Items!A25,'Sheet 1'!B41=Items!A194,'Sheet 1'!B44=Items!A292,'Sheet 1'!B45=Items!A336)</f>
        <v>0</v>
      </c>
      <c r="C89" s="213">
        <f>1+IF(B89,('Sheet 1'!D12-'Sheet 1'!E96)/100*'Sheet 1'!D12/100,0)</f>
        <v>1</v>
      </c>
      <c r="D89" s="214">
        <f t="shared" si="73"/>
        <v>11</v>
      </c>
      <c r="E89" s="214">
        <f t="shared" ref="E89:Y89" si="75">INT(E$84*$C89)</f>
        <v>11</v>
      </c>
      <c r="F89" s="214">
        <f t="shared" si="75"/>
        <v>11</v>
      </c>
      <c r="G89" s="214">
        <f t="shared" si="75"/>
        <v>11</v>
      </c>
      <c r="H89" s="214">
        <f t="shared" si="75"/>
        <v>11</v>
      </c>
      <c r="I89" s="214">
        <f t="shared" si="75"/>
        <v>10</v>
      </c>
      <c r="J89" s="214">
        <f t="shared" si="75"/>
        <v>10</v>
      </c>
      <c r="K89" s="214">
        <f t="shared" si="75"/>
        <v>10</v>
      </c>
      <c r="L89" s="214">
        <f t="shared" si="75"/>
        <v>10</v>
      </c>
      <c r="M89" s="214">
        <f t="shared" si="75"/>
        <v>10</v>
      </c>
      <c r="N89" s="214">
        <f t="shared" si="75"/>
        <v>10</v>
      </c>
      <c r="O89" s="214">
        <f t="shared" si="75"/>
        <v>10</v>
      </c>
      <c r="P89" s="214">
        <f t="shared" si="75"/>
        <v>10</v>
      </c>
      <c r="Q89" s="214">
        <f t="shared" si="75"/>
        <v>10</v>
      </c>
      <c r="R89" s="214">
        <f t="shared" si="75"/>
        <v>10</v>
      </c>
      <c r="S89" s="214">
        <f t="shared" si="75"/>
        <v>10</v>
      </c>
      <c r="T89" s="214">
        <f t="shared" si="75"/>
        <v>10</v>
      </c>
      <c r="U89" s="214">
        <f t="shared" si="75"/>
        <v>10</v>
      </c>
      <c r="V89" s="214">
        <f t="shared" si="75"/>
        <v>10</v>
      </c>
      <c r="W89" s="214">
        <f t="shared" si="75"/>
        <v>10</v>
      </c>
      <c r="X89" s="214">
        <f t="shared" si="75"/>
        <v>10</v>
      </c>
      <c r="Y89" s="214">
        <f t="shared" si="75"/>
        <v>10</v>
      </c>
    </row>
    <row r="90">
      <c r="A90" s="211" t="s">
        <v>195</v>
      </c>
      <c r="B90" s="214" t="b">
        <f>and('Sheet 1'!D75=A90,or('Sheet 1'!B38=Items!A64,'Sheet 1'!B38=Items!A65,'Sheet 1'!B38=Items!A66,'Sheet 1'!B38=Items!A67,'Sheet 1'!B38=Items!A68,'Sheet 1'!B38=Items!A69,'Sheet 1'!B38=Items!A70,'Sheet 1'!B38=Items!A71,'Sheet 1'!B38=Items!A62))</f>
        <v>0</v>
      </c>
      <c r="C90" s="213">
        <f>IF(B90,(50+MIN(100,'Sheet 1'!M14)+vlookup('Sheet 1'!B38,Items!A:W,23,false))/150,1)</f>
        <v>1</v>
      </c>
      <c r="D90" s="214">
        <f t="shared" ref="D90:Y90" si="76">INT(D89*$C90)</f>
        <v>11</v>
      </c>
      <c r="E90" s="214">
        <f t="shared" si="76"/>
        <v>11</v>
      </c>
      <c r="F90" s="214">
        <f t="shared" si="76"/>
        <v>11</v>
      </c>
      <c r="G90" s="214">
        <f t="shared" si="76"/>
        <v>11</v>
      </c>
      <c r="H90" s="214">
        <f t="shared" si="76"/>
        <v>11</v>
      </c>
      <c r="I90" s="214">
        <f t="shared" si="76"/>
        <v>10</v>
      </c>
      <c r="J90" s="214">
        <f t="shared" si="76"/>
        <v>10</v>
      </c>
      <c r="K90" s="214">
        <f t="shared" si="76"/>
        <v>10</v>
      </c>
      <c r="L90" s="214">
        <f t="shared" si="76"/>
        <v>10</v>
      </c>
      <c r="M90" s="214">
        <f t="shared" si="76"/>
        <v>10</v>
      </c>
      <c r="N90" s="214">
        <f t="shared" si="76"/>
        <v>10</v>
      </c>
      <c r="O90" s="214">
        <f t="shared" si="76"/>
        <v>10</v>
      </c>
      <c r="P90" s="214">
        <f t="shared" si="76"/>
        <v>10</v>
      </c>
      <c r="Q90" s="214">
        <f t="shared" si="76"/>
        <v>10</v>
      </c>
      <c r="R90" s="214">
        <f t="shared" si="76"/>
        <v>10</v>
      </c>
      <c r="S90" s="214">
        <f t="shared" si="76"/>
        <v>10</v>
      </c>
      <c r="T90" s="214">
        <f t="shared" si="76"/>
        <v>10</v>
      </c>
      <c r="U90" s="214">
        <f t="shared" si="76"/>
        <v>10</v>
      </c>
      <c r="V90" s="214">
        <f t="shared" si="76"/>
        <v>10</v>
      </c>
      <c r="W90" s="214">
        <f t="shared" si="76"/>
        <v>10</v>
      </c>
      <c r="X90" s="214">
        <f t="shared" si="76"/>
        <v>10</v>
      </c>
      <c r="Y90" s="214">
        <f t="shared" si="76"/>
        <v>10</v>
      </c>
    </row>
    <row r="91">
      <c r="A91" s="211" t="s">
        <v>196</v>
      </c>
      <c r="B91" s="214" t="b">
        <f>'Sheet 1'!B38=Items!A43</f>
        <v>0</v>
      </c>
      <c r="C91" s="213">
        <f>1+IF(B91,0.25,0)</f>
        <v>1</v>
      </c>
      <c r="D91" s="214">
        <f t="shared" ref="D91:Y91" si="77">INT(D$84*$C91)</f>
        <v>11</v>
      </c>
      <c r="E91" s="214">
        <f t="shared" si="77"/>
        <v>11</v>
      </c>
      <c r="F91" s="214">
        <f t="shared" si="77"/>
        <v>11</v>
      </c>
      <c r="G91" s="214">
        <f t="shared" si="77"/>
        <v>11</v>
      </c>
      <c r="H91" s="214">
        <f t="shared" si="77"/>
        <v>11</v>
      </c>
      <c r="I91" s="214">
        <f t="shared" si="77"/>
        <v>10</v>
      </c>
      <c r="J91" s="214">
        <f t="shared" si="77"/>
        <v>10</v>
      </c>
      <c r="K91" s="214">
        <f t="shared" si="77"/>
        <v>10</v>
      </c>
      <c r="L91" s="214">
        <f t="shared" si="77"/>
        <v>10</v>
      </c>
      <c r="M91" s="214">
        <f t="shared" si="77"/>
        <v>10</v>
      </c>
      <c r="N91" s="214">
        <f t="shared" si="77"/>
        <v>10</v>
      </c>
      <c r="O91" s="214">
        <f t="shared" si="77"/>
        <v>10</v>
      </c>
      <c r="P91" s="214">
        <f t="shared" si="77"/>
        <v>10</v>
      </c>
      <c r="Q91" s="214">
        <f t="shared" si="77"/>
        <v>10</v>
      </c>
      <c r="R91" s="214">
        <f t="shared" si="77"/>
        <v>10</v>
      </c>
      <c r="S91" s="214">
        <f t="shared" si="77"/>
        <v>10</v>
      </c>
      <c r="T91" s="214">
        <f t="shared" si="77"/>
        <v>10</v>
      </c>
      <c r="U91" s="214">
        <f t="shared" si="77"/>
        <v>10</v>
      </c>
      <c r="V91" s="214">
        <f t="shared" si="77"/>
        <v>10</v>
      </c>
      <c r="W91" s="214">
        <f t="shared" si="77"/>
        <v>10</v>
      </c>
      <c r="X91" s="214">
        <f t="shared" si="77"/>
        <v>10</v>
      </c>
      <c r="Y91" s="214">
        <f t="shared" si="77"/>
        <v>10</v>
      </c>
    </row>
    <row r="92">
      <c r="A92" s="211" t="s">
        <v>197</v>
      </c>
      <c r="B92" s="214" t="b">
        <f>AND('Sheet 1'!B38=Items!A52,'Sheet 1'!$D$75="KALPHITE")</f>
        <v>0</v>
      </c>
      <c r="C92" s="213">
        <f>1+IF(B92,1/3,0)</f>
        <v>1</v>
      </c>
      <c r="D92" s="214">
        <f t="shared" ref="D92:Y92" si="78">INT(D$84*$C92)</f>
        <v>11</v>
      </c>
      <c r="E92" s="214">
        <f t="shared" si="78"/>
        <v>11</v>
      </c>
      <c r="F92" s="214">
        <f t="shared" si="78"/>
        <v>11</v>
      </c>
      <c r="G92" s="214">
        <f t="shared" si="78"/>
        <v>11</v>
      </c>
      <c r="H92" s="214">
        <f t="shared" si="78"/>
        <v>11</v>
      </c>
      <c r="I92" s="214">
        <f t="shared" si="78"/>
        <v>10</v>
      </c>
      <c r="J92" s="214">
        <f t="shared" si="78"/>
        <v>10</v>
      </c>
      <c r="K92" s="214">
        <f t="shared" si="78"/>
        <v>10</v>
      </c>
      <c r="L92" s="214">
        <f t="shared" si="78"/>
        <v>10</v>
      </c>
      <c r="M92" s="214">
        <f t="shared" si="78"/>
        <v>10</v>
      </c>
      <c r="N92" s="214">
        <f t="shared" si="78"/>
        <v>10</v>
      </c>
      <c r="O92" s="214">
        <f t="shared" si="78"/>
        <v>10</v>
      </c>
      <c r="P92" s="214">
        <f t="shared" si="78"/>
        <v>10</v>
      </c>
      <c r="Q92" s="214">
        <f t="shared" si="78"/>
        <v>10</v>
      </c>
      <c r="R92" s="214">
        <f t="shared" si="78"/>
        <v>10</v>
      </c>
      <c r="S92" s="214">
        <f t="shared" si="78"/>
        <v>10</v>
      </c>
      <c r="T92" s="214">
        <f t="shared" si="78"/>
        <v>10</v>
      </c>
      <c r="U92" s="214">
        <f t="shared" si="78"/>
        <v>10</v>
      </c>
      <c r="V92" s="214">
        <f t="shared" si="78"/>
        <v>10</v>
      </c>
      <c r="W92" s="214">
        <f t="shared" si="78"/>
        <v>10</v>
      </c>
      <c r="X92" s="214">
        <f t="shared" si="78"/>
        <v>10</v>
      </c>
      <c r="Y92" s="214">
        <f t="shared" si="78"/>
        <v>10</v>
      </c>
    </row>
    <row r="93">
      <c r="A93" s="211" t="s">
        <v>198</v>
      </c>
      <c r="B93" s="214" t="b">
        <f>'Sheet 1'!B38=Items!A43</f>
        <v>0</v>
      </c>
      <c r="C93" s="213">
        <f>1+IF(B93,1,0)</f>
        <v>1</v>
      </c>
      <c r="D93" s="214">
        <f t="shared" ref="D93:Y93" si="79">INT(D$84*$C93)</f>
        <v>11</v>
      </c>
      <c r="E93" s="214">
        <f t="shared" si="79"/>
        <v>11</v>
      </c>
      <c r="F93" s="214">
        <f t="shared" si="79"/>
        <v>11</v>
      </c>
      <c r="G93" s="214">
        <f t="shared" si="79"/>
        <v>11</v>
      </c>
      <c r="H93" s="214">
        <f t="shared" si="79"/>
        <v>11</v>
      </c>
      <c r="I93" s="214">
        <f t="shared" si="79"/>
        <v>10</v>
      </c>
      <c r="J93" s="214">
        <f t="shared" si="79"/>
        <v>10</v>
      </c>
      <c r="K93" s="214">
        <f t="shared" si="79"/>
        <v>10</v>
      </c>
      <c r="L93" s="214">
        <f t="shared" si="79"/>
        <v>10</v>
      </c>
      <c r="M93" s="214">
        <f t="shared" si="79"/>
        <v>10</v>
      </c>
      <c r="N93" s="214">
        <f t="shared" si="79"/>
        <v>10</v>
      </c>
      <c r="O93" s="214">
        <f t="shared" si="79"/>
        <v>10</v>
      </c>
      <c r="P93" s="214">
        <f t="shared" si="79"/>
        <v>10</v>
      </c>
      <c r="Q93" s="214">
        <f t="shared" si="79"/>
        <v>10</v>
      </c>
      <c r="R93" s="214">
        <f t="shared" si="79"/>
        <v>10</v>
      </c>
      <c r="S93" s="214">
        <f t="shared" si="79"/>
        <v>10</v>
      </c>
      <c r="T93" s="214">
        <f t="shared" si="79"/>
        <v>10</v>
      </c>
      <c r="U93" s="214">
        <f t="shared" si="79"/>
        <v>10</v>
      </c>
      <c r="V93" s="214">
        <f t="shared" si="79"/>
        <v>10</v>
      </c>
      <c r="W93" s="214">
        <f t="shared" si="79"/>
        <v>10</v>
      </c>
      <c r="X93" s="214">
        <f t="shared" si="79"/>
        <v>10</v>
      </c>
      <c r="Y93" s="214">
        <f t="shared" si="79"/>
        <v>10</v>
      </c>
    </row>
    <row r="94">
      <c r="A94" s="211" t="s">
        <v>199</v>
      </c>
      <c r="B94" s="214" t="b">
        <f>AND('Sheet 1'!B38=Items!A52,'Sheet 1'!$D$75="KALPHITE")</f>
        <v>0</v>
      </c>
      <c r="C94" s="213">
        <f>1+IF(B94,2,0)</f>
        <v>1</v>
      </c>
      <c r="D94" s="214">
        <f t="shared" ref="D94:Y94" si="80">INT(D$84*$C94)</f>
        <v>11</v>
      </c>
      <c r="E94" s="214">
        <f t="shared" si="80"/>
        <v>11</v>
      </c>
      <c r="F94" s="214">
        <f t="shared" si="80"/>
        <v>11</v>
      </c>
      <c r="G94" s="214">
        <f t="shared" si="80"/>
        <v>11</v>
      </c>
      <c r="H94" s="214">
        <f t="shared" si="80"/>
        <v>11</v>
      </c>
      <c r="I94" s="214">
        <f t="shared" si="80"/>
        <v>10</v>
      </c>
      <c r="J94" s="214">
        <f t="shared" si="80"/>
        <v>10</v>
      </c>
      <c r="K94" s="214">
        <f t="shared" si="80"/>
        <v>10</v>
      </c>
      <c r="L94" s="214">
        <f t="shared" si="80"/>
        <v>10</v>
      </c>
      <c r="M94" s="214">
        <f t="shared" si="80"/>
        <v>10</v>
      </c>
      <c r="N94" s="214">
        <f t="shared" si="80"/>
        <v>10</v>
      </c>
      <c r="O94" s="214">
        <f t="shared" si="80"/>
        <v>10</v>
      </c>
      <c r="P94" s="214">
        <f t="shared" si="80"/>
        <v>10</v>
      </c>
      <c r="Q94" s="214">
        <f t="shared" si="80"/>
        <v>10</v>
      </c>
      <c r="R94" s="214">
        <f t="shared" si="80"/>
        <v>10</v>
      </c>
      <c r="S94" s="214">
        <f t="shared" si="80"/>
        <v>10</v>
      </c>
      <c r="T94" s="214">
        <f t="shared" si="80"/>
        <v>10</v>
      </c>
      <c r="U94" s="214">
        <f t="shared" si="80"/>
        <v>10</v>
      </c>
      <c r="V94" s="214">
        <f t="shared" si="80"/>
        <v>10</v>
      </c>
      <c r="W94" s="214">
        <f t="shared" si="80"/>
        <v>10</v>
      </c>
      <c r="X94" s="214">
        <f t="shared" si="80"/>
        <v>10</v>
      </c>
      <c r="Y94" s="214">
        <f t="shared" si="80"/>
        <v>10</v>
      </c>
    </row>
    <row r="95">
      <c r="A95" s="211" t="str">
        <f>Items!A29</f>
        <v>Dragon claws</v>
      </c>
      <c r="B95" s="214" t="b">
        <f>'Sheet 1'!B38=Items!A29</f>
        <v>0</v>
      </c>
      <c r="C95" s="213" t="str">
        <f>IF(B95,-1,)</f>
        <v/>
      </c>
      <c r="D95" s="214">
        <f t="shared" ref="D95:Y95" si="81">INT(D84+$C95)</f>
        <v>11</v>
      </c>
      <c r="E95" s="214">
        <f t="shared" si="81"/>
        <v>11</v>
      </c>
      <c r="F95" s="214">
        <f t="shared" si="81"/>
        <v>11</v>
      </c>
      <c r="G95" s="214">
        <f t="shared" si="81"/>
        <v>11</v>
      </c>
      <c r="H95" s="214">
        <f t="shared" si="81"/>
        <v>11</v>
      </c>
      <c r="I95" s="214">
        <f t="shared" si="81"/>
        <v>10</v>
      </c>
      <c r="J95" s="214">
        <f t="shared" si="81"/>
        <v>10</v>
      </c>
      <c r="K95" s="214">
        <f t="shared" si="81"/>
        <v>10</v>
      </c>
      <c r="L95" s="214">
        <f t="shared" si="81"/>
        <v>10</v>
      </c>
      <c r="M95" s="214">
        <f t="shared" si="81"/>
        <v>10</v>
      </c>
      <c r="N95" s="214">
        <f t="shared" si="81"/>
        <v>10</v>
      </c>
      <c r="O95" s="214">
        <f t="shared" si="81"/>
        <v>10</v>
      </c>
      <c r="P95" s="214">
        <f t="shared" si="81"/>
        <v>10</v>
      </c>
      <c r="Q95" s="214">
        <f t="shared" si="81"/>
        <v>10</v>
      </c>
      <c r="R95" s="214">
        <f t="shared" si="81"/>
        <v>10</v>
      </c>
      <c r="S95" s="214">
        <f t="shared" si="81"/>
        <v>10</v>
      </c>
      <c r="T95" s="214">
        <f t="shared" si="81"/>
        <v>10</v>
      </c>
      <c r="U95" s="214">
        <f t="shared" si="81"/>
        <v>10</v>
      </c>
      <c r="V95" s="214">
        <f t="shared" si="81"/>
        <v>10</v>
      </c>
      <c r="W95" s="214">
        <f t="shared" si="81"/>
        <v>10</v>
      </c>
      <c r="X95" s="214">
        <f t="shared" si="81"/>
        <v>10</v>
      </c>
      <c r="Y95" s="214">
        <f t="shared" si="81"/>
        <v>10</v>
      </c>
    </row>
    <row r="96">
      <c r="A96" s="211" t="str">
        <f>Items!A46</f>
        <v>Granite hammer</v>
      </c>
      <c r="B96" s="214" t="b">
        <f>'Sheet 1'!B38=Items!A46</f>
        <v>0</v>
      </c>
      <c r="C96" s="213">
        <f>IF(B96,5,0)</f>
        <v>0</v>
      </c>
      <c r="D96" s="214">
        <f t="shared" ref="D96:Y96" si="82">INT(D84+$C96)</f>
        <v>11</v>
      </c>
      <c r="E96" s="214">
        <f t="shared" si="82"/>
        <v>11</v>
      </c>
      <c r="F96" s="214">
        <f t="shared" si="82"/>
        <v>11</v>
      </c>
      <c r="G96" s="214">
        <f t="shared" si="82"/>
        <v>11</v>
      </c>
      <c r="H96" s="214">
        <f t="shared" si="82"/>
        <v>11</v>
      </c>
      <c r="I96" s="214">
        <f t="shared" si="82"/>
        <v>10</v>
      </c>
      <c r="J96" s="214">
        <f t="shared" si="82"/>
        <v>10</v>
      </c>
      <c r="K96" s="214">
        <f t="shared" si="82"/>
        <v>10</v>
      </c>
      <c r="L96" s="214">
        <f t="shared" si="82"/>
        <v>10</v>
      </c>
      <c r="M96" s="214">
        <f t="shared" si="82"/>
        <v>10</v>
      </c>
      <c r="N96" s="214">
        <f t="shared" si="82"/>
        <v>10</v>
      </c>
      <c r="O96" s="214">
        <f t="shared" si="82"/>
        <v>10</v>
      </c>
      <c r="P96" s="214">
        <f t="shared" si="82"/>
        <v>10</v>
      </c>
      <c r="Q96" s="214">
        <f t="shared" si="82"/>
        <v>10</v>
      </c>
      <c r="R96" s="214">
        <f t="shared" si="82"/>
        <v>10</v>
      </c>
      <c r="S96" s="214">
        <f t="shared" si="82"/>
        <v>10</v>
      </c>
      <c r="T96" s="214">
        <f t="shared" si="82"/>
        <v>10</v>
      </c>
      <c r="U96" s="214">
        <f t="shared" si="82"/>
        <v>10</v>
      </c>
      <c r="V96" s="214">
        <f t="shared" si="82"/>
        <v>10</v>
      </c>
      <c r="W96" s="214">
        <f t="shared" si="82"/>
        <v>10</v>
      </c>
      <c r="X96" s="214">
        <f t="shared" si="82"/>
        <v>10</v>
      </c>
      <c r="Y96" s="214">
        <f t="shared" si="82"/>
        <v>10</v>
      </c>
    </row>
    <row r="97">
      <c r="A97" s="211" t="s">
        <v>200</v>
      </c>
      <c r="B97" s="214" t="b">
        <f>AND(C1="RANGED",'Sheet 1'!B38=Items!A138,'Sheet 1'!B41=Items!A215,'Sheet 1'!B43=Items!A276,'Sheet 1'!B44=Items!A304,'Sheet 1'!B45=Items!A347)</f>
        <v>0</v>
      </c>
      <c r="C97" s="213">
        <f>1+IF(B97,0,0)</f>
        <v>1</v>
      </c>
      <c r="D97" s="214">
        <f t="shared" ref="D97:Y97" si="83">INT(D$84*$C97)</f>
        <v>11</v>
      </c>
      <c r="E97" s="214">
        <f t="shared" si="83"/>
        <v>11</v>
      </c>
      <c r="F97" s="214">
        <f t="shared" si="83"/>
        <v>11</v>
      </c>
      <c r="G97" s="214">
        <f t="shared" si="83"/>
        <v>11</v>
      </c>
      <c r="H97" s="214">
        <f t="shared" si="83"/>
        <v>11</v>
      </c>
      <c r="I97" s="214">
        <f t="shared" si="83"/>
        <v>10</v>
      </c>
      <c r="J97" s="214">
        <f t="shared" si="83"/>
        <v>10</v>
      </c>
      <c r="K97" s="214">
        <f t="shared" si="83"/>
        <v>10</v>
      </c>
      <c r="L97" s="214">
        <f t="shared" si="83"/>
        <v>10</v>
      </c>
      <c r="M97" s="214">
        <f t="shared" si="83"/>
        <v>10</v>
      </c>
      <c r="N97" s="214">
        <f t="shared" si="83"/>
        <v>10</v>
      </c>
      <c r="O97" s="214">
        <f t="shared" si="83"/>
        <v>10</v>
      </c>
      <c r="P97" s="214">
        <f t="shared" si="83"/>
        <v>10</v>
      </c>
      <c r="Q97" s="214">
        <f t="shared" si="83"/>
        <v>10</v>
      </c>
      <c r="R97" s="214">
        <f t="shared" si="83"/>
        <v>10</v>
      </c>
      <c r="S97" s="214">
        <f t="shared" si="83"/>
        <v>10</v>
      </c>
      <c r="T97" s="214">
        <f t="shared" si="83"/>
        <v>10</v>
      </c>
      <c r="U97" s="214">
        <f t="shared" si="83"/>
        <v>10</v>
      </c>
      <c r="V97" s="214">
        <f t="shared" si="83"/>
        <v>10</v>
      </c>
      <c r="W97" s="214">
        <f t="shared" si="83"/>
        <v>10</v>
      </c>
      <c r="X97" s="214">
        <f t="shared" si="83"/>
        <v>10</v>
      </c>
      <c r="Y97" s="214">
        <f t="shared" si="83"/>
        <v>10</v>
      </c>
    </row>
    <row r="98">
      <c r="A98" s="211" t="s">
        <v>201</v>
      </c>
      <c r="B98" s="214" t="b">
        <f>AND('Sheet 1'!B38=Items!A99,'Sheet 1'!B41=Items!A207,'Sheet 1'!B44=Items!A291,'Sheet 1'!B45=Items!A335)</f>
        <v>0</v>
      </c>
      <c r="C98" s="213">
        <f>IF(B98,1,0)</f>
        <v>0</v>
      </c>
      <c r="D98" s="214">
        <f t="shared" ref="D98:Y98" si="84">INT(D$84+$C98)</f>
        <v>11</v>
      </c>
      <c r="E98" s="214">
        <f t="shared" si="84"/>
        <v>11</v>
      </c>
      <c r="F98" s="214">
        <f t="shared" si="84"/>
        <v>11</v>
      </c>
      <c r="G98" s="214">
        <f t="shared" si="84"/>
        <v>11</v>
      </c>
      <c r="H98" s="214">
        <f t="shared" si="84"/>
        <v>11</v>
      </c>
      <c r="I98" s="214">
        <f t="shared" si="84"/>
        <v>10</v>
      </c>
      <c r="J98" s="214">
        <f t="shared" si="84"/>
        <v>10</v>
      </c>
      <c r="K98" s="214">
        <f t="shared" si="84"/>
        <v>10</v>
      </c>
      <c r="L98" s="214">
        <f t="shared" si="84"/>
        <v>10</v>
      </c>
      <c r="M98" s="214">
        <f t="shared" si="84"/>
        <v>10</v>
      </c>
      <c r="N98" s="214">
        <f t="shared" si="84"/>
        <v>10</v>
      </c>
      <c r="O98" s="214">
        <f t="shared" si="84"/>
        <v>10</v>
      </c>
      <c r="P98" s="214">
        <f t="shared" si="84"/>
        <v>10</v>
      </c>
      <c r="Q98" s="214">
        <f t="shared" si="84"/>
        <v>10</v>
      </c>
      <c r="R98" s="214">
        <f t="shared" si="84"/>
        <v>10</v>
      </c>
      <c r="S98" s="214">
        <f t="shared" si="84"/>
        <v>10</v>
      </c>
      <c r="T98" s="214">
        <f t="shared" si="84"/>
        <v>10</v>
      </c>
      <c r="U98" s="214">
        <f t="shared" si="84"/>
        <v>10</v>
      </c>
      <c r="V98" s="214">
        <f t="shared" si="84"/>
        <v>10</v>
      </c>
      <c r="W98" s="214">
        <f t="shared" si="84"/>
        <v>10</v>
      </c>
      <c r="X98" s="214">
        <f t="shared" si="84"/>
        <v>10</v>
      </c>
      <c r="Y98" s="214">
        <f t="shared" si="84"/>
        <v>10</v>
      </c>
    </row>
    <row r="99">
      <c r="A99" s="214" t="str">
        <f>Items!A543</f>
        <v>Pearl bolts (e)</v>
      </c>
      <c r="B99" s="214" t="b">
        <f>AND(C$1="RANGED",OR('Sheet 1'!B$40=Items!A543,'Sheet 1'!B$40=Items!A544))</f>
        <v>0</v>
      </c>
      <c r="C99" s="213" t="b">
        <f>AND(B99,OR('Sheet 1'!D75="FIRE",'Sheet 1'!$D$75="VORKATH",'Sheet 1'!D75="DRAGON"))</f>
        <v>0</v>
      </c>
      <c r="D99" s="214">
        <f t="shared" ref="D99:Y99" si="85">INT(D84+D36*IF($C99,1/15,1/20))</f>
        <v>16</v>
      </c>
      <c r="E99" s="214">
        <f t="shared" si="85"/>
        <v>16</v>
      </c>
      <c r="F99" s="214">
        <f t="shared" si="85"/>
        <v>16</v>
      </c>
      <c r="G99" s="214">
        <f t="shared" si="85"/>
        <v>16</v>
      </c>
      <c r="H99" s="214">
        <f t="shared" si="85"/>
        <v>16</v>
      </c>
      <c r="I99" s="214">
        <f t="shared" si="85"/>
        <v>15</v>
      </c>
      <c r="J99" s="214">
        <f t="shared" si="85"/>
        <v>15</v>
      </c>
      <c r="K99" s="214">
        <f t="shared" si="85"/>
        <v>15</v>
      </c>
      <c r="L99" s="214">
        <f t="shared" si="85"/>
        <v>15</v>
      </c>
      <c r="M99" s="214">
        <f t="shared" si="85"/>
        <v>15</v>
      </c>
      <c r="N99" s="214">
        <f t="shared" si="85"/>
        <v>14</v>
      </c>
      <c r="O99" s="214">
        <f t="shared" si="85"/>
        <v>14</v>
      </c>
      <c r="P99" s="214">
        <f t="shared" si="85"/>
        <v>14</v>
      </c>
      <c r="Q99" s="214">
        <f t="shared" si="85"/>
        <v>14</v>
      </c>
      <c r="R99" s="214">
        <f t="shared" si="85"/>
        <v>14</v>
      </c>
      <c r="S99" s="214">
        <f t="shared" si="85"/>
        <v>14</v>
      </c>
      <c r="T99" s="214">
        <f t="shared" si="85"/>
        <v>14</v>
      </c>
      <c r="U99" s="214">
        <f t="shared" si="85"/>
        <v>14</v>
      </c>
      <c r="V99" s="214">
        <f t="shared" si="85"/>
        <v>14</v>
      </c>
      <c r="W99" s="214">
        <f t="shared" si="85"/>
        <v>14</v>
      </c>
      <c r="X99" s="214">
        <f t="shared" si="85"/>
        <v>14</v>
      </c>
      <c r="Y99" s="214">
        <f t="shared" si="85"/>
        <v>14</v>
      </c>
    </row>
    <row r="100">
      <c r="A100" s="211" t="str">
        <f>Items!A551</f>
        <v>Ruby bolts (e)</v>
      </c>
      <c r="B100" s="214" t="b">
        <f>AND(C$1="RANGED",OR('Sheet 1'!B$40=Items!A551,'Sheet 1'!B$40=Items!A552))</f>
        <v>0</v>
      </c>
      <c r="C100" s="213">
        <f>'Sheet 1'!$F$92</f>
        <v>2000</v>
      </c>
      <c r="D100" s="214">
        <f>INT((MIN(MIN(if($B140='NPC stats'!$A$96,100,$C110),100,$C100*0.2))))</f>
        <v>100</v>
      </c>
      <c r="E100" s="214">
        <f>INT((MIN(MIN(if($B140='NPC stats'!$A$96,100,$C110),100,$C100*0.2))))</f>
        <v>100</v>
      </c>
      <c r="F100" s="214">
        <f>INT((MIN(MIN(if($B140='NPC stats'!$A$96,100,$C110),100,$C100*0.2))))</f>
        <v>100</v>
      </c>
      <c r="G100" s="214">
        <f>INT((MIN(MIN(if($B140='NPC stats'!$A$96,100,$C110),100,$C100*0.2))))</f>
        <v>100</v>
      </c>
      <c r="H100" s="214">
        <f>INT((MIN(MIN(if($B140='NPC stats'!$A$96,100,$C110),100,$C100*0.2))))</f>
        <v>100</v>
      </c>
      <c r="I100" s="214">
        <f>INT((MIN(MIN(if($B140='NPC stats'!$A$96,100,$C110),100,$C100*0.2))))</f>
        <v>100</v>
      </c>
      <c r="J100" s="214">
        <f>INT((MIN(MIN(if($B140='NPC stats'!$A$96,100,$C110),100,$C100*0.2))))</f>
        <v>100</v>
      </c>
      <c r="K100" s="214">
        <f>INT((MIN(MIN(if($B140='NPC stats'!$A$96,100,$C110),100,$C100*0.2))))</f>
        <v>100</v>
      </c>
      <c r="L100" s="214">
        <f>INT((MIN(MIN(if($B140='NPC stats'!$A$96,100,$C110),100,$C100*0.2))))</f>
        <v>100</v>
      </c>
      <c r="M100" s="214">
        <f>INT((MIN(MIN(if($B140='NPC stats'!$A$96,100,$C110),100,$C100*0.2))))</f>
        <v>100</v>
      </c>
      <c r="N100" s="214">
        <f>INT((MIN(MIN(if($B140='NPC stats'!$A$96,100,$C110),100,$C100*0.2))))</f>
        <v>100</v>
      </c>
      <c r="O100" s="214">
        <f>INT((MIN(MIN(if($B140='NPC stats'!$A$96,100,$C110),100,$C100*0.2))))</f>
        <v>100</v>
      </c>
      <c r="P100" s="214">
        <f>INT((MIN(MIN(if($B140='NPC stats'!$A$96,100,$C110),100,$C100*0.2))))</f>
        <v>100</v>
      </c>
      <c r="Q100" s="214">
        <f>INT((MIN(MIN(if($B140='NPC stats'!$A$96,100,$C110),100,$C100*0.2))))</f>
        <v>100</v>
      </c>
      <c r="R100" s="214">
        <f>INT((MIN(MIN(if($B140='NPC stats'!$A$96,100,$C110),100,$C100*0.2))))</f>
        <v>100</v>
      </c>
      <c r="S100" s="214">
        <f>INT((MIN(MIN(if($B140='NPC stats'!$A$96,100,$C110),100,$C100*0.2))))</f>
        <v>100</v>
      </c>
      <c r="T100" s="214">
        <f>INT((MIN(MIN(if($B140='NPC stats'!$A$96,100,$C110),100,$C100*0.2))))</f>
        <v>100</v>
      </c>
      <c r="U100" s="214">
        <f>INT((MIN(MIN(if($B140='NPC stats'!$A$96,100,$C110),100,$C100*0.2))))</f>
        <v>100</v>
      </c>
      <c r="V100" s="214">
        <f>INT((MIN(MIN(if($B140='NPC stats'!$A$96,100,$C110),100,$C100*0.2))))</f>
        <v>100</v>
      </c>
      <c r="W100" s="214">
        <f>INT((MIN(MIN(if($B140='NPC stats'!$A$96,100,$C110),100,$C100*0.2))))</f>
        <v>100</v>
      </c>
      <c r="X100" s="214">
        <f>INT((MIN(MIN(if($B140='NPC stats'!$A$96,100,$C110),100,$C100*0.2))))</f>
        <v>100</v>
      </c>
      <c r="Y100" s="214">
        <f>INT((MIN(MIN(if($B140='NPC stats'!$A$96,100,$C110),100,$C100*0.2))))</f>
        <v>100</v>
      </c>
    </row>
    <row r="101">
      <c r="A101" s="211" t="str">
        <f>Items!A553</f>
        <v>Diamond bolts (e)</v>
      </c>
      <c r="B101" s="214" t="b">
        <f>AND(C$1="RANGED",OR('Sheet 1'!B$40=Items!A553,'Sheet 1'!B$40=Items!A554))</f>
        <v>0</v>
      </c>
      <c r="C101" s="213">
        <f>1+IF(B101,0.15,0)</f>
        <v>1</v>
      </c>
      <c r="D101" s="214">
        <f t="shared" ref="D101:Y101" si="86">INT(D$84*$C101)</f>
        <v>11</v>
      </c>
      <c r="E101" s="214">
        <f t="shared" si="86"/>
        <v>11</v>
      </c>
      <c r="F101" s="214">
        <f t="shared" si="86"/>
        <v>11</v>
      </c>
      <c r="G101" s="214">
        <f t="shared" si="86"/>
        <v>11</v>
      </c>
      <c r="H101" s="214">
        <f t="shared" si="86"/>
        <v>11</v>
      </c>
      <c r="I101" s="214">
        <f t="shared" si="86"/>
        <v>10</v>
      </c>
      <c r="J101" s="214">
        <f t="shared" si="86"/>
        <v>10</v>
      </c>
      <c r="K101" s="214">
        <f t="shared" si="86"/>
        <v>10</v>
      </c>
      <c r="L101" s="214">
        <f t="shared" si="86"/>
        <v>10</v>
      </c>
      <c r="M101" s="214">
        <f t="shared" si="86"/>
        <v>10</v>
      </c>
      <c r="N101" s="214">
        <f t="shared" si="86"/>
        <v>10</v>
      </c>
      <c r="O101" s="214">
        <f t="shared" si="86"/>
        <v>10</v>
      </c>
      <c r="P101" s="214">
        <f t="shared" si="86"/>
        <v>10</v>
      </c>
      <c r="Q101" s="214">
        <f t="shared" si="86"/>
        <v>10</v>
      </c>
      <c r="R101" s="214">
        <f t="shared" si="86"/>
        <v>10</v>
      </c>
      <c r="S101" s="214">
        <f t="shared" si="86"/>
        <v>10</v>
      </c>
      <c r="T101" s="214">
        <f t="shared" si="86"/>
        <v>10</v>
      </c>
      <c r="U101" s="214">
        <f t="shared" si="86"/>
        <v>10</v>
      </c>
      <c r="V101" s="214">
        <f t="shared" si="86"/>
        <v>10</v>
      </c>
      <c r="W101" s="214">
        <f t="shared" si="86"/>
        <v>10</v>
      </c>
      <c r="X101" s="214">
        <f t="shared" si="86"/>
        <v>10</v>
      </c>
      <c r="Y101" s="214">
        <f t="shared" si="86"/>
        <v>10</v>
      </c>
    </row>
    <row r="102">
      <c r="A102" s="211" t="str">
        <f>Items!A555</f>
        <v>Dragonstone bolts (e)</v>
      </c>
      <c r="B102" s="214" t="b">
        <f>AND(C$1="RANGED",OR('Sheet 1'!B$40=Items!A555,'Sheet 1'!B$40=Items!A556))</f>
        <v>0</v>
      </c>
      <c r="C102" s="213"/>
      <c r="D102" s="214">
        <f t="shared" ref="D102:Y102" si="87">INT(D84+D36*0.2)</f>
        <v>32</v>
      </c>
      <c r="E102" s="214">
        <f t="shared" si="87"/>
        <v>32</v>
      </c>
      <c r="F102" s="214">
        <f t="shared" si="87"/>
        <v>32</v>
      </c>
      <c r="G102" s="214">
        <f t="shared" si="87"/>
        <v>32</v>
      </c>
      <c r="H102" s="214">
        <f t="shared" si="87"/>
        <v>32</v>
      </c>
      <c r="I102" s="214">
        <f t="shared" si="87"/>
        <v>30</v>
      </c>
      <c r="J102" s="214">
        <f t="shared" si="87"/>
        <v>30</v>
      </c>
      <c r="K102" s="214">
        <f t="shared" si="87"/>
        <v>30</v>
      </c>
      <c r="L102" s="214">
        <f t="shared" si="87"/>
        <v>30</v>
      </c>
      <c r="M102" s="214">
        <f t="shared" si="87"/>
        <v>30</v>
      </c>
      <c r="N102" s="214">
        <f t="shared" si="87"/>
        <v>29</v>
      </c>
      <c r="O102" s="214">
        <f t="shared" si="87"/>
        <v>29</v>
      </c>
      <c r="P102" s="214">
        <f t="shared" si="87"/>
        <v>29</v>
      </c>
      <c r="Q102" s="214">
        <f t="shared" si="87"/>
        <v>29</v>
      </c>
      <c r="R102" s="214">
        <f t="shared" si="87"/>
        <v>29</v>
      </c>
      <c r="S102" s="214">
        <f t="shared" si="87"/>
        <v>29</v>
      </c>
      <c r="T102" s="214">
        <f t="shared" si="87"/>
        <v>29</v>
      </c>
      <c r="U102" s="214">
        <f t="shared" si="87"/>
        <v>29</v>
      </c>
      <c r="V102" s="214">
        <f t="shared" si="87"/>
        <v>29</v>
      </c>
      <c r="W102" s="214">
        <f t="shared" si="87"/>
        <v>29</v>
      </c>
      <c r="X102" s="214">
        <f t="shared" si="87"/>
        <v>29</v>
      </c>
      <c r="Y102" s="214">
        <f t="shared" si="87"/>
        <v>29</v>
      </c>
    </row>
    <row r="103">
      <c r="A103" s="211" t="str">
        <f>Items!A557</f>
        <v>Onyx bolts (e)</v>
      </c>
      <c r="B103" s="214" t="b">
        <f>AND(C$1="RANGED",OR('Sheet 1'!B$40=Items!A557,'Sheet 1'!B$40=Items!A558))</f>
        <v>0</v>
      </c>
      <c r="C103" s="213">
        <f t="shared" ref="C103:C104" si="89">1+IF(B103,0.25,0)</f>
        <v>1</v>
      </c>
      <c r="D103" s="214">
        <f t="shared" ref="D103:Y103" si="88">INT(D$84*$C103)</f>
        <v>11</v>
      </c>
      <c r="E103" s="214">
        <f t="shared" si="88"/>
        <v>11</v>
      </c>
      <c r="F103" s="214">
        <f t="shared" si="88"/>
        <v>11</v>
      </c>
      <c r="G103" s="214">
        <f t="shared" si="88"/>
        <v>11</v>
      </c>
      <c r="H103" s="214">
        <f t="shared" si="88"/>
        <v>11</v>
      </c>
      <c r="I103" s="214">
        <f t="shared" si="88"/>
        <v>10</v>
      </c>
      <c r="J103" s="214">
        <f t="shared" si="88"/>
        <v>10</v>
      </c>
      <c r="K103" s="214">
        <f t="shared" si="88"/>
        <v>10</v>
      </c>
      <c r="L103" s="214">
        <f t="shared" si="88"/>
        <v>10</v>
      </c>
      <c r="M103" s="214">
        <f t="shared" si="88"/>
        <v>10</v>
      </c>
      <c r="N103" s="214">
        <f t="shared" si="88"/>
        <v>10</v>
      </c>
      <c r="O103" s="214">
        <f t="shared" si="88"/>
        <v>10</v>
      </c>
      <c r="P103" s="214">
        <f t="shared" si="88"/>
        <v>10</v>
      </c>
      <c r="Q103" s="214">
        <f t="shared" si="88"/>
        <v>10</v>
      </c>
      <c r="R103" s="214">
        <f t="shared" si="88"/>
        <v>10</v>
      </c>
      <c r="S103" s="214">
        <f t="shared" si="88"/>
        <v>10</v>
      </c>
      <c r="T103" s="214">
        <f t="shared" si="88"/>
        <v>10</v>
      </c>
      <c r="U103" s="214">
        <f t="shared" si="88"/>
        <v>10</v>
      </c>
      <c r="V103" s="214">
        <f t="shared" si="88"/>
        <v>10</v>
      </c>
      <c r="W103" s="214">
        <f t="shared" si="88"/>
        <v>10</v>
      </c>
      <c r="X103" s="214">
        <f t="shared" si="88"/>
        <v>10</v>
      </c>
      <c r="Y103" s="214">
        <f t="shared" si="88"/>
        <v>10</v>
      </c>
    </row>
    <row r="104">
      <c r="A104" s="214" t="str">
        <f>Items!A539</f>
        <v>Opal bolts (e)</v>
      </c>
      <c r="B104" s="214" t="b">
        <f>AND(C$1="RANGED",OR('Sheet 1'!B$40=Items!A539,'Sheet 1'!B$40=Items!A540))</f>
        <v>0</v>
      </c>
      <c r="C104" s="213">
        <f t="shared" si="89"/>
        <v>1</v>
      </c>
      <c r="D104" s="214">
        <f t="shared" ref="D104:Y104" si="90">INT(D84+D36*0.1)</f>
        <v>21</v>
      </c>
      <c r="E104" s="214">
        <f t="shared" si="90"/>
        <v>21</v>
      </c>
      <c r="F104" s="214">
        <f t="shared" si="90"/>
        <v>21</v>
      </c>
      <c r="G104" s="214">
        <f t="shared" si="90"/>
        <v>21</v>
      </c>
      <c r="H104" s="214">
        <f t="shared" si="90"/>
        <v>21</v>
      </c>
      <c r="I104" s="214">
        <f t="shared" si="90"/>
        <v>20</v>
      </c>
      <c r="J104" s="214">
        <f t="shared" si="90"/>
        <v>20</v>
      </c>
      <c r="K104" s="214">
        <f t="shared" si="90"/>
        <v>20</v>
      </c>
      <c r="L104" s="214">
        <f t="shared" si="90"/>
        <v>20</v>
      </c>
      <c r="M104" s="214">
        <f t="shared" si="90"/>
        <v>20</v>
      </c>
      <c r="N104" s="214">
        <f t="shared" si="90"/>
        <v>19</v>
      </c>
      <c r="O104" s="214">
        <f t="shared" si="90"/>
        <v>19</v>
      </c>
      <c r="P104" s="214">
        <f t="shared" si="90"/>
        <v>19</v>
      </c>
      <c r="Q104" s="214">
        <f t="shared" si="90"/>
        <v>19</v>
      </c>
      <c r="R104" s="214">
        <f t="shared" si="90"/>
        <v>19</v>
      </c>
      <c r="S104" s="214">
        <f t="shared" si="90"/>
        <v>19</v>
      </c>
      <c r="T104" s="214">
        <f t="shared" si="90"/>
        <v>19</v>
      </c>
      <c r="U104" s="214">
        <f t="shared" si="90"/>
        <v>19</v>
      </c>
      <c r="V104" s="214">
        <f t="shared" si="90"/>
        <v>19</v>
      </c>
      <c r="W104" s="214">
        <f t="shared" si="90"/>
        <v>19</v>
      </c>
      <c r="X104" s="214">
        <f t="shared" si="90"/>
        <v>19</v>
      </c>
      <c r="Y104" s="214">
        <f t="shared" si="90"/>
        <v>19</v>
      </c>
    </row>
    <row r="105">
      <c r="A105" s="211" t="s">
        <v>202</v>
      </c>
      <c r="B105" s="214" t="b">
        <f>OR('Sheet 1'!B38=Items!A141,'Sheet 1'!B38=Items!A142,'Sheet 1'!B38=Items!A143,'Sheet 1'!B38=Items!A144,'Sheet 1'!B38=Items!A151,'Sheet 1'!B38=Items!A136)</f>
        <v>0</v>
      </c>
      <c r="C105" s="212" t="b">
        <f>'Sheet 1'!B38=Items!A136</f>
        <v>0</v>
      </c>
      <c r="D105" s="214">
        <f t="shared" ref="D105:Y105" si="91">INT(0.5+(D36+10)*(64+$C42)/640) + IF($C105,1,0)</f>
        <v>12</v>
      </c>
      <c r="E105" s="214">
        <f t="shared" si="91"/>
        <v>12</v>
      </c>
      <c r="F105" s="214">
        <f t="shared" si="91"/>
        <v>12</v>
      </c>
      <c r="G105" s="214">
        <f t="shared" si="91"/>
        <v>12</v>
      </c>
      <c r="H105" s="214">
        <f t="shared" si="91"/>
        <v>12</v>
      </c>
      <c r="I105" s="214">
        <f t="shared" si="91"/>
        <v>11</v>
      </c>
      <c r="J105" s="214">
        <f t="shared" si="91"/>
        <v>11</v>
      </c>
      <c r="K105" s="214">
        <f t="shared" si="91"/>
        <v>11</v>
      </c>
      <c r="L105" s="214">
        <f t="shared" si="91"/>
        <v>11</v>
      </c>
      <c r="M105" s="214">
        <f t="shared" si="91"/>
        <v>11</v>
      </c>
      <c r="N105" s="214">
        <f t="shared" si="91"/>
        <v>11</v>
      </c>
      <c r="O105" s="214">
        <f t="shared" si="91"/>
        <v>11</v>
      </c>
      <c r="P105" s="214">
        <f t="shared" si="91"/>
        <v>11</v>
      </c>
      <c r="Q105" s="214">
        <f t="shared" si="91"/>
        <v>11</v>
      </c>
      <c r="R105" s="214">
        <f t="shared" si="91"/>
        <v>11</v>
      </c>
      <c r="S105" s="214">
        <f t="shared" si="91"/>
        <v>11</v>
      </c>
      <c r="T105" s="214">
        <f t="shared" si="91"/>
        <v>11</v>
      </c>
      <c r="U105" s="214">
        <f t="shared" si="91"/>
        <v>11</v>
      </c>
      <c r="V105" s="214">
        <f t="shared" si="91"/>
        <v>11</v>
      </c>
      <c r="W105" s="214">
        <f t="shared" si="91"/>
        <v>11</v>
      </c>
      <c r="X105" s="214">
        <f t="shared" si="91"/>
        <v>11</v>
      </c>
      <c r="Y105" s="214">
        <f t="shared" si="91"/>
        <v>11</v>
      </c>
    </row>
    <row r="106">
      <c r="A106" s="214"/>
      <c r="B106" s="214"/>
      <c r="C106" s="213"/>
      <c r="D106" s="214"/>
      <c r="E106" s="214"/>
      <c r="F106" s="214"/>
      <c r="G106" s="214"/>
      <c r="H106" s="214"/>
      <c r="I106" s="214"/>
      <c r="J106" s="214"/>
      <c r="K106" s="214"/>
      <c r="L106" s="214"/>
      <c r="M106" s="214"/>
      <c r="N106" s="214"/>
      <c r="O106" s="214"/>
      <c r="P106" s="214"/>
      <c r="Q106" s="214"/>
      <c r="R106" s="214"/>
      <c r="S106" s="214"/>
      <c r="T106" s="214"/>
      <c r="U106" s="214"/>
      <c r="V106" s="214"/>
      <c r="W106" s="214"/>
      <c r="X106" s="214"/>
      <c r="Y106" s="214"/>
    </row>
    <row r="107">
      <c r="A107" s="218" t="s">
        <v>203</v>
      </c>
      <c r="B107" s="214"/>
      <c r="C107" s="221" t="s">
        <v>5</v>
      </c>
      <c r="D107" s="214">
        <f t="shared" ref="D107:Y107" si="92">IF($C1="MAGIC",D65,IF(ISERROR(VLOOKUP(TRUE,$B$87:$Y$92,2+D1,FALSE)),D84,VLOOKUP(TRUE,$B$87:$Y$92,2+D1,FALSE)))</f>
        <v>49</v>
      </c>
      <c r="E107" s="214">
        <f t="shared" si="92"/>
        <v>49</v>
      </c>
      <c r="F107" s="214">
        <f t="shared" si="92"/>
        <v>49</v>
      </c>
      <c r="G107" s="214">
        <f t="shared" si="92"/>
        <v>49</v>
      </c>
      <c r="H107" s="214">
        <f t="shared" si="92"/>
        <v>49</v>
      </c>
      <c r="I107" s="214">
        <f t="shared" si="92"/>
        <v>49</v>
      </c>
      <c r="J107" s="214">
        <f t="shared" si="92"/>
        <v>49</v>
      </c>
      <c r="K107" s="214">
        <f t="shared" si="92"/>
        <v>49</v>
      </c>
      <c r="L107" s="214">
        <f t="shared" si="92"/>
        <v>49</v>
      </c>
      <c r="M107" s="214">
        <f t="shared" si="92"/>
        <v>49</v>
      </c>
      <c r="N107" s="214">
        <f t="shared" si="92"/>
        <v>49</v>
      </c>
      <c r="O107" s="214">
        <f t="shared" si="92"/>
        <v>49</v>
      </c>
      <c r="P107" s="214">
        <f t="shared" si="92"/>
        <v>49</v>
      </c>
      <c r="Q107" s="214">
        <f t="shared" si="92"/>
        <v>49</v>
      </c>
      <c r="R107" s="214">
        <f t="shared" si="92"/>
        <v>49</v>
      </c>
      <c r="S107" s="214">
        <f t="shared" si="92"/>
        <v>49</v>
      </c>
      <c r="T107" s="214">
        <f t="shared" si="92"/>
        <v>49</v>
      </c>
      <c r="U107" s="214">
        <f t="shared" si="92"/>
        <v>49</v>
      </c>
      <c r="V107" s="214">
        <f t="shared" si="92"/>
        <v>49</v>
      </c>
      <c r="W107" s="214">
        <f t="shared" si="92"/>
        <v>49</v>
      </c>
      <c r="X107" s="214">
        <f t="shared" si="92"/>
        <v>49</v>
      </c>
      <c r="Y107" s="214">
        <f t="shared" si="92"/>
        <v>49</v>
      </c>
    </row>
    <row r="108">
      <c r="A108" s="218" t="s">
        <v>204</v>
      </c>
      <c r="B108" s="214"/>
      <c r="C108" s="221" t="s">
        <v>205</v>
      </c>
      <c r="D108" s="214" t="str">
        <f t="shared" ref="D108:Y108" si="93">IF($C1="MAGIC",IF($B70=FALSE,,D70),IF(ISERROR(VLOOKUP(TRUE,$B$93:$Y$105,2+D1,FALSE)),IF($C30,,D86),VLOOKUP(TRUE,$B$93:$Y$105,2+D1,FALSE)))</f>
        <v/>
      </c>
      <c r="E108" s="214" t="str">
        <f t="shared" si="93"/>
        <v/>
      </c>
      <c r="F108" s="214" t="str">
        <f t="shared" si="93"/>
        <v/>
      </c>
      <c r="G108" s="214" t="str">
        <f t="shared" si="93"/>
        <v/>
      </c>
      <c r="H108" s="214" t="str">
        <f t="shared" si="93"/>
        <v/>
      </c>
      <c r="I108" s="214" t="str">
        <f t="shared" si="93"/>
        <v/>
      </c>
      <c r="J108" s="214" t="str">
        <f t="shared" si="93"/>
        <v/>
      </c>
      <c r="K108" s="214" t="str">
        <f t="shared" si="93"/>
        <v/>
      </c>
      <c r="L108" s="214" t="str">
        <f t="shared" si="93"/>
        <v/>
      </c>
      <c r="M108" s="214" t="str">
        <f t="shared" si="93"/>
        <v/>
      </c>
      <c r="N108" s="214" t="str">
        <f t="shared" si="93"/>
        <v/>
      </c>
      <c r="O108" s="214" t="str">
        <f t="shared" si="93"/>
        <v/>
      </c>
      <c r="P108" s="214" t="str">
        <f t="shared" si="93"/>
        <v/>
      </c>
      <c r="Q108" s="214" t="str">
        <f t="shared" si="93"/>
        <v/>
      </c>
      <c r="R108" s="214" t="str">
        <f t="shared" si="93"/>
        <v/>
      </c>
      <c r="S108" s="214" t="str">
        <f t="shared" si="93"/>
        <v/>
      </c>
      <c r="T108" s="214" t="str">
        <f t="shared" si="93"/>
        <v/>
      </c>
      <c r="U108" s="214" t="str">
        <f t="shared" si="93"/>
        <v/>
      </c>
      <c r="V108" s="214" t="str">
        <f t="shared" si="93"/>
        <v/>
      </c>
      <c r="W108" s="214" t="str">
        <f t="shared" si="93"/>
        <v/>
      </c>
      <c r="X108" s="214" t="str">
        <f t="shared" si="93"/>
        <v/>
      </c>
      <c r="Y108" s="214" t="str">
        <f t="shared" si="93"/>
        <v/>
      </c>
    </row>
    <row r="109">
      <c r="A109" s="217"/>
      <c r="B109" s="217"/>
      <c r="C109" s="213"/>
      <c r="D109" s="214"/>
      <c r="E109" s="214"/>
      <c r="F109" s="214"/>
      <c r="G109" s="214"/>
      <c r="H109" s="214"/>
      <c r="I109" s="214"/>
      <c r="J109" s="214"/>
      <c r="K109" s="214"/>
      <c r="L109" s="214"/>
      <c r="M109" s="214"/>
      <c r="N109" s="214"/>
      <c r="O109" s="214"/>
      <c r="P109" s="214"/>
      <c r="Q109" s="214"/>
      <c r="R109" s="214"/>
      <c r="S109" s="214"/>
      <c r="T109" s="214"/>
      <c r="U109" s="214"/>
      <c r="V109" s="214"/>
      <c r="W109" s="214"/>
      <c r="X109" s="214"/>
      <c r="Y109" s="214"/>
    </row>
    <row r="110">
      <c r="A110" s="222" t="s">
        <v>206</v>
      </c>
      <c r="B110" s="214" t="b">
        <f>OR(B140='NPC stats'!A451,B140='NPC stats'!A452,B140='NPC stats'!A453,B140='NPC stats'!A96)</f>
        <v>1</v>
      </c>
      <c r="C110" s="213">
        <f>IF(B110,if(B140='NPC stats'!A96,50,47.5),)</f>
        <v>50</v>
      </c>
      <c r="D110" s="214"/>
      <c r="E110" s="214"/>
      <c r="F110" s="214"/>
      <c r="G110" s="214"/>
      <c r="H110" s="214"/>
      <c r="I110" s="214"/>
      <c r="J110" s="214"/>
      <c r="K110" s="214"/>
      <c r="L110" s="214"/>
      <c r="M110" s="214"/>
      <c r="N110" s="214"/>
      <c r="O110" s="214"/>
      <c r="P110" s="214"/>
      <c r="Q110" s="214"/>
      <c r="R110" s="214"/>
      <c r="S110" s="214"/>
      <c r="T110" s="214"/>
      <c r="U110" s="214"/>
      <c r="V110" s="214"/>
      <c r="W110" s="214"/>
      <c r="X110" s="214"/>
      <c r="Y110" s="214"/>
    </row>
    <row r="111">
      <c r="B111" s="223" t="b">
        <f>'Sheet 1'!B38=Items!A122</f>
        <v>0</v>
      </c>
      <c r="C111" s="213" t="str">
        <f>IF(B111,48,)</f>
        <v/>
      </c>
      <c r="D111" s="214"/>
      <c r="E111" s="214"/>
      <c r="F111" s="214"/>
      <c r="G111" s="214"/>
      <c r="H111" s="214"/>
      <c r="I111" s="214"/>
      <c r="J111" s="214"/>
      <c r="K111" s="214"/>
      <c r="L111" s="214"/>
      <c r="M111" s="214"/>
      <c r="N111" s="214"/>
      <c r="O111" s="214"/>
      <c r="P111" s="214"/>
      <c r="Q111" s="214"/>
      <c r="R111" s="214"/>
      <c r="S111" s="214"/>
      <c r="T111" s="214"/>
      <c r="U111" s="214"/>
      <c r="V111" s="214"/>
      <c r="W111" s="214"/>
      <c r="X111" s="214"/>
      <c r="Y111" s="214"/>
    </row>
    <row r="112">
      <c r="B112" s="214" t="b">
        <f>or(B140='NPC stats'!A96)</f>
        <v>1</v>
      </c>
      <c r="C112" s="213">
        <f>IF(B112,IF(OR('Sheet 1'!B38=Items!A102,'Sheet 1'!B38=Items!A19,'Sheet 1'!B38=Items!A31,'Sheet 1'!B38=Items!A49,'Sheet 1'!B38=Items!A81,'Sheet 1'!B38=Items!A37,C1="Magic"),1,0.5),1)</f>
        <v>1</v>
      </c>
      <c r="D112" s="214"/>
      <c r="E112" s="214"/>
      <c r="F112" s="214"/>
      <c r="G112" s="214"/>
      <c r="H112" s="214"/>
      <c r="I112" s="214"/>
      <c r="J112" s="214"/>
      <c r="K112" s="214"/>
      <c r="L112" s="214"/>
      <c r="M112" s="214"/>
      <c r="N112" s="214"/>
      <c r="O112" s="214"/>
      <c r="P112" s="214"/>
      <c r="Q112" s="214"/>
      <c r="R112" s="214"/>
      <c r="S112" s="214"/>
      <c r="T112" s="214"/>
      <c r="U112" s="214"/>
      <c r="V112" s="214"/>
      <c r="W112" s="214"/>
      <c r="X112" s="214"/>
      <c r="Y112" s="214"/>
    </row>
    <row r="113">
      <c r="B113" s="214" t="b">
        <f>or(B140='NPC stats'!A487,B140='NPC stats'!A508)</f>
        <v>0</v>
      </c>
      <c r="C113" s="213">
        <f>if(B113,if(OR(C44=Items!A588,C44=Items!A589,C44=Items!A590,C44=Items!A591,C44=Items!A592),1.5,0.35),C112)</f>
        <v>1</v>
      </c>
      <c r="D113" s="214"/>
      <c r="E113" s="214"/>
      <c r="F113" s="214"/>
      <c r="G113" s="214"/>
      <c r="H113" s="214"/>
      <c r="I113" s="214"/>
      <c r="J113" s="214"/>
      <c r="K113" s="214"/>
      <c r="L113" s="214"/>
      <c r="M113" s="214"/>
      <c r="N113" s="214"/>
      <c r="O113" s="214"/>
      <c r="P113" s="214"/>
      <c r="Q113" s="214"/>
      <c r="R113" s="214"/>
      <c r="S113" s="214"/>
      <c r="T113" s="214"/>
      <c r="U113" s="214"/>
      <c r="V113" s="214"/>
      <c r="W113" s="214"/>
      <c r="X113" s="214"/>
      <c r="Y113" s="214"/>
    </row>
    <row r="114">
      <c r="A114" s="214"/>
      <c r="B114" s="214"/>
      <c r="C114" s="213"/>
      <c r="D114" s="214"/>
      <c r="E114" s="214"/>
      <c r="F114" s="214"/>
      <c r="G114" s="214"/>
      <c r="H114" s="214"/>
      <c r="I114" s="214"/>
      <c r="J114" s="214"/>
      <c r="K114" s="214"/>
      <c r="L114" s="214"/>
      <c r="M114" s="214"/>
      <c r="N114" s="214"/>
      <c r="O114" s="214"/>
      <c r="P114" s="214"/>
      <c r="Q114" s="214"/>
      <c r="R114" s="214"/>
      <c r="S114" s="214"/>
      <c r="T114" s="214"/>
      <c r="U114" s="214"/>
      <c r="V114" s="214"/>
      <c r="W114" s="214"/>
      <c r="X114" s="214"/>
      <c r="Y114" s="214"/>
    </row>
    <row r="115">
      <c r="A115" s="211" t="s">
        <v>170</v>
      </c>
      <c r="B115" s="214"/>
      <c r="C115" s="213"/>
      <c r="D115" s="214">
        <f t="shared" ref="D115:Y115" si="94">D27</f>
        <v>0.2005544926</v>
      </c>
      <c r="E115" s="214">
        <f t="shared" si="94"/>
        <v>0.199161753</v>
      </c>
      <c r="F115" s="214">
        <f t="shared" si="94"/>
        <v>0.196376274</v>
      </c>
      <c r="G115" s="214">
        <f t="shared" si="94"/>
        <v>0.1949835344</v>
      </c>
      <c r="H115" s="214">
        <f t="shared" si="94"/>
        <v>0.1935907949</v>
      </c>
      <c r="I115" s="214">
        <f t="shared" si="94"/>
        <v>0.1921980554</v>
      </c>
      <c r="J115" s="214">
        <f t="shared" si="94"/>
        <v>0.1894125763</v>
      </c>
      <c r="K115" s="214">
        <f t="shared" si="94"/>
        <v>0.1880198368</v>
      </c>
      <c r="L115" s="214">
        <f t="shared" si="94"/>
        <v>0.1866270972</v>
      </c>
      <c r="M115" s="214">
        <f t="shared" si="94"/>
        <v>0.1852343577</v>
      </c>
      <c r="N115" s="214">
        <f t="shared" si="94"/>
        <v>0.1824488786</v>
      </c>
      <c r="O115" s="214">
        <f t="shared" si="94"/>
        <v>0.1824488786</v>
      </c>
      <c r="P115" s="214">
        <f t="shared" si="94"/>
        <v>0.1824488786</v>
      </c>
      <c r="Q115" s="214">
        <f t="shared" si="94"/>
        <v>0.1824488786</v>
      </c>
      <c r="R115" s="214">
        <f t="shared" si="94"/>
        <v>0.1824488786</v>
      </c>
      <c r="S115" s="214">
        <f t="shared" si="94"/>
        <v>0.1824488786</v>
      </c>
      <c r="T115" s="214">
        <f t="shared" si="94"/>
        <v>0.1824488786</v>
      </c>
      <c r="U115" s="214">
        <f t="shared" si="94"/>
        <v>0.1824488786</v>
      </c>
      <c r="V115" s="214">
        <f t="shared" si="94"/>
        <v>0.1824488786</v>
      </c>
      <c r="W115" s="214">
        <f t="shared" si="94"/>
        <v>0.1824488786</v>
      </c>
      <c r="X115" s="214">
        <f t="shared" si="94"/>
        <v>0.1824488786</v>
      </c>
      <c r="Y115" s="214">
        <f t="shared" si="94"/>
        <v>0.1824488786</v>
      </c>
    </row>
    <row r="116">
      <c r="A116" s="211" t="s">
        <v>201</v>
      </c>
      <c r="B116" s="214" t="b">
        <f>B98</f>
        <v>0</v>
      </c>
      <c r="C116" s="213" t="b">
        <f>IF(B116,0.25)</f>
        <v>0</v>
      </c>
      <c r="D116" s="214">
        <f>$C116*0.5*D$108 + (1-$C116)*D$115*0.5*D$107</f>
        <v>4.913585068</v>
      </c>
      <c r="E116" s="214">
        <f t="shared" ref="E116:Y116" si="95">$C116*0.5*E108 + (1-$C116)*E115*0.5*E107</f>
        <v>4.879462949</v>
      </c>
      <c r="F116" s="214">
        <f t="shared" si="95"/>
        <v>4.811218712</v>
      </c>
      <c r="G116" s="214">
        <f t="shared" si="95"/>
        <v>4.777096594</v>
      </c>
      <c r="H116" s="214">
        <f t="shared" si="95"/>
        <v>4.742974475</v>
      </c>
      <c r="I116" s="214">
        <f t="shared" si="95"/>
        <v>4.708852357</v>
      </c>
      <c r="J116" s="214">
        <f t="shared" si="95"/>
        <v>4.64060812</v>
      </c>
      <c r="K116" s="214">
        <f t="shared" si="95"/>
        <v>4.606486001</v>
      </c>
      <c r="L116" s="214">
        <f t="shared" si="95"/>
        <v>4.572363882</v>
      </c>
      <c r="M116" s="214">
        <f t="shared" si="95"/>
        <v>4.538241764</v>
      </c>
      <c r="N116" s="214">
        <f t="shared" si="95"/>
        <v>4.469997527</v>
      </c>
      <c r="O116" s="214">
        <f t="shared" si="95"/>
        <v>4.469997527</v>
      </c>
      <c r="P116" s="214">
        <f t="shared" si="95"/>
        <v>4.469997527</v>
      </c>
      <c r="Q116" s="214">
        <f t="shared" si="95"/>
        <v>4.469997527</v>
      </c>
      <c r="R116" s="214">
        <f t="shared" si="95"/>
        <v>4.469997527</v>
      </c>
      <c r="S116" s="214">
        <f t="shared" si="95"/>
        <v>4.469997527</v>
      </c>
      <c r="T116" s="214">
        <f t="shared" si="95"/>
        <v>4.469997527</v>
      </c>
      <c r="U116" s="214">
        <f t="shared" si="95"/>
        <v>4.469997527</v>
      </c>
      <c r="V116" s="214">
        <f t="shared" si="95"/>
        <v>4.469997527</v>
      </c>
      <c r="W116" s="214">
        <f t="shared" si="95"/>
        <v>4.469997527</v>
      </c>
      <c r="X116" s="214">
        <f t="shared" si="95"/>
        <v>4.469997527</v>
      </c>
      <c r="Y116" s="214">
        <f t="shared" si="95"/>
        <v>4.469997527</v>
      </c>
    </row>
    <row r="117">
      <c r="A117" s="214" t="str">
        <f t="shared" ref="A117:B117" si="96">A99</f>
        <v>Pearl bolts (e)</v>
      </c>
      <c r="B117" s="214" t="b">
        <f t="shared" si="96"/>
        <v>0</v>
      </c>
      <c r="C117" s="213" t="b">
        <f>IF(B117,0.06*IF('Sheet 1'!$E$95=TRUE,1.1,1))</f>
        <v>0</v>
      </c>
      <c r="D117" s="214">
        <f t="shared" ref="D117:Y117" si="97">$C117*(0.5*D$107+INT(D108-D107)) + D$115*(1-$C117)*0.5*D$107</f>
        <v>4.913585068</v>
      </c>
      <c r="E117" s="214">
        <f t="shared" si="97"/>
        <v>4.879462949</v>
      </c>
      <c r="F117" s="214">
        <f t="shared" si="97"/>
        <v>4.811218712</v>
      </c>
      <c r="G117" s="214">
        <f t="shared" si="97"/>
        <v>4.777096594</v>
      </c>
      <c r="H117" s="214">
        <f t="shared" si="97"/>
        <v>4.742974475</v>
      </c>
      <c r="I117" s="214">
        <f t="shared" si="97"/>
        <v>4.708852357</v>
      </c>
      <c r="J117" s="214">
        <f t="shared" si="97"/>
        <v>4.64060812</v>
      </c>
      <c r="K117" s="214">
        <f t="shared" si="97"/>
        <v>4.606486001</v>
      </c>
      <c r="L117" s="214">
        <f t="shared" si="97"/>
        <v>4.572363882</v>
      </c>
      <c r="M117" s="214">
        <f t="shared" si="97"/>
        <v>4.538241764</v>
      </c>
      <c r="N117" s="214">
        <f t="shared" si="97"/>
        <v>4.469997527</v>
      </c>
      <c r="O117" s="214">
        <f t="shared" si="97"/>
        <v>4.469997527</v>
      </c>
      <c r="P117" s="214">
        <f t="shared" si="97"/>
        <v>4.469997527</v>
      </c>
      <c r="Q117" s="214">
        <f t="shared" si="97"/>
        <v>4.469997527</v>
      </c>
      <c r="R117" s="214">
        <f t="shared" si="97"/>
        <v>4.469997527</v>
      </c>
      <c r="S117" s="214">
        <f t="shared" si="97"/>
        <v>4.469997527</v>
      </c>
      <c r="T117" s="214">
        <f t="shared" si="97"/>
        <v>4.469997527</v>
      </c>
      <c r="U117" s="214">
        <f t="shared" si="97"/>
        <v>4.469997527</v>
      </c>
      <c r="V117" s="214">
        <f t="shared" si="97"/>
        <v>4.469997527</v>
      </c>
      <c r="W117" s="214">
        <f t="shared" si="97"/>
        <v>4.469997527</v>
      </c>
      <c r="X117" s="214">
        <f t="shared" si="97"/>
        <v>4.469997527</v>
      </c>
      <c r="Y117" s="214">
        <f t="shared" si="97"/>
        <v>4.469997527</v>
      </c>
    </row>
    <row r="118">
      <c r="A118" s="214" t="str">
        <f t="shared" ref="A118:B118" si="98">A100</f>
        <v>Ruby bolts (e)</v>
      </c>
      <c r="B118" s="214" t="b">
        <f t="shared" si="98"/>
        <v>0</v>
      </c>
      <c r="C118" s="213" t="b">
        <f>IF(B118,0.06*IF('Sheet 1'!$E$95=TRUE,1.1,1))</f>
        <v>0</v>
      </c>
      <c r="D118" s="214">
        <f t="shared" ref="D118:Y118" si="99">$C118*D$108 + (1-$C118)*D$115*0.5*D$107</f>
        <v>4.913585068</v>
      </c>
      <c r="E118" s="214">
        <f t="shared" si="99"/>
        <v>4.879462949</v>
      </c>
      <c r="F118" s="214">
        <f t="shared" si="99"/>
        <v>4.811218712</v>
      </c>
      <c r="G118" s="214">
        <f t="shared" si="99"/>
        <v>4.777096594</v>
      </c>
      <c r="H118" s="214">
        <f t="shared" si="99"/>
        <v>4.742974475</v>
      </c>
      <c r="I118" s="214">
        <f t="shared" si="99"/>
        <v>4.708852357</v>
      </c>
      <c r="J118" s="214">
        <f t="shared" si="99"/>
        <v>4.64060812</v>
      </c>
      <c r="K118" s="214">
        <f t="shared" si="99"/>
        <v>4.606486001</v>
      </c>
      <c r="L118" s="214">
        <f t="shared" si="99"/>
        <v>4.572363882</v>
      </c>
      <c r="M118" s="214">
        <f t="shared" si="99"/>
        <v>4.538241764</v>
      </c>
      <c r="N118" s="214">
        <f t="shared" si="99"/>
        <v>4.469997527</v>
      </c>
      <c r="O118" s="214">
        <f t="shared" si="99"/>
        <v>4.469997527</v>
      </c>
      <c r="P118" s="214">
        <f t="shared" si="99"/>
        <v>4.469997527</v>
      </c>
      <c r="Q118" s="214">
        <f t="shared" si="99"/>
        <v>4.469997527</v>
      </c>
      <c r="R118" s="214">
        <f t="shared" si="99"/>
        <v>4.469997527</v>
      </c>
      <c r="S118" s="214">
        <f t="shared" si="99"/>
        <v>4.469997527</v>
      </c>
      <c r="T118" s="214">
        <f t="shared" si="99"/>
        <v>4.469997527</v>
      </c>
      <c r="U118" s="214">
        <f t="shared" si="99"/>
        <v>4.469997527</v>
      </c>
      <c r="V118" s="214">
        <f t="shared" si="99"/>
        <v>4.469997527</v>
      </c>
      <c r="W118" s="214">
        <f t="shared" si="99"/>
        <v>4.469997527</v>
      </c>
      <c r="X118" s="214">
        <f t="shared" si="99"/>
        <v>4.469997527</v>
      </c>
      <c r="Y118" s="214">
        <f t="shared" si="99"/>
        <v>4.469997527</v>
      </c>
    </row>
    <row r="119">
      <c r="A119" s="214" t="str">
        <f t="shared" ref="A119:B119" si="100">A101</f>
        <v>Diamond bolts (e)</v>
      </c>
      <c r="B119" s="214" t="b">
        <f t="shared" si="100"/>
        <v>0</v>
      </c>
      <c r="C119" s="213" t="b">
        <f>IF(B119,0.1*IF('Sheet 1'!$E$95=TRUE,1.1,1))</f>
        <v>0</v>
      </c>
      <c r="D119" s="214">
        <f t="shared" ref="D119:Y119" si="101">$C119*0.5*D$108 + (1-$C119)*D$115*0.5*D$107</f>
        <v>4.913585068</v>
      </c>
      <c r="E119" s="214">
        <f t="shared" si="101"/>
        <v>4.879462949</v>
      </c>
      <c r="F119" s="214">
        <f t="shared" si="101"/>
        <v>4.811218712</v>
      </c>
      <c r="G119" s="214">
        <f t="shared" si="101"/>
        <v>4.777096594</v>
      </c>
      <c r="H119" s="214">
        <f t="shared" si="101"/>
        <v>4.742974475</v>
      </c>
      <c r="I119" s="214">
        <f t="shared" si="101"/>
        <v>4.708852357</v>
      </c>
      <c r="J119" s="214">
        <f t="shared" si="101"/>
        <v>4.64060812</v>
      </c>
      <c r="K119" s="214">
        <f t="shared" si="101"/>
        <v>4.606486001</v>
      </c>
      <c r="L119" s="214">
        <f t="shared" si="101"/>
        <v>4.572363882</v>
      </c>
      <c r="M119" s="214">
        <f t="shared" si="101"/>
        <v>4.538241764</v>
      </c>
      <c r="N119" s="214">
        <f t="shared" si="101"/>
        <v>4.469997527</v>
      </c>
      <c r="O119" s="214">
        <f t="shared" si="101"/>
        <v>4.469997527</v>
      </c>
      <c r="P119" s="214">
        <f t="shared" si="101"/>
        <v>4.469997527</v>
      </c>
      <c r="Q119" s="214">
        <f t="shared" si="101"/>
        <v>4.469997527</v>
      </c>
      <c r="R119" s="214">
        <f t="shared" si="101"/>
        <v>4.469997527</v>
      </c>
      <c r="S119" s="214">
        <f t="shared" si="101"/>
        <v>4.469997527</v>
      </c>
      <c r="T119" s="214">
        <f t="shared" si="101"/>
        <v>4.469997527</v>
      </c>
      <c r="U119" s="214">
        <f t="shared" si="101"/>
        <v>4.469997527</v>
      </c>
      <c r="V119" s="214">
        <f t="shared" si="101"/>
        <v>4.469997527</v>
      </c>
      <c r="W119" s="214">
        <f t="shared" si="101"/>
        <v>4.469997527</v>
      </c>
      <c r="X119" s="214">
        <f t="shared" si="101"/>
        <v>4.469997527</v>
      </c>
      <c r="Y119" s="214">
        <f t="shared" si="101"/>
        <v>4.469997527</v>
      </c>
    </row>
    <row r="120">
      <c r="A120" s="214" t="str">
        <f t="shared" ref="A120:B120" si="102">A102</f>
        <v>Dragonstone bolts (e)</v>
      </c>
      <c r="B120" s="214" t="b">
        <f t="shared" si="102"/>
        <v>0</v>
      </c>
      <c r="C120" s="213" t="b">
        <f>IF(B120,0.06*IF('Sheet 1'!$E$95=TRUE,1.1,1))</f>
        <v>0</v>
      </c>
      <c r="D120" s="214">
        <f t="shared" ref="D120:Y120" si="103">D$115*$C120*(0.5*D$107+INT(D108-D107)) + D$115*(1-$C120)*0.5*D$107</f>
        <v>4.913585068</v>
      </c>
      <c r="E120" s="214">
        <f t="shared" si="103"/>
        <v>4.879462949</v>
      </c>
      <c r="F120" s="214">
        <f t="shared" si="103"/>
        <v>4.811218712</v>
      </c>
      <c r="G120" s="214">
        <f t="shared" si="103"/>
        <v>4.777096594</v>
      </c>
      <c r="H120" s="214">
        <f t="shared" si="103"/>
        <v>4.742974475</v>
      </c>
      <c r="I120" s="214">
        <f t="shared" si="103"/>
        <v>4.708852357</v>
      </c>
      <c r="J120" s="214">
        <f t="shared" si="103"/>
        <v>4.64060812</v>
      </c>
      <c r="K120" s="214">
        <f t="shared" si="103"/>
        <v>4.606486001</v>
      </c>
      <c r="L120" s="214">
        <f t="shared" si="103"/>
        <v>4.572363882</v>
      </c>
      <c r="M120" s="214">
        <f t="shared" si="103"/>
        <v>4.538241764</v>
      </c>
      <c r="N120" s="214">
        <f t="shared" si="103"/>
        <v>4.469997527</v>
      </c>
      <c r="O120" s="214">
        <f t="shared" si="103"/>
        <v>4.469997527</v>
      </c>
      <c r="P120" s="214">
        <f t="shared" si="103"/>
        <v>4.469997527</v>
      </c>
      <c r="Q120" s="214">
        <f t="shared" si="103"/>
        <v>4.469997527</v>
      </c>
      <c r="R120" s="214">
        <f t="shared" si="103"/>
        <v>4.469997527</v>
      </c>
      <c r="S120" s="214">
        <f t="shared" si="103"/>
        <v>4.469997527</v>
      </c>
      <c r="T120" s="214">
        <f t="shared" si="103"/>
        <v>4.469997527</v>
      </c>
      <c r="U120" s="214">
        <f t="shared" si="103"/>
        <v>4.469997527</v>
      </c>
      <c r="V120" s="214">
        <f t="shared" si="103"/>
        <v>4.469997527</v>
      </c>
      <c r="W120" s="214">
        <f t="shared" si="103"/>
        <v>4.469997527</v>
      </c>
      <c r="X120" s="214">
        <f t="shared" si="103"/>
        <v>4.469997527</v>
      </c>
      <c r="Y120" s="214">
        <f t="shared" si="103"/>
        <v>4.469997527</v>
      </c>
    </row>
    <row r="121">
      <c r="A121" s="214" t="str">
        <f t="shared" ref="A121:B121" si="104">A103</f>
        <v>Onyx bolts (e)</v>
      </c>
      <c r="B121" s="214" t="b">
        <f t="shared" si="104"/>
        <v>0</v>
      </c>
      <c r="C121" s="213" t="b">
        <f>IF(B121,0.11*IF('Sheet 1'!$E$95=TRUE,1.1,1))</f>
        <v>0</v>
      </c>
      <c r="D121" s="214">
        <f t="shared" ref="D121:Y121" si="105">$C121*D115*0.5*D$108 + (1-$C121)*D$115*0.5*D$107</f>
        <v>4.913585068</v>
      </c>
      <c r="E121" s="214">
        <f t="shared" si="105"/>
        <v>4.879462949</v>
      </c>
      <c r="F121" s="214">
        <f t="shared" si="105"/>
        <v>4.811218712</v>
      </c>
      <c r="G121" s="214">
        <f t="shared" si="105"/>
        <v>4.777096594</v>
      </c>
      <c r="H121" s="214">
        <f t="shared" si="105"/>
        <v>4.742974475</v>
      </c>
      <c r="I121" s="214">
        <f t="shared" si="105"/>
        <v>4.708852357</v>
      </c>
      <c r="J121" s="214">
        <f t="shared" si="105"/>
        <v>4.64060812</v>
      </c>
      <c r="K121" s="214">
        <f t="shared" si="105"/>
        <v>4.606486001</v>
      </c>
      <c r="L121" s="214">
        <f t="shared" si="105"/>
        <v>4.572363882</v>
      </c>
      <c r="M121" s="214">
        <f t="shared" si="105"/>
        <v>4.538241764</v>
      </c>
      <c r="N121" s="214">
        <f t="shared" si="105"/>
        <v>4.469997527</v>
      </c>
      <c r="O121" s="214">
        <f t="shared" si="105"/>
        <v>4.469997527</v>
      </c>
      <c r="P121" s="214">
        <f t="shared" si="105"/>
        <v>4.469997527</v>
      </c>
      <c r="Q121" s="214">
        <f t="shared" si="105"/>
        <v>4.469997527</v>
      </c>
      <c r="R121" s="214">
        <f t="shared" si="105"/>
        <v>4.469997527</v>
      </c>
      <c r="S121" s="214">
        <f t="shared" si="105"/>
        <v>4.469997527</v>
      </c>
      <c r="T121" s="214">
        <f t="shared" si="105"/>
        <v>4.469997527</v>
      </c>
      <c r="U121" s="214">
        <f t="shared" si="105"/>
        <v>4.469997527</v>
      </c>
      <c r="V121" s="214">
        <f t="shared" si="105"/>
        <v>4.469997527</v>
      </c>
      <c r="W121" s="214">
        <f t="shared" si="105"/>
        <v>4.469997527</v>
      </c>
      <c r="X121" s="214">
        <f t="shared" si="105"/>
        <v>4.469997527</v>
      </c>
      <c r="Y121" s="214">
        <f t="shared" si="105"/>
        <v>4.469997527</v>
      </c>
    </row>
    <row r="122">
      <c r="A122" s="214" t="str">
        <f t="shared" ref="A122:B122" si="106">A104</f>
        <v>Opal bolts (e)</v>
      </c>
      <c r="B122" s="214" t="b">
        <f t="shared" si="106"/>
        <v>0</v>
      </c>
      <c r="C122" s="213" t="b">
        <f>IF(B122,0.05*IF('Sheet 1'!$E$95=TRUE,1.1,1))</f>
        <v>0</v>
      </c>
      <c r="D122" s="214">
        <f t="shared" ref="D122:Y122" si="107">$C122*(0.5*D$107+INT(D108-D107)) + D$115*(1-$C122)*0.5*D$107</f>
        <v>4.913585068</v>
      </c>
      <c r="E122" s="214">
        <f t="shared" si="107"/>
        <v>4.879462949</v>
      </c>
      <c r="F122" s="214">
        <f t="shared" si="107"/>
        <v>4.811218712</v>
      </c>
      <c r="G122" s="214">
        <f t="shared" si="107"/>
        <v>4.777096594</v>
      </c>
      <c r="H122" s="214">
        <f t="shared" si="107"/>
        <v>4.742974475</v>
      </c>
      <c r="I122" s="214">
        <f t="shared" si="107"/>
        <v>4.708852357</v>
      </c>
      <c r="J122" s="214">
        <f t="shared" si="107"/>
        <v>4.64060812</v>
      </c>
      <c r="K122" s="214">
        <f t="shared" si="107"/>
        <v>4.606486001</v>
      </c>
      <c r="L122" s="214">
        <f t="shared" si="107"/>
        <v>4.572363882</v>
      </c>
      <c r="M122" s="214">
        <f t="shared" si="107"/>
        <v>4.538241764</v>
      </c>
      <c r="N122" s="214">
        <f t="shared" si="107"/>
        <v>4.469997527</v>
      </c>
      <c r="O122" s="214">
        <f t="shared" si="107"/>
        <v>4.469997527</v>
      </c>
      <c r="P122" s="214">
        <f t="shared" si="107"/>
        <v>4.469997527</v>
      </c>
      <c r="Q122" s="214">
        <f t="shared" si="107"/>
        <v>4.469997527</v>
      </c>
      <c r="R122" s="214">
        <f t="shared" si="107"/>
        <v>4.469997527</v>
      </c>
      <c r="S122" s="214">
        <f t="shared" si="107"/>
        <v>4.469997527</v>
      </c>
      <c r="T122" s="214">
        <f t="shared" si="107"/>
        <v>4.469997527</v>
      </c>
      <c r="U122" s="214">
        <f t="shared" si="107"/>
        <v>4.469997527</v>
      </c>
      <c r="V122" s="214">
        <f t="shared" si="107"/>
        <v>4.469997527</v>
      </c>
      <c r="W122" s="214">
        <f t="shared" si="107"/>
        <v>4.469997527</v>
      </c>
      <c r="X122" s="214">
        <f t="shared" si="107"/>
        <v>4.469997527</v>
      </c>
      <c r="Y122" s="214">
        <f t="shared" si="107"/>
        <v>4.469997527</v>
      </c>
    </row>
    <row r="123">
      <c r="A123" s="211" t="s">
        <v>185</v>
      </c>
      <c r="B123" s="214" t="b">
        <f>B66</f>
        <v>0</v>
      </c>
      <c r="C123" s="213" t="b">
        <f>IF(B123,0.25)</f>
        <v>0</v>
      </c>
      <c r="D123" s="214">
        <f t="shared" ref="D123:Y123" si="108">D115*$C123*INT(D131) + D115*(1-$C123)*0.5*INT(D107)</f>
        <v>4.913585068</v>
      </c>
      <c r="E123" s="214">
        <f t="shared" si="108"/>
        <v>4.879462949</v>
      </c>
      <c r="F123" s="214">
        <f t="shared" si="108"/>
        <v>4.811218712</v>
      </c>
      <c r="G123" s="214">
        <f t="shared" si="108"/>
        <v>4.777096594</v>
      </c>
      <c r="H123" s="214">
        <f t="shared" si="108"/>
        <v>4.742974475</v>
      </c>
      <c r="I123" s="214">
        <f t="shared" si="108"/>
        <v>4.708852357</v>
      </c>
      <c r="J123" s="214">
        <f t="shared" si="108"/>
        <v>4.64060812</v>
      </c>
      <c r="K123" s="214">
        <f t="shared" si="108"/>
        <v>4.606486001</v>
      </c>
      <c r="L123" s="214">
        <f t="shared" si="108"/>
        <v>4.572363882</v>
      </c>
      <c r="M123" s="214">
        <f t="shared" si="108"/>
        <v>4.538241764</v>
      </c>
      <c r="N123" s="214">
        <f t="shared" si="108"/>
        <v>4.469997527</v>
      </c>
      <c r="O123" s="214">
        <f t="shared" si="108"/>
        <v>4.469997527</v>
      </c>
      <c r="P123" s="214">
        <f t="shared" si="108"/>
        <v>4.469997527</v>
      </c>
      <c r="Q123" s="214">
        <f t="shared" si="108"/>
        <v>4.469997527</v>
      </c>
      <c r="R123" s="214">
        <f t="shared" si="108"/>
        <v>4.469997527</v>
      </c>
      <c r="S123" s="214">
        <f t="shared" si="108"/>
        <v>4.469997527</v>
      </c>
      <c r="T123" s="214">
        <f t="shared" si="108"/>
        <v>4.469997527</v>
      </c>
      <c r="U123" s="214">
        <f t="shared" si="108"/>
        <v>4.469997527</v>
      </c>
      <c r="V123" s="214">
        <f t="shared" si="108"/>
        <v>4.469997527</v>
      </c>
      <c r="W123" s="214">
        <f t="shared" si="108"/>
        <v>4.469997527</v>
      </c>
      <c r="X123" s="214">
        <f t="shared" si="108"/>
        <v>4.469997527</v>
      </c>
      <c r="Y123" s="214">
        <f t="shared" si="108"/>
        <v>4.469997527</v>
      </c>
    </row>
    <row r="124">
      <c r="A124" s="211" t="s">
        <v>183</v>
      </c>
      <c r="B124" s="214" t="b">
        <f>and('Sheet 1'!$B$75='NPC stats'!A525,C1="magic")</f>
        <v>0</v>
      </c>
      <c r="C124" s="213" t="b">
        <f>B124</f>
        <v>0</v>
      </c>
      <c r="D124" s="214">
        <f t="shared" ref="D124:Y124" si="109">D107/2+(1/(D107/2+1))</f>
        <v>24.53921569</v>
      </c>
      <c r="E124" s="214">
        <f t="shared" si="109"/>
        <v>24.53921569</v>
      </c>
      <c r="F124" s="214">
        <f t="shared" si="109"/>
        <v>24.53921569</v>
      </c>
      <c r="G124" s="214">
        <f t="shared" si="109"/>
        <v>24.53921569</v>
      </c>
      <c r="H124" s="214">
        <f t="shared" si="109"/>
        <v>24.53921569</v>
      </c>
      <c r="I124" s="214">
        <f t="shared" si="109"/>
        <v>24.53921569</v>
      </c>
      <c r="J124" s="214">
        <f t="shared" si="109"/>
        <v>24.53921569</v>
      </c>
      <c r="K124" s="214">
        <f t="shared" si="109"/>
        <v>24.53921569</v>
      </c>
      <c r="L124" s="214">
        <f t="shared" si="109"/>
        <v>24.53921569</v>
      </c>
      <c r="M124" s="214">
        <f t="shared" si="109"/>
        <v>24.53921569</v>
      </c>
      <c r="N124" s="214">
        <f t="shared" si="109"/>
        <v>24.53921569</v>
      </c>
      <c r="O124" s="214">
        <f t="shared" si="109"/>
        <v>24.53921569</v>
      </c>
      <c r="P124" s="214">
        <f t="shared" si="109"/>
        <v>24.53921569</v>
      </c>
      <c r="Q124" s="214">
        <f t="shared" si="109"/>
        <v>24.53921569</v>
      </c>
      <c r="R124" s="214">
        <f t="shared" si="109"/>
        <v>24.53921569</v>
      </c>
      <c r="S124" s="214">
        <f t="shared" si="109"/>
        <v>24.53921569</v>
      </c>
      <c r="T124" s="214">
        <f t="shared" si="109"/>
        <v>24.53921569</v>
      </c>
      <c r="U124" s="214">
        <f t="shared" si="109"/>
        <v>24.53921569</v>
      </c>
      <c r="V124" s="214">
        <f t="shared" si="109"/>
        <v>24.53921569</v>
      </c>
      <c r="W124" s="214">
        <f t="shared" si="109"/>
        <v>24.53921569</v>
      </c>
      <c r="X124" s="214">
        <f t="shared" si="109"/>
        <v>24.53921569</v>
      </c>
      <c r="Y124" s="214">
        <f t="shared" si="109"/>
        <v>24.53921569</v>
      </c>
    </row>
    <row r="125">
      <c r="A125" s="211" t="s">
        <v>200</v>
      </c>
      <c r="B125" s="214" t="b">
        <f>B97</f>
        <v>0</v>
      </c>
      <c r="C125" s="213" t="b">
        <f>IF(B125,0.25)</f>
        <v>0</v>
      </c>
      <c r="D125" s="214">
        <f t="shared" ref="D125:Y125" si="110">D115*$C125*0.5*INT(D107*1.5) + D115*(1-$C125)*0.5*INT(D107) </f>
        <v>4.913585068</v>
      </c>
      <c r="E125" s="214">
        <f t="shared" si="110"/>
        <v>4.879462949</v>
      </c>
      <c r="F125" s="214">
        <f t="shared" si="110"/>
        <v>4.811218712</v>
      </c>
      <c r="G125" s="214">
        <f t="shared" si="110"/>
        <v>4.777096594</v>
      </c>
      <c r="H125" s="214">
        <f t="shared" si="110"/>
        <v>4.742974475</v>
      </c>
      <c r="I125" s="214">
        <f t="shared" si="110"/>
        <v>4.708852357</v>
      </c>
      <c r="J125" s="214">
        <f t="shared" si="110"/>
        <v>4.64060812</v>
      </c>
      <c r="K125" s="214">
        <f t="shared" si="110"/>
        <v>4.606486001</v>
      </c>
      <c r="L125" s="214">
        <f t="shared" si="110"/>
        <v>4.572363882</v>
      </c>
      <c r="M125" s="214">
        <f t="shared" si="110"/>
        <v>4.538241764</v>
      </c>
      <c r="N125" s="214">
        <f t="shared" si="110"/>
        <v>4.469997527</v>
      </c>
      <c r="O125" s="214">
        <f t="shared" si="110"/>
        <v>4.469997527</v>
      </c>
      <c r="P125" s="214">
        <f t="shared" si="110"/>
        <v>4.469997527</v>
      </c>
      <c r="Q125" s="214">
        <f t="shared" si="110"/>
        <v>4.469997527</v>
      </c>
      <c r="R125" s="214">
        <f t="shared" si="110"/>
        <v>4.469997527</v>
      </c>
      <c r="S125" s="214">
        <f t="shared" si="110"/>
        <v>4.469997527</v>
      </c>
      <c r="T125" s="214">
        <f t="shared" si="110"/>
        <v>4.469997527</v>
      </c>
      <c r="U125" s="214">
        <f t="shared" si="110"/>
        <v>4.469997527</v>
      </c>
      <c r="V125" s="214">
        <f t="shared" si="110"/>
        <v>4.469997527</v>
      </c>
      <c r="W125" s="214">
        <f t="shared" si="110"/>
        <v>4.469997527</v>
      </c>
      <c r="X125" s="214">
        <f t="shared" si="110"/>
        <v>4.469997527</v>
      </c>
      <c r="Y125" s="214">
        <f t="shared" si="110"/>
        <v>4.469997527</v>
      </c>
    </row>
    <row r="126">
      <c r="A126" s="211" t="str">
        <f>Items!A89</f>
        <v>Scythe of Vitur</v>
      </c>
      <c r="B126" s="214" t="b">
        <f>and(C126,not('Sheet 1'!B75='NPC stats'!A460))</f>
        <v>0</v>
      </c>
      <c r="C126" s="213" t="b">
        <f>or('Sheet 1'!B38=Items!A88,'Sheet 1'!B38=Items!A89)</f>
        <v>0</v>
      </c>
      <c r="D126" s="214">
        <f>D115*(0.5*int(D107*1)+if(Area2&gt;1,0.5*int(D107*0.5),0)+if(Area2&gt;2,0.5*int(D107*0.25),0))</f>
        <v>8.523565934</v>
      </c>
      <c r="E126" s="214">
        <f>E115*(0.5*int(E107*1)+if(Area2&gt;1,0.5*int(E107*0.5),0)+if(Area2&gt;2,0.5*int(E107*0.25),0))</f>
        <v>8.464374504</v>
      </c>
      <c r="F126" s="214">
        <f>F115*(0.5*int(F107*1)+if(Area2&gt;1,0.5*int(F107*0.5),0)+if(Area2&gt;2,0.5*int(F107*0.25),0))</f>
        <v>8.345991644</v>
      </c>
      <c r="G126" s="214">
        <f>G115*(0.5*int(G107*1)+if(Area2&gt;1,0.5*int(G107*0.5),0)+if(Area2&gt;2,0.5*int(G107*0.25),0))</f>
        <v>8.286800213</v>
      </c>
      <c r="H126" s="214">
        <f>H115*(0.5*int(H107*1)+if(Area2&gt;1,0.5*int(H107*0.5),0)+if(Area2&gt;2,0.5*int(H107*0.25),0))</f>
        <v>8.227608783</v>
      </c>
      <c r="I126" s="214">
        <f>I115*(0.5*int(I107*1)+if(Area2&gt;1,0.5*int(I107*0.5),0)+if(Area2&gt;2,0.5*int(I107*0.25),0))</f>
        <v>8.168417353</v>
      </c>
      <c r="J126" s="214">
        <f>J115*(0.5*int(J107*1)+if(Area2&gt;1,0.5*int(J107*0.5),0)+if(Area2&gt;2,0.5*int(J107*0.25),0))</f>
        <v>8.050034493</v>
      </c>
      <c r="K126" s="214">
        <f>K115*(0.5*int(K107*1)+if(Area2&gt;1,0.5*int(K107*0.5),0)+if(Area2&gt;2,0.5*int(K107*0.25),0))</f>
        <v>7.990843063</v>
      </c>
      <c r="L126" s="214">
        <f>L115*(0.5*int(L107*1)+if(Area2&gt;1,0.5*int(L107*0.5),0)+if(Area2&gt;2,0.5*int(L107*0.25),0))</f>
        <v>7.931651633</v>
      </c>
      <c r="M126" s="214">
        <f>M115*(0.5*int(M107*1)+if(Area2&gt;1,0.5*int(M107*0.5),0)+if(Area2&gt;2,0.5*int(M107*0.25),0))</f>
        <v>7.872460203</v>
      </c>
      <c r="N126" s="214">
        <f>N115*(0.5*int(N107*1)+if(Area2&gt;1,0.5*int(N107*0.5),0)+if(Area2&gt;2,0.5*int(N107*0.25),0))</f>
        <v>7.754077343</v>
      </c>
      <c r="O126" s="214">
        <f>O115*(0.5*int(O107*1)+if(Area2&gt;1,0.5*int(O107*0.5),0)+if(Area2&gt;2,0.5*int(O107*0.25),0))</f>
        <v>7.754077343</v>
      </c>
      <c r="P126" s="214">
        <f>P115*(0.5*int(P107*1)+if(Area2&gt;1,0.5*int(P107*0.5),0)+if(Area2&gt;2,0.5*int(P107*0.25),0))</f>
        <v>7.754077343</v>
      </c>
      <c r="Q126" s="214">
        <f>Q115*(0.5*int(Q107*1)+if(Area2&gt;1,0.5*int(Q107*0.5),0)+if(Area2&gt;2,0.5*int(Q107*0.25),0))</f>
        <v>7.754077343</v>
      </c>
      <c r="R126" s="214">
        <f>R115*(0.5*int(R107*1)+if(Area2&gt;1,0.5*int(R107*0.5),0)+if(Area2&gt;2,0.5*int(R107*0.25),0))</f>
        <v>7.754077343</v>
      </c>
      <c r="S126" s="214">
        <f>S115*(0.5*int(S107*1)+if(Area2&gt;1,0.5*int(S107*0.5),0)+if(Area2&gt;2,0.5*int(S107*0.25),0))</f>
        <v>7.754077343</v>
      </c>
      <c r="T126" s="214">
        <f>T115*(0.5*int(T107*1)+if(Area2&gt;1,0.5*int(T107*0.5),0)+if(Area2&gt;2,0.5*int(T107*0.25),0))</f>
        <v>7.754077343</v>
      </c>
      <c r="U126" s="214">
        <f>U115*(0.5*int(U107*1)+if(Area2&gt;1,0.5*int(U107*0.5),0)+if(Area2&gt;2,0.5*int(U107*0.25),0))</f>
        <v>7.754077343</v>
      </c>
      <c r="V126" s="214">
        <f>V115*(0.5*int(V107*1)+if(Area2&gt;1,0.5*int(V107*0.5),0)+if(Area2&gt;2,0.5*int(V107*0.25),0))</f>
        <v>7.754077343</v>
      </c>
      <c r="W126" s="214">
        <f>W115*(0.5*int(W107*1)+if(Area2&gt;1,0.5*int(W107*0.5),0)+if(Area2&gt;2,0.5*int(W107*0.25),0))</f>
        <v>7.754077343</v>
      </c>
      <c r="X126" s="214">
        <f>X115*(0.5*int(X107*1)+if(Area2&gt;1,0.5*int(X107*0.5),0)+if(Area2&gt;2,0.5*int(X107*0.25),0))</f>
        <v>7.754077343</v>
      </c>
      <c r="Y126" s="214">
        <f>Y115*(0.5*int(Y107*1)+if(Area2&gt;1,0.5*int(Y107*0.5),0)+if(Area2&gt;2,0.5*int(Y107*0.25),0))</f>
        <v>7.754077343</v>
      </c>
    </row>
    <row r="127">
      <c r="A127" s="211" t="s">
        <v>207</v>
      </c>
      <c r="B127" s="214" t="b">
        <f>and(C126,'Sheet 1'!B75='NPC stats'!A460)</f>
        <v>0</v>
      </c>
      <c r="C127" s="214"/>
      <c r="D127" s="214">
        <f t="array" ref="D127">D115*(AVERAGE(IF(ROW($1:$149)-1&gt;D107,,IF(COLUMN($A:$K)&gt;ROW($1:$149)-1,ROW($1:$149)-1,COLUMN($A:$K)-1)))+AVERAGE(IF(ROW($1:$149)-1&gt;int(D107/2),,IF(COLUMN($A:$K)&gt;ROW($1:$149)-1,ROW($1:$149)-1,COLUMN($A:$K)-1)))+AVERAGE(IF(ROW($1:$149)-1&gt;int(int(D107/2)/2),,IF(COLUMN($A:$K)&gt;ROW($1:$149)-1,ROW($1:$149)-1,COLUMN($A:$K)-1))))</f>
        <v>2.459106624</v>
      </c>
      <c r="E127" s="214">
        <f t="array" ref="E127">E115*(AVERAGE(IF(ROW($1:$149)-1&gt;E107,,IF(COLUMN($A:$K)&gt;ROW($1:$149)-1,ROW($1:$149)-1,COLUMN($A:$K)-1)))+AVERAGE(IF(ROW($1:$149)-1&gt;int(E107/2),,IF(COLUMN($A:$K)&gt;ROW($1:$149)-1,ROW($1:$149)-1,COLUMN($A:$K)-1)))+AVERAGE(IF(ROW($1:$149)-1&gt;int(int(E107/2)/2),,IF(COLUMN($A:$K)&gt;ROW($1:$149)-1,ROW($1:$149)-1,COLUMN($A:$K)-1))))</f>
        <v>2.442029495</v>
      </c>
      <c r="F127" s="214">
        <f t="array" ref="F127">F115*(AVERAGE(IF(ROW($1:$149)-1&gt;F107,,IF(COLUMN($A:$K)&gt;ROW($1:$149)-1,ROW($1:$149)-1,COLUMN($A:$K)-1)))+AVERAGE(IF(ROW($1:$149)-1&gt;int(F107/2),,IF(COLUMN($A:$K)&gt;ROW($1:$149)-1,ROW($1:$149)-1,COLUMN($A:$K)-1)))+AVERAGE(IF(ROW($1:$149)-1&gt;int(int(F107/2)/2),,IF(COLUMN($A:$K)&gt;ROW($1:$149)-1,ROW($1:$149)-1,COLUMN($A:$K)-1))))</f>
        <v>2.407875236</v>
      </c>
      <c r="G127" s="214">
        <f t="array" ref="G127">G115*(AVERAGE(IF(ROW($1:$149)-1&gt;G107,,IF(COLUMN($A:$K)&gt;ROW($1:$149)-1,ROW($1:$149)-1,COLUMN($A:$K)-1)))+AVERAGE(IF(ROW($1:$149)-1&gt;int(G107/2),,IF(COLUMN($A:$K)&gt;ROW($1:$149)-1,ROW($1:$149)-1,COLUMN($A:$K)-1)))+AVERAGE(IF(ROW($1:$149)-1&gt;int(int(G107/2)/2),,IF(COLUMN($A:$K)&gt;ROW($1:$149)-1,ROW($1:$149)-1,COLUMN($A:$K)-1))))</f>
        <v>2.390798107</v>
      </c>
      <c r="H127" s="214">
        <f t="array" ref="H127">H115*(AVERAGE(IF(ROW($1:$149)-1&gt;H107,,IF(COLUMN($A:$K)&gt;ROW($1:$149)-1,ROW($1:$149)-1,COLUMN($A:$K)-1)))+AVERAGE(IF(ROW($1:$149)-1&gt;int(H107/2),,IF(COLUMN($A:$K)&gt;ROW($1:$149)-1,ROW($1:$149)-1,COLUMN($A:$K)-1)))+AVERAGE(IF(ROW($1:$149)-1&gt;int(int(H107/2)/2),,IF(COLUMN($A:$K)&gt;ROW($1:$149)-1,ROW($1:$149)-1,COLUMN($A:$K)-1))))</f>
        <v>2.373720978</v>
      </c>
      <c r="I127" s="214">
        <f t="array" ref="I127">I115*(AVERAGE(IF(ROW($1:$149)-1&gt;I107,,IF(COLUMN($A:$K)&gt;ROW($1:$149)-1,ROW($1:$149)-1,COLUMN($A:$K)-1)))+AVERAGE(IF(ROW($1:$149)-1&gt;int(I107/2),,IF(COLUMN($A:$K)&gt;ROW($1:$149)-1,ROW($1:$149)-1,COLUMN($A:$K)-1)))+AVERAGE(IF(ROW($1:$149)-1&gt;int(int(I107/2)/2),,IF(COLUMN($A:$K)&gt;ROW($1:$149)-1,ROW($1:$149)-1,COLUMN($A:$K)-1))))</f>
        <v>2.356643848</v>
      </c>
      <c r="J127" s="214">
        <f t="array" ref="J127">J115*(AVERAGE(IF(ROW($1:$149)-1&gt;J107,,IF(COLUMN($A:$K)&gt;ROW($1:$149)-1,ROW($1:$149)-1,COLUMN($A:$K)-1)))+AVERAGE(IF(ROW($1:$149)-1&gt;int(J107/2),,IF(COLUMN($A:$K)&gt;ROW($1:$149)-1,ROW($1:$149)-1,COLUMN($A:$K)-1)))+AVERAGE(IF(ROW($1:$149)-1&gt;int(int(J107/2)/2),,IF(COLUMN($A:$K)&gt;ROW($1:$149)-1,ROW($1:$149)-1,COLUMN($A:$K)-1))))</f>
        <v>2.322489589</v>
      </c>
      <c r="K127" s="214">
        <f t="array" ref="K127">K115*(AVERAGE(IF(ROW($1:$149)-1&gt;K107,,IF(COLUMN($A:$K)&gt;ROW($1:$149)-1,ROW($1:$149)-1,COLUMN($A:$K)-1)))+AVERAGE(IF(ROW($1:$149)-1&gt;int(K107/2),,IF(COLUMN($A:$K)&gt;ROW($1:$149)-1,ROW($1:$149)-1,COLUMN($A:$K)-1)))+AVERAGE(IF(ROW($1:$149)-1&gt;int(int(K107/2)/2),,IF(COLUMN($A:$K)&gt;ROW($1:$149)-1,ROW($1:$149)-1,COLUMN($A:$K)-1))))</f>
        <v>2.30541246</v>
      </c>
      <c r="L127" s="214">
        <f t="array" ref="L127">L115*(AVERAGE(IF(ROW($1:$149)-1&gt;L107,,IF(COLUMN($A:$K)&gt;ROW($1:$149)-1,ROW($1:$149)-1,COLUMN($A:$K)-1)))+AVERAGE(IF(ROW($1:$149)-1&gt;int(L107/2),,IF(COLUMN($A:$K)&gt;ROW($1:$149)-1,ROW($1:$149)-1,COLUMN($A:$K)-1)))+AVERAGE(IF(ROW($1:$149)-1&gt;int(int(L107/2)/2),,IF(COLUMN($A:$K)&gt;ROW($1:$149)-1,ROW($1:$149)-1,COLUMN($A:$K)-1))))</f>
        <v>2.288335331</v>
      </c>
      <c r="M127" s="214">
        <f t="array" ref="M127">M115*(AVERAGE(IF(ROW($1:$149)-1&gt;M107,,IF(COLUMN($A:$K)&gt;ROW($1:$149)-1,ROW($1:$149)-1,COLUMN($A:$K)-1)))+AVERAGE(IF(ROW($1:$149)-1&gt;int(M107/2),,IF(COLUMN($A:$K)&gt;ROW($1:$149)-1,ROW($1:$149)-1,COLUMN($A:$K)-1)))+AVERAGE(IF(ROW($1:$149)-1&gt;int(int(M107/2)/2),,IF(COLUMN($A:$K)&gt;ROW($1:$149)-1,ROW($1:$149)-1,COLUMN($A:$K)-1))))</f>
        <v>2.271258201</v>
      </c>
      <c r="N127" s="214">
        <f t="array" ref="N127">N115*(AVERAGE(IF(ROW($1:$149)-1&gt;N107,,IF(COLUMN($A:$K)&gt;ROW($1:$149)-1,ROW($1:$149)-1,COLUMN($A:$K)-1)))+AVERAGE(IF(ROW($1:$149)-1&gt;int(N107/2),,IF(COLUMN($A:$K)&gt;ROW($1:$149)-1,ROW($1:$149)-1,COLUMN($A:$K)-1)))+AVERAGE(IF(ROW($1:$149)-1&gt;int(int(N107/2)/2),,IF(COLUMN($A:$K)&gt;ROW($1:$149)-1,ROW($1:$149)-1,COLUMN($A:$K)-1))))</f>
        <v>2.237103943</v>
      </c>
      <c r="O127" s="214">
        <f t="array" ref="O127">O115*(AVERAGE(IF(ROW($1:$149)-1&gt;O107,,IF(COLUMN($A:$K)&gt;ROW($1:$149)-1,ROW($1:$149)-1,COLUMN($A:$K)-1)))+AVERAGE(IF(ROW($1:$149)-1&gt;int(O107/2),,IF(COLUMN($A:$K)&gt;ROW($1:$149)-1,ROW($1:$149)-1,COLUMN($A:$K)-1)))+AVERAGE(IF(ROW($1:$149)-1&gt;int(int(O107/2)/2),,IF(COLUMN($A:$K)&gt;ROW($1:$149)-1,ROW($1:$149)-1,COLUMN($A:$K)-1))))</f>
        <v>2.237103943</v>
      </c>
      <c r="P127" s="214">
        <f t="array" ref="P127">P115*(AVERAGE(IF(ROW($1:$149)-1&gt;P107,,IF(COLUMN($A:$K)&gt;ROW($1:$149)-1,ROW($1:$149)-1,COLUMN($A:$K)-1)))+AVERAGE(IF(ROW($1:$149)-1&gt;int(P107/2),,IF(COLUMN($A:$K)&gt;ROW($1:$149)-1,ROW($1:$149)-1,COLUMN($A:$K)-1)))+AVERAGE(IF(ROW($1:$149)-1&gt;int(int(P107/2)/2),,IF(COLUMN($A:$K)&gt;ROW($1:$149)-1,ROW($1:$149)-1,COLUMN($A:$K)-1))))</f>
        <v>2.237103943</v>
      </c>
      <c r="Q127" s="214">
        <f t="array" ref="Q127">Q115*(AVERAGE(IF(ROW($1:$149)-1&gt;Q107,,IF(COLUMN($A:$K)&gt;ROW($1:$149)-1,ROW($1:$149)-1,COLUMN($A:$K)-1)))+AVERAGE(IF(ROW($1:$149)-1&gt;int(Q107/2),,IF(COLUMN($A:$K)&gt;ROW($1:$149)-1,ROW($1:$149)-1,COLUMN($A:$K)-1)))+AVERAGE(IF(ROW($1:$149)-1&gt;int(int(Q107/2)/2),,IF(COLUMN($A:$K)&gt;ROW($1:$149)-1,ROW($1:$149)-1,COLUMN($A:$K)-1))))</f>
        <v>2.237103943</v>
      </c>
      <c r="R127" s="214">
        <f t="array" ref="R127">R115*(AVERAGE(IF(ROW($1:$149)-1&gt;R107,,IF(COLUMN($A:$K)&gt;ROW($1:$149)-1,ROW($1:$149)-1,COLUMN($A:$K)-1)))+AVERAGE(IF(ROW($1:$149)-1&gt;int(R107/2),,IF(COLUMN($A:$K)&gt;ROW($1:$149)-1,ROW($1:$149)-1,COLUMN($A:$K)-1)))+AVERAGE(IF(ROW($1:$149)-1&gt;int(int(R107/2)/2),,IF(COLUMN($A:$K)&gt;ROW($1:$149)-1,ROW($1:$149)-1,COLUMN($A:$K)-1))))</f>
        <v>2.237103943</v>
      </c>
      <c r="S127" s="214">
        <f t="array" ref="S127">S115*(AVERAGE(IF(ROW($1:$149)-1&gt;S107,,IF(COLUMN($A:$K)&gt;ROW($1:$149)-1,ROW($1:$149)-1,COLUMN($A:$K)-1)))+AVERAGE(IF(ROW($1:$149)-1&gt;int(S107/2),,IF(COLUMN($A:$K)&gt;ROW($1:$149)-1,ROW($1:$149)-1,COLUMN($A:$K)-1)))+AVERAGE(IF(ROW($1:$149)-1&gt;int(int(S107/2)/2),,IF(COLUMN($A:$K)&gt;ROW($1:$149)-1,ROW($1:$149)-1,COLUMN($A:$K)-1))))</f>
        <v>2.237103943</v>
      </c>
      <c r="T127" s="214">
        <f t="array" ref="T127">T115*(AVERAGE(IF(ROW($1:$149)-1&gt;T107,,IF(COLUMN($A:$K)&gt;ROW($1:$149)-1,ROW($1:$149)-1,COLUMN($A:$K)-1)))+AVERAGE(IF(ROW($1:$149)-1&gt;int(T107/2),,IF(COLUMN($A:$K)&gt;ROW($1:$149)-1,ROW($1:$149)-1,COLUMN($A:$K)-1)))+AVERAGE(IF(ROW($1:$149)-1&gt;int(int(T107/2)/2),,IF(COLUMN($A:$K)&gt;ROW($1:$149)-1,ROW($1:$149)-1,COLUMN($A:$K)-1))))</f>
        <v>2.237103943</v>
      </c>
      <c r="U127" s="214">
        <f t="array" ref="U127">U115*(AVERAGE(IF(ROW($1:$149)-1&gt;U107,,IF(COLUMN($A:$K)&gt;ROW($1:$149)-1,ROW($1:$149)-1,COLUMN($A:$K)-1)))+AVERAGE(IF(ROW($1:$149)-1&gt;int(U107/2),,IF(COLUMN($A:$K)&gt;ROW($1:$149)-1,ROW($1:$149)-1,COLUMN($A:$K)-1)))+AVERAGE(IF(ROW($1:$149)-1&gt;int(int(U107/2)/2),,IF(COLUMN($A:$K)&gt;ROW($1:$149)-1,ROW($1:$149)-1,COLUMN($A:$K)-1))))</f>
        <v>2.237103943</v>
      </c>
      <c r="V127" s="214">
        <f t="array" ref="V127">V115*(AVERAGE(IF(ROW($1:$149)-1&gt;V107,,IF(COLUMN($A:$K)&gt;ROW($1:$149)-1,ROW($1:$149)-1,COLUMN($A:$K)-1)))+AVERAGE(IF(ROW($1:$149)-1&gt;int(V107/2),,IF(COLUMN($A:$K)&gt;ROW($1:$149)-1,ROW($1:$149)-1,COLUMN($A:$K)-1)))+AVERAGE(IF(ROW($1:$149)-1&gt;int(int(V107/2)/2),,IF(COLUMN($A:$K)&gt;ROW($1:$149)-1,ROW($1:$149)-1,COLUMN($A:$K)-1))))</f>
        <v>2.237103943</v>
      </c>
      <c r="W127" s="214">
        <f t="array" ref="W127">W115*(AVERAGE(IF(ROW($1:$149)-1&gt;W107,,IF(COLUMN($A:$K)&gt;ROW($1:$149)-1,ROW($1:$149)-1,COLUMN($A:$K)-1)))+AVERAGE(IF(ROW($1:$149)-1&gt;int(W107/2),,IF(COLUMN($A:$K)&gt;ROW($1:$149)-1,ROW($1:$149)-1,COLUMN($A:$K)-1)))+AVERAGE(IF(ROW($1:$149)-1&gt;int(int(W107/2)/2),,IF(COLUMN($A:$K)&gt;ROW($1:$149)-1,ROW($1:$149)-1,COLUMN($A:$K)-1))))</f>
        <v>2.237103943</v>
      </c>
      <c r="X127" s="214">
        <f t="array" ref="X127">X115*(AVERAGE(IF(ROW($1:$149)-1&gt;X107,,IF(COLUMN($A:$K)&gt;ROW($1:$149)-1,ROW($1:$149)-1,COLUMN($A:$K)-1)))+AVERAGE(IF(ROW($1:$149)-1&gt;int(X107/2),,IF(COLUMN($A:$K)&gt;ROW($1:$149)-1,ROW($1:$149)-1,COLUMN($A:$K)-1)))+AVERAGE(IF(ROW($1:$149)-1&gt;int(int(X107/2)/2),,IF(COLUMN($A:$K)&gt;ROW($1:$149)-1,ROW($1:$149)-1,COLUMN($A:$K)-1))))</f>
        <v>2.237103943</v>
      </c>
      <c r="Y127" s="214">
        <f t="array" ref="Y127">Y115*(AVERAGE(IF(ROW($1:$149)-1&gt;Y107,,IF(COLUMN($A:$K)&gt;ROW($1:$149)-1,ROW($1:$149)-1,COLUMN($A:$K)-1)))+AVERAGE(IF(ROW($1:$149)-1&gt;int(Y107/2),,IF(COLUMN($A:$K)&gt;ROW($1:$149)-1,ROW($1:$149)-1,COLUMN($A:$K)-1)))+AVERAGE(IF(ROW($1:$149)-1&gt;int(int(Y107/2)/2),,IF(COLUMN($A:$K)&gt;ROW($1:$149)-1,ROW($1:$149)-1,COLUMN($A:$K)-1))))</f>
        <v>2.237103943</v>
      </c>
    </row>
    <row r="128">
      <c r="A128" s="211" t="s">
        <v>208</v>
      </c>
      <c r="B128" s="214" t="b">
        <f>and(B127=false,or(C1="slash",C1="stab",C1="crush"),'Sheet 1'!B75='NPC stats'!A460)</f>
        <v>0</v>
      </c>
      <c r="C128" s="214"/>
      <c r="D128" s="224">
        <f t="array" ref="D128">AVERAGE(IF(ROW($1:$149)-1&gt;D107,,IF(COLUMN($A:$K)&gt;ROW($1:$149)-1,ROW($1:$149)-1,COLUMN($A:$K)-1)))*D115</f>
        <v>0.9225506658</v>
      </c>
      <c r="E128" s="224">
        <f t="array" ref="E128">AVERAGE(IF(ROW($1:$149)-1&gt;E107,,IF(COLUMN($A:$K)&gt;ROW($1:$149)-1,ROW($1:$149)-1,COLUMN($A:$K)-1)))*E115</f>
        <v>0.9161440639</v>
      </c>
      <c r="F128" s="224">
        <f t="array" ref="F128">AVERAGE(IF(ROW($1:$149)-1&gt;F107,,IF(COLUMN($A:$K)&gt;ROW($1:$149)-1,ROW($1:$149)-1,COLUMN($A:$K)-1)))*F115</f>
        <v>0.9033308602</v>
      </c>
      <c r="G128" s="224">
        <f t="array" ref="G128">AVERAGE(IF(ROW($1:$149)-1&gt;G107,,IF(COLUMN($A:$K)&gt;ROW($1:$149)-1,ROW($1:$149)-1,COLUMN($A:$K)-1)))*G115</f>
        <v>0.8969242584</v>
      </c>
      <c r="H128" s="224">
        <f t="array" ref="H128">AVERAGE(IF(ROW($1:$149)-1&gt;H107,,IF(COLUMN($A:$K)&gt;ROW($1:$149)-1,ROW($1:$149)-1,COLUMN($A:$K)-1)))*H115</f>
        <v>0.8905176566</v>
      </c>
      <c r="I128" s="224">
        <f t="array" ref="I128">AVERAGE(IF(ROW($1:$149)-1&gt;I107,,IF(COLUMN($A:$K)&gt;ROW($1:$149)-1,ROW($1:$149)-1,COLUMN($A:$K)-1)))*I115</f>
        <v>0.8841110547</v>
      </c>
      <c r="J128" s="224">
        <f t="array" ref="J128">AVERAGE(IF(ROW($1:$149)-1&gt;J107,,IF(COLUMN($A:$K)&gt;ROW($1:$149)-1,ROW($1:$149)-1,COLUMN($A:$K)-1)))*J115</f>
        <v>0.871297851</v>
      </c>
      <c r="K128" s="224">
        <f t="array" ref="K128">AVERAGE(IF(ROW($1:$149)-1&gt;K107,,IF(COLUMN($A:$K)&gt;ROW($1:$149)-1,ROW($1:$149)-1,COLUMN($A:$K)-1)))*K115</f>
        <v>0.8648912492</v>
      </c>
      <c r="L128" s="224">
        <f t="array" ref="L128">AVERAGE(IF(ROW($1:$149)-1&gt;L107,,IF(COLUMN($A:$K)&gt;ROW($1:$149)-1,ROW($1:$149)-1,COLUMN($A:$K)-1)))*L115</f>
        <v>0.8584846473</v>
      </c>
      <c r="M128" s="224">
        <f t="array" ref="M128">AVERAGE(IF(ROW($1:$149)-1&gt;M107,,IF(COLUMN($A:$K)&gt;ROW($1:$149)-1,ROW($1:$149)-1,COLUMN($A:$K)-1)))*M115</f>
        <v>0.8520780455</v>
      </c>
      <c r="N128" s="224">
        <f t="array" ref="N128">AVERAGE(IF(ROW($1:$149)-1&gt;N107,,IF(COLUMN($A:$K)&gt;ROW($1:$149)-1,ROW($1:$149)-1,COLUMN($A:$K)-1)))*N115</f>
        <v>0.8392648418</v>
      </c>
      <c r="O128" s="224">
        <f t="array" ref="O128">AVERAGE(IF(ROW($1:$149)-1&gt;O107,,IF(COLUMN($A:$K)&gt;ROW($1:$149)-1,ROW($1:$149)-1,COLUMN($A:$K)-1)))*O115</f>
        <v>0.8392648418</v>
      </c>
      <c r="P128" s="224">
        <f t="array" ref="P128">AVERAGE(IF(ROW($1:$149)-1&gt;P107,,IF(COLUMN($A:$K)&gt;ROW($1:$149)-1,ROW($1:$149)-1,COLUMN($A:$K)-1)))*P115</f>
        <v>0.8392648418</v>
      </c>
      <c r="Q128" s="224">
        <f t="array" ref="Q128">AVERAGE(IF(ROW($1:$149)-1&gt;Q107,,IF(COLUMN($A:$K)&gt;ROW($1:$149)-1,ROW($1:$149)-1,COLUMN($A:$K)-1)))*Q115</f>
        <v>0.8392648418</v>
      </c>
      <c r="R128" s="224">
        <f t="array" ref="R128">AVERAGE(IF(ROW($1:$149)-1&gt;R107,,IF(COLUMN($A:$K)&gt;ROW($1:$149)-1,ROW($1:$149)-1,COLUMN($A:$K)-1)))*R115</f>
        <v>0.8392648418</v>
      </c>
      <c r="S128" s="224">
        <f t="array" ref="S128">AVERAGE(IF(ROW($1:$149)-1&gt;S107,,IF(COLUMN($A:$K)&gt;ROW($1:$149)-1,ROW($1:$149)-1,COLUMN($A:$K)-1)))*S115</f>
        <v>0.8392648418</v>
      </c>
      <c r="T128" s="224">
        <f t="array" ref="T128">AVERAGE(IF(ROW($1:$149)-1&gt;T107,,IF(COLUMN($A:$K)&gt;ROW($1:$149)-1,ROW($1:$149)-1,COLUMN($A:$K)-1)))*T115</f>
        <v>0.8392648418</v>
      </c>
      <c r="U128" s="224">
        <f t="array" ref="U128">AVERAGE(IF(ROW($1:$149)-1&gt;U107,,IF(COLUMN($A:$K)&gt;ROW($1:$149)-1,ROW($1:$149)-1,COLUMN($A:$K)-1)))*U115</f>
        <v>0.8392648418</v>
      </c>
      <c r="V128" s="224">
        <f t="array" ref="V128">AVERAGE(IF(ROW($1:$149)-1&gt;V107,,IF(COLUMN($A:$K)&gt;ROW($1:$149)-1,ROW($1:$149)-1,COLUMN($A:$K)-1)))*V115</f>
        <v>0.8392648418</v>
      </c>
      <c r="W128" s="224">
        <f t="array" ref="W128">AVERAGE(IF(ROW($1:$149)-1&gt;W107,,IF(COLUMN($A:$K)&gt;ROW($1:$149)-1,ROW($1:$149)-1,COLUMN($A:$K)-1)))*W115</f>
        <v>0.8392648418</v>
      </c>
      <c r="X128" s="224">
        <f t="array" ref="X128">AVERAGE(IF(ROW($1:$149)-1&gt;X107,,IF(COLUMN($A:$K)&gt;ROW($1:$149)-1,ROW($1:$149)-1,COLUMN($A:$K)-1)))*X115</f>
        <v>0.8392648418</v>
      </c>
      <c r="Y128" s="224">
        <f t="array" ref="Y128">AVERAGE(IF(ROW($1:$149)-1&gt;Y107,,IF(COLUMN($A:$K)&gt;ROW($1:$149)-1,ROW($1:$149)-1,COLUMN($A:$K)-1)))*Y115</f>
        <v>0.8392648418</v>
      </c>
    </row>
    <row r="129">
      <c r="A129" s="211" t="s">
        <v>209</v>
      </c>
      <c r="B129" s="214" t="b">
        <f>and(or(C1="magic",C1="ranged"),'Sheet 1'!B75='NPC stats'!A460,not('Sheet 1'!B38=Items!A161))</f>
        <v>0</v>
      </c>
      <c r="C129" s="214"/>
      <c r="D129" s="214">
        <f t="array" ref="D129">average(IF(ROW($1:$149)-1&gt;D107,,IF(COLUMN($A:$D)&gt;ROW($1:$149)-1,ROW($1:$149)-1,COLUMN($A:$D)-1)))</f>
        <v>1.45</v>
      </c>
      <c r="E129" s="214">
        <f t="array" ref="E129">average(IF(ROW($1:$149)-1&gt;E107,,IF(COLUMN($A:$D)&gt;ROW($1:$149)-1,ROW($1:$149)-1,COLUMN($A:$D)-1)))</f>
        <v>1.45</v>
      </c>
      <c r="F129" s="214">
        <f t="array" ref="F129">average(IF(ROW($1:$149)-1&gt;F107,,IF(COLUMN($A:$D)&gt;ROW($1:$149)-1,ROW($1:$149)-1,COLUMN($A:$D)-1)))</f>
        <v>1.45</v>
      </c>
      <c r="G129" s="214">
        <f t="array" ref="G129">average(IF(ROW($1:$149)-1&gt;G107,,IF(COLUMN($A:$D)&gt;ROW($1:$149)-1,ROW($1:$149)-1,COLUMN($A:$D)-1)))</f>
        <v>1.45</v>
      </c>
      <c r="H129" s="214">
        <f t="array" ref="H129">average(IF(ROW($1:$149)-1&gt;H107,,IF(COLUMN($A:$D)&gt;ROW($1:$149)-1,ROW($1:$149)-1,COLUMN($A:$D)-1)))</f>
        <v>1.45</v>
      </c>
      <c r="I129" s="214">
        <f t="array" ref="I129">average(IF(ROW($1:$149)-1&gt;I107,,IF(COLUMN($A:$D)&gt;ROW($1:$149)-1,ROW($1:$149)-1,COLUMN($A:$D)-1)))</f>
        <v>1.45</v>
      </c>
      <c r="J129" s="214">
        <f t="array" ref="J129">average(IF(ROW($1:$149)-1&gt;J107,,IF(COLUMN($A:$D)&gt;ROW($1:$149)-1,ROW($1:$149)-1,COLUMN($A:$D)-1)))</f>
        <v>1.45</v>
      </c>
      <c r="K129" s="214">
        <f t="array" ref="K129">average(IF(ROW($1:$149)-1&gt;K107,,IF(COLUMN($A:$D)&gt;ROW($1:$149)-1,ROW($1:$149)-1,COLUMN($A:$D)-1)))</f>
        <v>1.45</v>
      </c>
      <c r="L129" s="214">
        <f t="array" ref="L129">average(IF(ROW($1:$149)-1&gt;L107,,IF(COLUMN($A:$D)&gt;ROW($1:$149)-1,ROW($1:$149)-1,COLUMN($A:$D)-1)))</f>
        <v>1.45</v>
      </c>
      <c r="M129" s="214">
        <f t="array" ref="M129">average(IF(ROW($1:$149)-1&gt;M107,,IF(COLUMN($A:$D)&gt;ROW($1:$149)-1,ROW($1:$149)-1,COLUMN($A:$D)-1)))</f>
        <v>1.45</v>
      </c>
      <c r="N129" s="214">
        <f t="array" ref="N129">average(IF(ROW($1:$149)-1&gt;N107,,IF(COLUMN($A:$D)&gt;ROW($1:$149)-1,ROW($1:$149)-1,COLUMN($A:$D)-1)))</f>
        <v>1.45</v>
      </c>
      <c r="O129" s="214">
        <f t="array" ref="O129">average(IF(ROW($1:$149)-1&gt;O107,,IF(COLUMN($A:$D)&gt;ROW($1:$149)-1,ROW($1:$149)-1,COLUMN($A:$D)-1)))</f>
        <v>1.45</v>
      </c>
      <c r="P129" s="214">
        <f t="array" ref="P129">average(IF(ROW($1:$149)-1&gt;P107,,IF(COLUMN($A:$D)&gt;ROW($1:$149)-1,ROW($1:$149)-1,COLUMN($A:$D)-1)))</f>
        <v>1.45</v>
      </c>
      <c r="Q129" s="214">
        <f t="array" ref="Q129">average(IF(ROW($1:$149)-1&gt;Q107,,IF(COLUMN($A:$D)&gt;ROW($1:$149)-1,ROW($1:$149)-1,COLUMN($A:$D)-1)))</f>
        <v>1.45</v>
      </c>
      <c r="R129" s="214">
        <f t="array" ref="R129">average(IF(ROW($1:$149)-1&gt;R107,,IF(COLUMN($A:$D)&gt;ROW($1:$149)-1,ROW($1:$149)-1,COLUMN($A:$D)-1)))</f>
        <v>1.45</v>
      </c>
      <c r="S129" s="214">
        <f t="array" ref="S129">average(IF(ROW($1:$149)-1&gt;S107,,IF(COLUMN($A:$D)&gt;ROW($1:$149)-1,ROW($1:$149)-1,COLUMN($A:$D)-1)))</f>
        <v>1.45</v>
      </c>
      <c r="T129" s="214">
        <f t="array" ref="T129">average(IF(ROW($1:$149)-1&gt;T107,,IF(COLUMN($A:$D)&gt;ROW($1:$149)-1,ROW($1:$149)-1,COLUMN($A:$D)-1)))</f>
        <v>1.45</v>
      </c>
      <c r="U129" s="214">
        <f t="array" ref="U129">average(IF(ROW($1:$149)-1&gt;U107,,IF(COLUMN($A:$D)&gt;ROW($1:$149)-1,ROW($1:$149)-1,COLUMN($A:$D)-1)))</f>
        <v>1.45</v>
      </c>
      <c r="V129" s="214">
        <f t="array" ref="V129">average(IF(ROW($1:$149)-1&gt;V107,,IF(COLUMN($A:$D)&gt;ROW($1:$149)-1,ROW($1:$149)-1,COLUMN($A:$D)-1)))</f>
        <v>1.45</v>
      </c>
      <c r="W129" s="214">
        <f t="array" ref="W129">average(IF(ROW($1:$149)-1&gt;W107,,IF(COLUMN($A:$D)&gt;ROW($1:$149)-1,ROW($1:$149)-1,COLUMN($A:$D)-1)))</f>
        <v>1.45</v>
      </c>
      <c r="X129" s="214">
        <f t="array" ref="X129">average(IF(ROW($1:$149)-1&gt;X107,,IF(COLUMN($A:$D)&gt;ROW($1:$149)-1,ROW($1:$149)-1,COLUMN($A:$D)-1)))</f>
        <v>1.45</v>
      </c>
      <c r="Y129" s="214">
        <f t="array" ref="Y129">average(IF(ROW($1:$149)-1&gt;Y107,,IF(COLUMN($A:$D)&gt;ROW($1:$149)-1,ROW($1:$149)-1,COLUMN($A:$D)-1)))</f>
        <v>1.45</v>
      </c>
    </row>
    <row r="130">
      <c r="A130" s="211"/>
      <c r="B130" s="214"/>
      <c r="C130" s="214"/>
      <c r="D130" s="214"/>
      <c r="E130" s="214"/>
      <c r="F130" s="214"/>
      <c r="G130" s="214"/>
      <c r="H130" s="214"/>
      <c r="I130" s="214"/>
      <c r="J130" s="214"/>
      <c r="K130" s="214"/>
      <c r="L130" s="214"/>
      <c r="M130" s="214"/>
      <c r="N130" s="214"/>
      <c r="O130" s="214"/>
      <c r="P130" s="214"/>
      <c r="Q130" s="214"/>
      <c r="R130" s="214"/>
      <c r="S130" s="214"/>
      <c r="T130" s="214"/>
      <c r="U130" s="214"/>
      <c r="V130" s="214"/>
      <c r="W130" s="214"/>
      <c r="X130" s="214"/>
      <c r="Y130" s="214"/>
    </row>
    <row r="131">
      <c r="A131" s="211" t="s">
        <v>210</v>
      </c>
      <c r="B131" s="214"/>
      <c r="C131" s="213"/>
      <c r="D131" s="214">
        <f t="array" ref="D131:Y131">TRANSPOSE('Avg damage table p1'!C2:C23)</f>
        <v>24.5</v>
      </c>
      <c r="E131" s="214">
        <v>24.5</v>
      </c>
      <c r="F131" s="214">
        <v>24.5</v>
      </c>
      <c r="G131" s="214">
        <v>24.5</v>
      </c>
      <c r="H131" s="214">
        <v>24.5</v>
      </c>
      <c r="I131" s="214">
        <v>24.5</v>
      </c>
      <c r="J131" s="214">
        <v>24.5</v>
      </c>
      <c r="K131" s="214">
        <v>24.5</v>
      </c>
      <c r="L131" s="214">
        <v>24.5</v>
      </c>
      <c r="M131" s="214">
        <v>24.5</v>
      </c>
      <c r="N131" s="214">
        <v>24.5</v>
      </c>
      <c r="O131" s="214">
        <v>24.5</v>
      </c>
      <c r="P131" s="214">
        <v>24.5</v>
      </c>
      <c r="Q131" s="214">
        <v>24.5</v>
      </c>
      <c r="R131" s="214">
        <v>24.5</v>
      </c>
      <c r="S131" s="214">
        <v>24.5</v>
      </c>
      <c r="T131" s="214">
        <v>24.5</v>
      </c>
      <c r="U131" s="214">
        <v>24.5</v>
      </c>
      <c r="V131" s="214">
        <v>24.5</v>
      </c>
      <c r="W131" s="214">
        <v>24.5</v>
      </c>
      <c r="X131" s="214">
        <v>24.5</v>
      </c>
      <c r="Y131" s="214">
        <v>24.5</v>
      </c>
    </row>
    <row r="132">
      <c r="A132" s="211" t="s">
        <v>210</v>
      </c>
      <c r="B132" s="214"/>
      <c r="C132" s="213"/>
      <c r="D132" s="214">
        <f t="shared" ref="D132:Y132" si="111">IF(OR($B116:$B129),VLOOKUP(TRUE,$B$116:$Y$129,COLUMN(D1)-1,FALSE),D115*D131)</f>
        <v>4.913585068</v>
      </c>
      <c r="E132" s="214">
        <f t="shared" si="111"/>
        <v>4.879462949</v>
      </c>
      <c r="F132" s="214">
        <f t="shared" si="111"/>
        <v>4.811218712</v>
      </c>
      <c r="G132" s="214">
        <f t="shared" si="111"/>
        <v>4.777096594</v>
      </c>
      <c r="H132" s="214">
        <f t="shared" si="111"/>
        <v>4.742974475</v>
      </c>
      <c r="I132" s="214">
        <f t="shared" si="111"/>
        <v>4.708852357</v>
      </c>
      <c r="J132" s="214">
        <f t="shared" si="111"/>
        <v>4.64060812</v>
      </c>
      <c r="K132" s="214">
        <f t="shared" si="111"/>
        <v>4.606486001</v>
      </c>
      <c r="L132" s="214">
        <f t="shared" si="111"/>
        <v>4.572363882</v>
      </c>
      <c r="M132" s="214">
        <f t="shared" si="111"/>
        <v>4.538241764</v>
      </c>
      <c r="N132" s="214">
        <f t="shared" si="111"/>
        <v>4.469997527</v>
      </c>
      <c r="O132" s="214">
        <f t="shared" si="111"/>
        <v>4.469997527</v>
      </c>
      <c r="P132" s="214">
        <f t="shared" si="111"/>
        <v>4.469997527</v>
      </c>
      <c r="Q132" s="214">
        <f t="shared" si="111"/>
        <v>4.469997527</v>
      </c>
      <c r="R132" s="214">
        <f t="shared" si="111"/>
        <v>4.469997527</v>
      </c>
      <c r="S132" s="214">
        <f t="shared" si="111"/>
        <v>4.469997527</v>
      </c>
      <c r="T132" s="214">
        <f t="shared" si="111"/>
        <v>4.469997527</v>
      </c>
      <c r="U132" s="214">
        <f t="shared" si="111"/>
        <v>4.469997527</v>
      </c>
      <c r="V132" s="214">
        <f t="shared" si="111"/>
        <v>4.469997527</v>
      </c>
      <c r="W132" s="214">
        <f t="shared" si="111"/>
        <v>4.469997527</v>
      </c>
      <c r="X132" s="214">
        <f t="shared" si="111"/>
        <v>4.469997527</v>
      </c>
      <c r="Y132" s="214">
        <f t="shared" si="111"/>
        <v>4.469997527</v>
      </c>
    </row>
    <row r="133">
      <c r="A133" s="211" t="str">
        <f>Items!U1</f>
        <v>Attack speed</v>
      </c>
      <c r="B133" s="214" t="b">
        <f>B1="CHOOSE SPELL"</f>
        <v>1</v>
      </c>
      <c r="C133" s="213">
        <f t="array" ref="C133">IF(B133,if(and('Sheet 1'!B38=Items!A167,B45=false),2.4,3),0.6*INDEX(Items!$A$1:$V192,MATCH('Sheet 1'!$B$38,Items!$A$1:$A192,0),MATCH(A133,Items!$A$1:Y$1,0)) - IF(B1="Rapid",0.6,0))</f>
        <v>2.4</v>
      </c>
      <c r="D133" s="214">
        <f t="shared" ref="D133:Y133" si="112">$C133</f>
        <v>2.4</v>
      </c>
      <c r="E133" s="214">
        <f t="shared" si="112"/>
        <v>2.4</v>
      </c>
      <c r="F133" s="214">
        <f t="shared" si="112"/>
        <v>2.4</v>
      </c>
      <c r="G133" s="214">
        <f t="shared" si="112"/>
        <v>2.4</v>
      </c>
      <c r="H133" s="214">
        <f t="shared" si="112"/>
        <v>2.4</v>
      </c>
      <c r="I133" s="214">
        <f t="shared" si="112"/>
        <v>2.4</v>
      </c>
      <c r="J133" s="214">
        <f t="shared" si="112"/>
        <v>2.4</v>
      </c>
      <c r="K133" s="214">
        <f t="shared" si="112"/>
        <v>2.4</v>
      </c>
      <c r="L133" s="214">
        <f t="shared" si="112"/>
        <v>2.4</v>
      </c>
      <c r="M133" s="214">
        <f t="shared" si="112"/>
        <v>2.4</v>
      </c>
      <c r="N133" s="214">
        <f t="shared" si="112"/>
        <v>2.4</v>
      </c>
      <c r="O133" s="214">
        <f t="shared" si="112"/>
        <v>2.4</v>
      </c>
      <c r="P133" s="214">
        <f t="shared" si="112"/>
        <v>2.4</v>
      </c>
      <c r="Q133" s="214">
        <f t="shared" si="112"/>
        <v>2.4</v>
      </c>
      <c r="R133" s="214">
        <f t="shared" si="112"/>
        <v>2.4</v>
      </c>
      <c r="S133" s="214">
        <f t="shared" si="112"/>
        <v>2.4</v>
      </c>
      <c r="T133" s="214">
        <f t="shared" si="112"/>
        <v>2.4</v>
      </c>
      <c r="U133" s="214">
        <f t="shared" si="112"/>
        <v>2.4</v>
      </c>
      <c r="V133" s="214">
        <f t="shared" si="112"/>
        <v>2.4</v>
      </c>
      <c r="W133" s="214">
        <f t="shared" si="112"/>
        <v>2.4</v>
      </c>
      <c r="X133" s="214">
        <f t="shared" si="112"/>
        <v>2.4</v>
      </c>
      <c r="Y133" s="214">
        <f t="shared" si="112"/>
        <v>2.4</v>
      </c>
    </row>
    <row r="134">
      <c r="A134" s="211" t="s">
        <v>211</v>
      </c>
      <c r="B134" s="214" t="b">
        <f>Input!AG14</f>
        <v>0</v>
      </c>
      <c r="C134" s="212">
        <f>C133-if(B134,0.6,0)</f>
        <v>2.4</v>
      </c>
      <c r="D134" s="214">
        <f t="shared" ref="D134:Y134" si="113">$C134</f>
        <v>2.4</v>
      </c>
      <c r="E134" s="214">
        <f t="shared" si="113"/>
        <v>2.4</v>
      </c>
      <c r="F134" s="214">
        <f t="shared" si="113"/>
        <v>2.4</v>
      </c>
      <c r="G134" s="214">
        <f t="shared" si="113"/>
        <v>2.4</v>
      </c>
      <c r="H134" s="214">
        <f t="shared" si="113"/>
        <v>2.4</v>
      </c>
      <c r="I134" s="214">
        <f t="shared" si="113"/>
        <v>2.4</v>
      </c>
      <c r="J134" s="214">
        <f t="shared" si="113"/>
        <v>2.4</v>
      </c>
      <c r="K134" s="214">
        <f t="shared" si="113"/>
        <v>2.4</v>
      </c>
      <c r="L134" s="214">
        <f t="shared" si="113"/>
        <v>2.4</v>
      </c>
      <c r="M134" s="214">
        <f t="shared" si="113"/>
        <v>2.4</v>
      </c>
      <c r="N134" s="214">
        <f t="shared" si="113"/>
        <v>2.4</v>
      </c>
      <c r="O134" s="214">
        <f t="shared" si="113"/>
        <v>2.4</v>
      </c>
      <c r="P134" s="214">
        <f t="shared" si="113"/>
        <v>2.4</v>
      </c>
      <c r="Q134" s="214">
        <f t="shared" si="113"/>
        <v>2.4</v>
      </c>
      <c r="R134" s="214">
        <f t="shared" si="113"/>
        <v>2.4</v>
      </c>
      <c r="S134" s="214">
        <f t="shared" si="113"/>
        <v>2.4</v>
      </c>
      <c r="T134" s="214">
        <f t="shared" si="113"/>
        <v>2.4</v>
      </c>
      <c r="U134" s="214">
        <f t="shared" si="113"/>
        <v>2.4</v>
      </c>
      <c r="V134" s="214">
        <f t="shared" si="113"/>
        <v>2.4</v>
      </c>
      <c r="W134" s="214">
        <f t="shared" si="113"/>
        <v>2.4</v>
      </c>
      <c r="X134" s="214">
        <f t="shared" si="113"/>
        <v>2.4</v>
      </c>
      <c r="Y134" s="214">
        <f t="shared" si="113"/>
        <v>2.4</v>
      </c>
    </row>
    <row r="135">
      <c r="A135" s="218" t="s">
        <v>212</v>
      </c>
      <c r="B135" s="225"/>
      <c r="C135" s="221" t="s">
        <v>213</v>
      </c>
      <c r="D135" s="225">
        <f t="shared" ref="D135:Y135" si="114">D132/D134</f>
        <v>2.047327112</v>
      </c>
      <c r="E135" s="225">
        <f t="shared" si="114"/>
        <v>2.033109562</v>
      </c>
      <c r="F135" s="225">
        <f t="shared" si="114"/>
        <v>2.004674463</v>
      </c>
      <c r="G135" s="225">
        <f t="shared" si="114"/>
        <v>1.990456914</v>
      </c>
      <c r="H135" s="225">
        <f t="shared" si="114"/>
        <v>1.976239365</v>
      </c>
      <c r="I135" s="225">
        <f t="shared" si="114"/>
        <v>1.962021815</v>
      </c>
      <c r="J135" s="225">
        <f t="shared" si="114"/>
        <v>1.933586716</v>
      </c>
      <c r="K135" s="225">
        <f t="shared" si="114"/>
        <v>1.919369167</v>
      </c>
      <c r="L135" s="225">
        <f t="shared" si="114"/>
        <v>1.905151618</v>
      </c>
      <c r="M135" s="225">
        <f t="shared" si="114"/>
        <v>1.890934068</v>
      </c>
      <c r="N135" s="225">
        <f t="shared" si="114"/>
        <v>1.86249897</v>
      </c>
      <c r="O135" s="225">
        <f t="shared" si="114"/>
        <v>1.86249897</v>
      </c>
      <c r="P135" s="225">
        <f t="shared" si="114"/>
        <v>1.86249897</v>
      </c>
      <c r="Q135" s="225">
        <f t="shared" si="114"/>
        <v>1.86249897</v>
      </c>
      <c r="R135" s="225">
        <f t="shared" si="114"/>
        <v>1.86249897</v>
      </c>
      <c r="S135" s="225">
        <f t="shared" si="114"/>
        <v>1.86249897</v>
      </c>
      <c r="T135" s="225">
        <f t="shared" si="114"/>
        <v>1.86249897</v>
      </c>
      <c r="U135" s="225">
        <f t="shared" si="114"/>
        <v>1.86249897</v>
      </c>
      <c r="V135" s="225">
        <f t="shared" si="114"/>
        <v>1.86249897</v>
      </c>
      <c r="W135" s="225">
        <f t="shared" si="114"/>
        <v>1.86249897</v>
      </c>
      <c r="X135" s="225">
        <f t="shared" si="114"/>
        <v>1.86249897</v>
      </c>
      <c r="Y135" s="225">
        <f t="shared" si="114"/>
        <v>1.86249897</v>
      </c>
    </row>
    <row r="136">
      <c r="A136" s="218" t="s">
        <v>214</v>
      </c>
      <c r="B136" s="225"/>
      <c r="C136" s="221" t="s">
        <v>215</v>
      </c>
      <c r="D136" s="225">
        <f t="shared" ref="D136:Y136" si="115">AVERAGE($D135:D135)</f>
        <v>2.047327112</v>
      </c>
      <c r="E136" s="225">
        <f t="shared" si="115"/>
        <v>2.040218337</v>
      </c>
      <c r="F136" s="225">
        <f t="shared" si="115"/>
        <v>2.028370379</v>
      </c>
      <c r="G136" s="225">
        <f t="shared" si="115"/>
        <v>2.018892013</v>
      </c>
      <c r="H136" s="225">
        <f t="shared" si="115"/>
        <v>2.010361483</v>
      </c>
      <c r="I136" s="225">
        <f t="shared" si="115"/>
        <v>2.002304872</v>
      </c>
      <c r="J136" s="225">
        <f t="shared" si="115"/>
        <v>1.992487993</v>
      </c>
      <c r="K136" s="225">
        <f t="shared" si="115"/>
        <v>1.983348139</v>
      </c>
      <c r="L136" s="225">
        <f t="shared" si="115"/>
        <v>1.974659637</v>
      </c>
      <c r="M136" s="225">
        <f t="shared" si="115"/>
        <v>1.96628708</v>
      </c>
      <c r="N136" s="225">
        <f t="shared" si="115"/>
        <v>1.956851797</v>
      </c>
      <c r="O136" s="225">
        <f t="shared" si="115"/>
        <v>1.948989062</v>
      </c>
      <c r="P136" s="225">
        <f t="shared" si="115"/>
        <v>1.942335978</v>
      </c>
      <c r="Q136" s="225">
        <f t="shared" si="115"/>
        <v>1.936633334</v>
      </c>
      <c r="R136" s="225">
        <f t="shared" si="115"/>
        <v>1.931691043</v>
      </c>
      <c r="S136" s="225">
        <f t="shared" si="115"/>
        <v>1.927366539</v>
      </c>
      <c r="T136" s="225">
        <f t="shared" si="115"/>
        <v>1.923550799</v>
      </c>
      <c r="U136" s="225">
        <f t="shared" si="115"/>
        <v>1.920159031</v>
      </c>
      <c r="V136" s="225">
        <f t="shared" si="115"/>
        <v>1.917124291</v>
      </c>
      <c r="W136" s="225">
        <f t="shared" si="115"/>
        <v>1.914393025</v>
      </c>
      <c r="X136" s="225">
        <f t="shared" si="115"/>
        <v>1.911921879</v>
      </c>
      <c r="Y136" s="225">
        <f t="shared" si="115"/>
        <v>1.909675383</v>
      </c>
    </row>
    <row r="137">
      <c r="A137" s="211" t="s">
        <v>216</v>
      </c>
      <c r="B137" s="214"/>
      <c r="C137" s="213">
        <f>'Sheet 1'!$F$92</f>
        <v>2000</v>
      </c>
      <c r="D137" s="214">
        <f t="shared" ref="D137:Y137" si="116">D27*MIN(D107,$C137)*(MIN(D107,$C137)+1)*((($C137+D107+1)/($C137*(D107+1)*2))-(2/($C137*(D107+1)*6))*(2*MIN(D107,$C137)+1))</f>
        <v>4.874276387</v>
      </c>
      <c r="E137" s="214">
        <f t="shared" si="116"/>
        <v>4.840427246</v>
      </c>
      <c r="F137" s="214">
        <f t="shared" si="116"/>
        <v>4.772728962</v>
      </c>
      <c r="G137" s="214">
        <f t="shared" si="116"/>
        <v>4.738879821</v>
      </c>
      <c r="H137" s="214">
        <f t="shared" si="116"/>
        <v>4.705030679</v>
      </c>
      <c r="I137" s="214">
        <f t="shared" si="116"/>
        <v>4.671181538</v>
      </c>
      <c r="J137" s="214">
        <f t="shared" si="116"/>
        <v>4.603483255</v>
      </c>
      <c r="K137" s="214">
        <f t="shared" si="116"/>
        <v>4.569634113</v>
      </c>
      <c r="L137" s="214">
        <f t="shared" si="116"/>
        <v>4.535784971</v>
      </c>
      <c r="M137" s="214">
        <f t="shared" si="116"/>
        <v>4.50193583</v>
      </c>
      <c r="N137" s="214">
        <f t="shared" si="116"/>
        <v>4.434237547</v>
      </c>
      <c r="O137" s="214">
        <f t="shared" si="116"/>
        <v>4.434237547</v>
      </c>
      <c r="P137" s="214">
        <f t="shared" si="116"/>
        <v>4.434237547</v>
      </c>
      <c r="Q137" s="214">
        <f t="shared" si="116"/>
        <v>4.434237547</v>
      </c>
      <c r="R137" s="214">
        <f t="shared" si="116"/>
        <v>4.434237547</v>
      </c>
      <c r="S137" s="214">
        <f t="shared" si="116"/>
        <v>4.434237547</v>
      </c>
      <c r="T137" s="214">
        <f t="shared" si="116"/>
        <v>4.434237547</v>
      </c>
      <c r="U137" s="214">
        <f t="shared" si="116"/>
        <v>4.434237547</v>
      </c>
      <c r="V137" s="214">
        <f t="shared" si="116"/>
        <v>4.434237547</v>
      </c>
      <c r="W137" s="214">
        <f t="shared" si="116"/>
        <v>4.434237547</v>
      </c>
      <c r="X137" s="214">
        <f t="shared" si="116"/>
        <v>4.434237547</v>
      </c>
      <c r="Y137" s="214">
        <f t="shared" si="116"/>
        <v>4.434237547</v>
      </c>
    </row>
    <row r="138">
      <c r="A138" s="218" t="s">
        <v>10</v>
      </c>
      <c r="B138" s="225"/>
      <c r="C138" s="221" t="s">
        <v>10</v>
      </c>
      <c r="D138" s="225">
        <f t="shared" ref="D138:Y138" si="117">D137/D133</f>
        <v>2.030948495</v>
      </c>
      <c r="E138" s="225">
        <f t="shared" si="117"/>
        <v>2.016844686</v>
      </c>
      <c r="F138" s="225">
        <f t="shared" si="117"/>
        <v>1.988637068</v>
      </c>
      <c r="G138" s="225">
        <f t="shared" si="117"/>
        <v>1.974533259</v>
      </c>
      <c r="H138" s="225">
        <f t="shared" si="117"/>
        <v>1.96042945</v>
      </c>
      <c r="I138" s="225">
        <f t="shared" si="117"/>
        <v>1.946325641</v>
      </c>
      <c r="J138" s="225">
        <f t="shared" si="117"/>
        <v>1.918118023</v>
      </c>
      <c r="K138" s="225">
        <f t="shared" si="117"/>
        <v>1.904014214</v>
      </c>
      <c r="L138" s="225">
        <f t="shared" si="117"/>
        <v>1.889910405</v>
      </c>
      <c r="M138" s="225">
        <f t="shared" si="117"/>
        <v>1.875806596</v>
      </c>
      <c r="N138" s="225">
        <f t="shared" si="117"/>
        <v>1.847598978</v>
      </c>
      <c r="O138" s="225">
        <f t="shared" si="117"/>
        <v>1.847598978</v>
      </c>
      <c r="P138" s="225">
        <f t="shared" si="117"/>
        <v>1.847598978</v>
      </c>
      <c r="Q138" s="225">
        <f t="shared" si="117"/>
        <v>1.847598978</v>
      </c>
      <c r="R138" s="225">
        <f t="shared" si="117"/>
        <v>1.847598978</v>
      </c>
      <c r="S138" s="225">
        <f t="shared" si="117"/>
        <v>1.847598978</v>
      </c>
      <c r="T138" s="225">
        <f t="shared" si="117"/>
        <v>1.847598978</v>
      </c>
      <c r="U138" s="225">
        <f t="shared" si="117"/>
        <v>1.847598978</v>
      </c>
      <c r="V138" s="225">
        <f t="shared" si="117"/>
        <v>1.847598978</v>
      </c>
      <c r="W138" s="225">
        <f t="shared" si="117"/>
        <v>1.847598978</v>
      </c>
      <c r="X138" s="225">
        <f t="shared" si="117"/>
        <v>1.847598978</v>
      </c>
      <c r="Y138" s="225">
        <f t="shared" si="117"/>
        <v>1.847598978</v>
      </c>
    </row>
    <row r="139">
      <c r="A139" s="218" t="s">
        <v>217</v>
      </c>
      <c r="B139" s="225"/>
      <c r="C139" s="221" t="s">
        <v>217</v>
      </c>
      <c r="D139" s="225">
        <f t="shared" ref="D139:Y139" si="118">AVERAGE($D138:D138)</f>
        <v>2.030948495</v>
      </c>
      <c r="E139" s="225">
        <f t="shared" si="118"/>
        <v>2.02389659</v>
      </c>
      <c r="F139" s="225">
        <f t="shared" si="118"/>
        <v>2.012143416</v>
      </c>
      <c r="G139" s="225">
        <f t="shared" si="118"/>
        <v>2.002740877</v>
      </c>
      <c r="H139" s="225">
        <f t="shared" si="118"/>
        <v>1.994278591</v>
      </c>
      <c r="I139" s="225">
        <f t="shared" si="118"/>
        <v>1.986286433</v>
      </c>
      <c r="J139" s="225">
        <f t="shared" si="118"/>
        <v>1.976548089</v>
      </c>
      <c r="K139" s="225">
        <f t="shared" si="118"/>
        <v>1.967481354</v>
      </c>
      <c r="L139" s="225">
        <f t="shared" si="118"/>
        <v>1.95886236</v>
      </c>
      <c r="M139" s="225">
        <f t="shared" si="118"/>
        <v>1.950556783</v>
      </c>
      <c r="N139" s="225">
        <f t="shared" si="118"/>
        <v>1.941196983</v>
      </c>
      <c r="O139" s="225">
        <f t="shared" si="118"/>
        <v>1.933397149</v>
      </c>
      <c r="P139" s="225">
        <f t="shared" si="118"/>
        <v>1.92679729</v>
      </c>
      <c r="Q139" s="225">
        <f t="shared" si="118"/>
        <v>1.921140268</v>
      </c>
      <c r="R139" s="225">
        <f t="shared" si="118"/>
        <v>1.916237515</v>
      </c>
      <c r="S139" s="225">
        <f t="shared" si="118"/>
        <v>1.911947606</v>
      </c>
      <c r="T139" s="225">
        <f t="shared" si="118"/>
        <v>1.908162393</v>
      </c>
      <c r="U139" s="225">
        <f t="shared" si="118"/>
        <v>1.904797759</v>
      </c>
      <c r="V139" s="225">
        <f t="shared" si="118"/>
        <v>1.901787297</v>
      </c>
      <c r="W139" s="225">
        <f t="shared" si="118"/>
        <v>1.899077881</v>
      </c>
      <c r="X139" s="225">
        <f t="shared" si="118"/>
        <v>1.896626504</v>
      </c>
      <c r="Y139" s="225">
        <f t="shared" si="118"/>
        <v>1.89439798</v>
      </c>
    </row>
    <row r="140">
      <c r="A140" s="226" t="str">
        <f>'NPC stats'!C2</f>
        <v>Exp bonus</v>
      </c>
      <c r="B140" s="214" t="str">
        <f>'Sheet 1'!B75</f>
        <v>Corporeal beast</v>
      </c>
      <c r="C140" s="227">
        <f t="array" ref="C140">INDEX('NPC stats'!$A$2:$Z192,MATCH(B140,'NPC stats'!$A$2:$A192,0),MATCH(A140,'NPC stats'!$A$2:Y$2,0))</f>
        <v>0.55</v>
      </c>
      <c r="D140" s="217">
        <f t="shared" ref="D140:Y140" si="119">4*(1+$C140)</f>
        <v>6.2</v>
      </c>
      <c r="E140" s="217">
        <f t="shared" si="119"/>
        <v>6.2</v>
      </c>
      <c r="F140" s="217">
        <f t="shared" si="119"/>
        <v>6.2</v>
      </c>
      <c r="G140" s="217">
        <f t="shared" si="119"/>
        <v>6.2</v>
      </c>
      <c r="H140" s="217">
        <f t="shared" si="119"/>
        <v>6.2</v>
      </c>
      <c r="I140" s="217">
        <f t="shared" si="119"/>
        <v>6.2</v>
      </c>
      <c r="J140" s="217">
        <f t="shared" si="119"/>
        <v>6.2</v>
      </c>
      <c r="K140" s="217">
        <f t="shared" si="119"/>
        <v>6.2</v>
      </c>
      <c r="L140" s="217">
        <f t="shared" si="119"/>
        <v>6.2</v>
      </c>
      <c r="M140" s="217">
        <f t="shared" si="119"/>
        <v>6.2</v>
      </c>
      <c r="N140" s="217">
        <f t="shared" si="119"/>
        <v>6.2</v>
      </c>
      <c r="O140" s="217">
        <f t="shared" si="119"/>
        <v>6.2</v>
      </c>
      <c r="P140" s="217">
        <f t="shared" si="119"/>
        <v>6.2</v>
      </c>
      <c r="Q140" s="217">
        <f t="shared" si="119"/>
        <v>6.2</v>
      </c>
      <c r="R140" s="217">
        <f t="shared" si="119"/>
        <v>6.2</v>
      </c>
      <c r="S140" s="217">
        <f t="shared" si="119"/>
        <v>6.2</v>
      </c>
      <c r="T140" s="217">
        <f t="shared" si="119"/>
        <v>6.2</v>
      </c>
      <c r="U140" s="217">
        <f t="shared" si="119"/>
        <v>6.2</v>
      </c>
      <c r="V140" s="217">
        <f t="shared" si="119"/>
        <v>6.2</v>
      </c>
      <c r="W140" s="217">
        <f t="shared" si="119"/>
        <v>6.2</v>
      </c>
      <c r="X140" s="217">
        <f t="shared" si="119"/>
        <v>6.2</v>
      </c>
      <c r="Y140" s="217">
        <f t="shared" si="119"/>
        <v>6.2</v>
      </c>
    </row>
    <row r="141">
      <c r="A141" s="218" t="s">
        <v>218</v>
      </c>
      <c r="B141" s="225"/>
      <c r="C141" s="221" t="s">
        <v>219</v>
      </c>
      <c r="D141" s="228">
        <f t="shared" ref="D141:Y141" si="120">INT(D137*D140/D133*3600)</f>
        <v>45330</v>
      </c>
      <c r="E141" s="228">
        <f t="shared" si="120"/>
        <v>45015</v>
      </c>
      <c r="F141" s="228">
        <f t="shared" si="120"/>
        <v>44386</v>
      </c>
      <c r="G141" s="228">
        <f t="shared" si="120"/>
        <v>44071</v>
      </c>
      <c r="H141" s="228">
        <f t="shared" si="120"/>
        <v>43756</v>
      </c>
      <c r="I141" s="228">
        <f t="shared" si="120"/>
        <v>43441</v>
      </c>
      <c r="J141" s="228">
        <f t="shared" si="120"/>
        <v>42812</v>
      </c>
      <c r="K141" s="228">
        <f t="shared" si="120"/>
        <v>42497</v>
      </c>
      <c r="L141" s="228">
        <f t="shared" si="120"/>
        <v>42182</v>
      </c>
      <c r="M141" s="228">
        <f t="shared" si="120"/>
        <v>41868</v>
      </c>
      <c r="N141" s="228">
        <f t="shared" si="120"/>
        <v>41238</v>
      </c>
      <c r="O141" s="228">
        <f t="shared" si="120"/>
        <v>41238</v>
      </c>
      <c r="P141" s="228">
        <f t="shared" si="120"/>
        <v>41238</v>
      </c>
      <c r="Q141" s="228">
        <f t="shared" si="120"/>
        <v>41238</v>
      </c>
      <c r="R141" s="228">
        <f t="shared" si="120"/>
        <v>41238</v>
      </c>
      <c r="S141" s="228">
        <f t="shared" si="120"/>
        <v>41238</v>
      </c>
      <c r="T141" s="228">
        <f t="shared" si="120"/>
        <v>41238</v>
      </c>
      <c r="U141" s="228">
        <f t="shared" si="120"/>
        <v>41238</v>
      </c>
      <c r="V141" s="228">
        <f t="shared" si="120"/>
        <v>41238</v>
      </c>
      <c r="W141" s="228">
        <f t="shared" si="120"/>
        <v>41238</v>
      </c>
      <c r="X141" s="228">
        <f t="shared" si="120"/>
        <v>41238</v>
      </c>
      <c r="Y141" s="228">
        <f t="shared" si="120"/>
        <v>41238</v>
      </c>
    </row>
    <row r="142">
      <c r="A142" s="218" t="s">
        <v>220</v>
      </c>
      <c r="B142" s="225"/>
      <c r="C142" s="221" t="s">
        <v>221</v>
      </c>
      <c r="D142" s="228">
        <f t="shared" ref="D142:Y142" si="121">INT(AVERAGE($D141:D141))</f>
        <v>45330</v>
      </c>
      <c r="E142" s="228">
        <f t="shared" si="121"/>
        <v>45172</v>
      </c>
      <c r="F142" s="228">
        <f t="shared" si="121"/>
        <v>44910</v>
      </c>
      <c r="G142" s="228">
        <f t="shared" si="121"/>
        <v>44700</v>
      </c>
      <c r="H142" s="228">
        <f t="shared" si="121"/>
        <v>44511</v>
      </c>
      <c r="I142" s="228">
        <f t="shared" si="121"/>
        <v>44333</v>
      </c>
      <c r="J142" s="228">
        <f t="shared" si="121"/>
        <v>44115</v>
      </c>
      <c r="K142" s="228">
        <f t="shared" si="121"/>
        <v>43913</v>
      </c>
      <c r="L142" s="228">
        <f t="shared" si="121"/>
        <v>43721</v>
      </c>
      <c r="M142" s="228">
        <f t="shared" si="121"/>
        <v>43535</v>
      </c>
      <c r="N142" s="228">
        <f t="shared" si="121"/>
        <v>43326</v>
      </c>
      <c r="O142" s="228">
        <f t="shared" si="121"/>
        <v>43152</v>
      </c>
      <c r="P142" s="228">
        <f t="shared" si="121"/>
        <v>43005</v>
      </c>
      <c r="Q142" s="228">
        <f t="shared" si="121"/>
        <v>42879</v>
      </c>
      <c r="R142" s="228">
        <f t="shared" si="121"/>
        <v>42769</v>
      </c>
      <c r="S142" s="228">
        <f t="shared" si="121"/>
        <v>42674</v>
      </c>
      <c r="T142" s="228">
        <f t="shared" si="121"/>
        <v>42589</v>
      </c>
      <c r="U142" s="228">
        <f t="shared" si="121"/>
        <v>42514</v>
      </c>
      <c r="V142" s="228">
        <f t="shared" si="121"/>
        <v>42447</v>
      </c>
      <c r="W142" s="228">
        <f t="shared" si="121"/>
        <v>42386</v>
      </c>
      <c r="X142" s="228">
        <f t="shared" si="121"/>
        <v>42332</v>
      </c>
      <c r="Y142" s="228">
        <f t="shared" si="121"/>
        <v>42282</v>
      </c>
    </row>
    <row r="143">
      <c r="A143" s="214"/>
      <c r="B143" s="214"/>
      <c r="C143" s="213"/>
      <c r="D143" s="214"/>
      <c r="E143" s="214"/>
      <c r="F143" s="214"/>
      <c r="G143" s="214"/>
      <c r="H143" s="214"/>
      <c r="I143" s="214"/>
      <c r="J143" s="214"/>
      <c r="K143" s="214"/>
      <c r="L143" s="214"/>
      <c r="M143" s="214"/>
      <c r="N143" s="214"/>
      <c r="O143" s="214"/>
      <c r="P143" s="214"/>
      <c r="Q143" s="214"/>
      <c r="R143" s="214"/>
      <c r="S143" s="214"/>
      <c r="T143" s="214"/>
      <c r="U143" s="214"/>
      <c r="V143" s="214"/>
      <c r="W143" s="214"/>
      <c r="X143" s="214"/>
      <c r="Y143" s="214"/>
    </row>
    <row r="144">
      <c r="A144" s="229" t="s">
        <v>222</v>
      </c>
      <c r="B144" s="214"/>
      <c r="C144" s="213">
        <f>'Sheet 1'!D6</f>
        <v>99</v>
      </c>
      <c r="D144" s="214">
        <f>'Sheet 1'!I6</f>
        <v>118</v>
      </c>
      <c r="E144" s="214">
        <f t="shared" ref="E144:Y144" si="122">MAX($C144,D144-1)</f>
        <v>117</v>
      </c>
      <c r="F144" s="214">
        <f t="shared" si="122"/>
        <v>116</v>
      </c>
      <c r="G144" s="214">
        <f t="shared" si="122"/>
        <v>115</v>
      </c>
      <c r="H144" s="214">
        <f t="shared" si="122"/>
        <v>114</v>
      </c>
      <c r="I144" s="214">
        <f t="shared" si="122"/>
        <v>113</v>
      </c>
      <c r="J144" s="214">
        <f t="shared" si="122"/>
        <v>112</v>
      </c>
      <c r="K144" s="214">
        <f t="shared" si="122"/>
        <v>111</v>
      </c>
      <c r="L144" s="214">
        <f t="shared" si="122"/>
        <v>110</v>
      </c>
      <c r="M144" s="214">
        <f t="shared" si="122"/>
        <v>109</v>
      </c>
      <c r="N144" s="214">
        <f t="shared" si="122"/>
        <v>108</v>
      </c>
      <c r="O144" s="214">
        <f t="shared" si="122"/>
        <v>107</v>
      </c>
      <c r="P144" s="214">
        <f t="shared" si="122"/>
        <v>106</v>
      </c>
      <c r="Q144" s="214">
        <f t="shared" si="122"/>
        <v>105</v>
      </c>
      <c r="R144" s="214">
        <f t="shared" si="122"/>
        <v>104</v>
      </c>
      <c r="S144" s="214">
        <f t="shared" si="122"/>
        <v>103</v>
      </c>
      <c r="T144" s="214">
        <f t="shared" si="122"/>
        <v>102</v>
      </c>
      <c r="U144" s="214">
        <f t="shared" si="122"/>
        <v>101</v>
      </c>
      <c r="V144" s="214">
        <f t="shared" si="122"/>
        <v>100</v>
      </c>
      <c r="W144" s="214">
        <f t="shared" si="122"/>
        <v>99</v>
      </c>
      <c r="X144" s="214">
        <f t="shared" si="122"/>
        <v>99</v>
      </c>
      <c r="Y144" s="214">
        <f t="shared" si="122"/>
        <v>99</v>
      </c>
    </row>
    <row r="145">
      <c r="A145" s="229" t="s">
        <v>223</v>
      </c>
      <c r="B145" s="214"/>
      <c r="C145" s="213">
        <f>1+'Sheet 1'!L6</f>
        <v>1.2</v>
      </c>
      <c r="D145" s="214">
        <f t="shared" ref="D145:Y145" si="123">int(D144*$C145)</f>
        <v>141</v>
      </c>
      <c r="E145" s="214">
        <f t="shared" si="123"/>
        <v>140</v>
      </c>
      <c r="F145" s="214">
        <f t="shared" si="123"/>
        <v>139</v>
      </c>
      <c r="G145" s="214">
        <f t="shared" si="123"/>
        <v>138</v>
      </c>
      <c r="H145" s="214">
        <f t="shared" si="123"/>
        <v>136</v>
      </c>
      <c r="I145" s="214">
        <f t="shared" si="123"/>
        <v>135</v>
      </c>
      <c r="J145" s="214">
        <f t="shared" si="123"/>
        <v>134</v>
      </c>
      <c r="K145" s="214">
        <f t="shared" si="123"/>
        <v>133</v>
      </c>
      <c r="L145" s="214">
        <f t="shared" si="123"/>
        <v>132</v>
      </c>
      <c r="M145" s="214">
        <f t="shared" si="123"/>
        <v>130</v>
      </c>
      <c r="N145" s="214">
        <f t="shared" si="123"/>
        <v>129</v>
      </c>
      <c r="O145" s="214">
        <f t="shared" si="123"/>
        <v>128</v>
      </c>
      <c r="P145" s="214">
        <f t="shared" si="123"/>
        <v>127</v>
      </c>
      <c r="Q145" s="214">
        <f t="shared" si="123"/>
        <v>126</v>
      </c>
      <c r="R145" s="214">
        <f t="shared" si="123"/>
        <v>124</v>
      </c>
      <c r="S145" s="214">
        <f t="shared" si="123"/>
        <v>123</v>
      </c>
      <c r="T145" s="214">
        <f t="shared" si="123"/>
        <v>122</v>
      </c>
      <c r="U145" s="214">
        <f t="shared" si="123"/>
        <v>121</v>
      </c>
      <c r="V145" s="214">
        <f t="shared" si="123"/>
        <v>120</v>
      </c>
      <c r="W145" s="214">
        <f t="shared" si="123"/>
        <v>118</v>
      </c>
      <c r="X145" s="214">
        <f t="shared" si="123"/>
        <v>118</v>
      </c>
      <c r="Y145" s="214">
        <f t="shared" si="123"/>
        <v>118</v>
      </c>
    </row>
    <row r="146">
      <c r="A146" s="229" t="s">
        <v>224</v>
      </c>
      <c r="B146" s="214"/>
      <c r="C146" s="212">
        <v>8.0</v>
      </c>
      <c r="D146" s="214">
        <f t="shared" ref="D146:Y146" si="124">D145+$C$146</f>
        <v>149</v>
      </c>
      <c r="E146" s="214">
        <f t="shared" si="124"/>
        <v>148</v>
      </c>
      <c r="F146" s="214">
        <f t="shared" si="124"/>
        <v>147</v>
      </c>
      <c r="G146" s="214">
        <f t="shared" si="124"/>
        <v>146</v>
      </c>
      <c r="H146" s="214">
        <f t="shared" si="124"/>
        <v>144</v>
      </c>
      <c r="I146" s="214">
        <f t="shared" si="124"/>
        <v>143</v>
      </c>
      <c r="J146" s="214">
        <f t="shared" si="124"/>
        <v>142</v>
      </c>
      <c r="K146" s="214">
        <f t="shared" si="124"/>
        <v>141</v>
      </c>
      <c r="L146" s="214">
        <f t="shared" si="124"/>
        <v>140</v>
      </c>
      <c r="M146" s="214">
        <f t="shared" si="124"/>
        <v>138</v>
      </c>
      <c r="N146" s="214">
        <f t="shared" si="124"/>
        <v>137</v>
      </c>
      <c r="O146" s="214">
        <f t="shared" si="124"/>
        <v>136</v>
      </c>
      <c r="P146" s="214">
        <f t="shared" si="124"/>
        <v>135</v>
      </c>
      <c r="Q146" s="214">
        <f t="shared" si="124"/>
        <v>134</v>
      </c>
      <c r="R146" s="214">
        <f t="shared" si="124"/>
        <v>132</v>
      </c>
      <c r="S146" s="214">
        <f t="shared" si="124"/>
        <v>131</v>
      </c>
      <c r="T146" s="214">
        <f t="shared" si="124"/>
        <v>130</v>
      </c>
      <c r="U146" s="214">
        <f t="shared" si="124"/>
        <v>129</v>
      </c>
      <c r="V146" s="214">
        <f t="shared" si="124"/>
        <v>128</v>
      </c>
      <c r="W146" s="214">
        <f t="shared" si="124"/>
        <v>126</v>
      </c>
      <c r="X146" s="214">
        <f t="shared" si="124"/>
        <v>126</v>
      </c>
      <c r="Y146" s="214">
        <f t="shared" si="124"/>
        <v>126</v>
      </c>
    </row>
    <row r="147">
      <c r="A147" s="229" t="s">
        <v>156</v>
      </c>
      <c r="B147" s="214" t="b">
        <f>AND('Sheet 1'!$B$41=Items!$A$208,OR('Sheet 1'!$B$44=Items!$A$289,'Sheet 1'!$B$44=Items!$A$290),OR('Sheet 1'!$B$45=Items!$A$333,'Sheet 1'!$B$45=Items!$A$334),'Sheet 1'!$B$47=Items!$A$417)</f>
        <v>0</v>
      </c>
      <c r="C147" s="213">
        <f>if(B147,1.1,1)</f>
        <v>1</v>
      </c>
      <c r="D147" s="214">
        <f t="shared" ref="D147:Y147" si="125">int(D146*$C147)</f>
        <v>149</v>
      </c>
      <c r="E147" s="214">
        <f t="shared" si="125"/>
        <v>148</v>
      </c>
      <c r="F147" s="214">
        <f t="shared" si="125"/>
        <v>147</v>
      </c>
      <c r="G147" s="214">
        <f t="shared" si="125"/>
        <v>146</v>
      </c>
      <c r="H147" s="214">
        <f t="shared" si="125"/>
        <v>144</v>
      </c>
      <c r="I147" s="214">
        <f t="shared" si="125"/>
        <v>143</v>
      </c>
      <c r="J147" s="214">
        <f t="shared" si="125"/>
        <v>142</v>
      </c>
      <c r="K147" s="214">
        <f t="shared" si="125"/>
        <v>141</v>
      </c>
      <c r="L147" s="214">
        <f t="shared" si="125"/>
        <v>140</v>
      </c>
      <c r="M147" s="214">
        <f t="shared" si="125"/>
        <v>138</v>
      </c>
      <c r="N147" s="214">
        <f t="shared" si="125"/>
        <v>137</v>
      </c>
      <c r="O147" s="214">
        <f t="shared" si="125"/>
        <v>136</v>
      </c>
      <c r="P147" s="214">
        <f t="shared" si="125"/>
        <v>135</v>
      </c>
      <c r="Q147" s="214">
        <f t="shared" si="125"/>
        <v>134</v>
      </c>
      <c r="R147" s="214">
        <f t="shared" si="125"/>
        <v>132</v>
      </c>
      <c r="S147" s="214">
        <f t="shared" si="125"/>
        <v>131</v>
      </c>
      <c r="T147" s="214">
        <f t="shared" si="125"/>
        <v>130</v>
      </c>
      <c r="U147" s="214">
        <f t="shared" si="125"/>
        <v>129</v>
      </c>
      <c r="V147" s="214">
        <f t="shared" si="125"/>
        <v>128</v>
      </c>
      <c r="W147" s="214">
        <f t="shared" si="125"/>
        <v>126</v>
      </c>
      <c r="X147" s="214">
        <f t="shared" si="125"/>
        <v>126</v>
      </c>
      <c r="Y147" s="214">
        <f t="shared" si="125"/>
        <v>126</v>
      </c>
    </row>
    <row r="148">
      <c r="A148" s="229" t="s">
        <v>157</v>
      </c>
      <c r="B148" s="214"/>
      <c r="C148" s="213"/>
      <c r="D148" s="214">
        <f t="shared" ref="D148:Y148" si="126">D147</f>
        <v>149</v>
      </c>
      <c r="E148" s="214">
        <f t="shared" si="126"/>
        <v>148</v>
      </c>
      <c r="F148" s="214">
        <f t="shared" si="126"/>
        <v>147</v>
      </c>
      <c r="G148" s="214">
        <f t="shared" si="126"/>
        <v>146</v>
      </c>
      <c r="H148" s="214">
        <f t="shared" si="126"/>
        <v>144</v>
      </c>
      <c r="I148" s="214">
        <f t="shared" si="126"/>
        <v>143</v>
      </c>
      <c r="J148" s="214">
        <f t="shared" si="126"/>
        <v>142</v>
      </c>
      <c r="K148" s="214">
        <f t="shared" si="126"/>
        <v>141</v>
      </c>
      <c r="L148" s="214">
        <f t="shared" si="126"/>
        <v>140</v>
      </c>
      <c r="M148" s="214">
        <f t="shared" si="126"/>
        <v>138</v>
      </c>
      <c r="N148" s="214">
        <f t="shared" si="126"/>
        <v>137</v>
      </c>
      <c r="O148" s="214">
        <f t="shared" si="126"/>
        <v>136</v>
      </c>
      <c r="P148" s="214">
        <f t="shared" si="126"/>
        <v>135</v>
      </c>
      <c r="Q148" s="214">
        <f t="shared" si="126"/>
        <v>134</v>
      </c>
      <c r="R148" s="214">
        <f t="shared" si="126"/>
        <v>132</v>
      </c>
      <c r="S148" s="214">
        <f t="shared" si="126"/>
        <v>131</v>
      </c>
      <c r="T148" s="214">
        <f t="shared" si="126"/>
        <v>130</v>
      </c>
      <c r="U148" s="214">
        <f t="shared" si="126"/>
        <v>129</v>
      </c>
      <c r="V148" s="214">
        <f t="shared" si="126"/>
        <v>128</v>
      </c>
      <c r="W148" s="214">
        <f t="shared" si="126"/>
        <v>126</v>
      </c>
      <c r="X148" s="214">
        <f t="shared" si="126"/>
        <v>126</v>
      </c>
      <c r="Y148" s="214">
        <f t="shared" si="126"/>
        <v>126</v>
      </c>
    </row>
    <row r="149">
      <c r="A149" s="229" t="s">
        <v>158</v>
      </c>
      <c r="B149" s="214"/>
      <c r="C149" s="213">
        <f>'Sheet 1'!E51</f>
        <v>0</v>
      </c>
      <c r="D149" s="214">
        <f t="shared" ref="D149:Y149" si="127">int(D148*(64+$C$149))</f>
        <v>9536</v>
      </c>
      <c r="E149" s="214">
        <f t="shared" si="127"/>
        <v>9472</v>
      </c>
      <c r="F149" s="214">
        <f t="shared" si="127"/>
        <v>9408</v>
      </c>
      <c r="G149" s="214">
        <f t="shared" si="127"/>
        <v>9344</v>
      </c>
      <c r="H149" s="214">
        <f t="shared" si="127"/>
        <v>9216</v>
      </c>
      <c r="I149" s="214">
        <f t="shared" si="127"/>
        <v>9152</v>
      </c>
      <c r="J149" s="214">
        <f t="shared" si="127"/>
        <v>9088</v>
      </c>
      <c r="K149" s="214">
        <f t="shared" si="127"/>
        <v>9024</v>
      </c>
      <c r="L149" s="214">
        <f t="shared" si="127"/>
        <v>8960</v>
      </c>
      <c r="M149" s="214">
        <f t="shared" si="127"/>
        <v>8832</v>
      </c>
      <c r="N149" s="214">
        <f t="shared" si="127"/>
        <v>8768</v>
      </c>
      <c r="O149" s="214">
        <f t="shared" si="127"/>
        <v>8704</v>
      </c>
      <c r="P149" s="214">
        <f t="shared" si="127"/>
        <v>8640</v>
      </c>
      <c r="Q149" s="214">
        <f t="shared" si="127"/>
        <v>8576</v>
      </c>
      <c r="R149" s="214">
        <f t="shared" si="127"/>
        <v>8448</v>
      </c>
      <c r="S149" s="214">
        <f t="shared" si="127"/>
        <v>8384</v>
      </c>
      <c r="T149" s="214">
        <f t="shared" si="127"/>
        <v>8320</v>
      </c>
      <c r="U149" s="214">
        <f t="shared" si="127"/>
        <v>8256</v>
      </c>
      <c r="V149" s="214">
        <f t="shared" si="127"/>
        <v>8192</v>
      </c>
      <c r="W149" s="214">
        <f t="shared" si="127"/>
        <v>8064</v>
      </c>
      <c r="X149" s="214">
        <f t="shared" si="127"/>
        <v>8064</v>
      </c>
      <c r="Y149" s="214">
        <f t="shared" si="127"/>
        <v>8064</v>
      </c>
    </row>
    <row r="150">
      <c r="A150" s="229" t="s">
        <v>123</v>
      </c>
      <c r="B150" s="214"/>
      <c r="C150" s="213">
        <f>'Sheet 1'!D10</f>
        <v>99</v>
      </c>
      <c r="D150" s="214">
        <f>'Sheet 1'!I10</f>
        <v>112</v>
      </c>
      <c r="E150" s="214">
        <f t="shared" ref="E150:Y150" si="128">MAX($C150,D150-1)</f>
        <v>111</v>
      </c>
      <c r="F150" s="214">
        <f t="shared" si="128"/>
        <v>110</v>
      </c>
      <c r="G150" s="214">
        <f t="shared" si="128"/>
        <v>109</v>
      </c>
      <c r="H150" s="214">
        <f t="shared" si="128"/>
        <v>108</v>
      </c>
      <c r="I150" s="214">
        <f t="shared" si="128"/>
        <v>107</v>
      </c>
      <c r="J150" s="214">
        <f t="shared" si="128"/>
        <v>106</v>
      </c>
      <c r="K150" s="214">
        <f t="shared" si="128"/>
        <v>105</v>
      </c>
      <c r="L150" s="214">
        <f t="shared" si="128"/>
        <v>104</v>
      </c>
      <c r="M150" s="214">
        <f t="shared" si="128"/>
        <v>103</v>
      </c>
      <c r="N150" s="214">
        <f t="shared" si="128"/>
        <v>102</v>
      </c>
      <c r="O150" s="214">
        <f t="shared" si="128"/>
        <v>101</v>
      </c>
      <c r="P150" s="214">
        <f t="shared" si="128"/>
        <v>100</v>
      </c>
      <c r="Q150" s="214">
        <f t="shared" si="128"/>
        <v>99</v>
      </c>
      <c r="R150" s="214">
        <f t="shared" si="128"/>
        <v>99</v>
      </c>
      <c r="S150" s="214">
        <f t="shared" si="128"/>
        <v>99</v>
      </c>
      <c r="T150" s="214">
        <f t="shared" si="128"/>
        <v>99</v>
      </c>
      <c r="U150" s="214">
        <f t="shared" si="128"/>
        <v>99</v>
      </c>
      <c r="V150" s="214">
        <f t="shared" si="128"/>
        <v>99</v>
      </c>
      <c r="W150" s="214">
        <f t="shared" si="128"/>
        <v>99</v>
      </c>
      <c r="X150" s="214">
        <f t="shared" si="128"/>
        <v>99</v>
      </c>
      <c r="Y150" s="214">
        <f t="shared" si="128"/>
        <v>99</v>
      </c>
    </row>
    <row r="151">
      <c r="A151" s="229" t="s">
        <v>225</v>
      </c>
      <c r="B151" s="214"/>
      <c r="C151" s="213">
        <f>1+'Sheet 1'!L10</f>
        <v>1.2</v>
      </c>
      <c r="D151" s="214">
        <f t="shared" ref="D151:Y151" si="129">int(D150*$C151)</f>
        <v>134</v>
      </c>
      <c r="E151" s="214">
        <f t="shared" si="129"/>
        <v>133</v>
      </c>
      <c r="F151" s="214">
        <f t="shared" si="129"/>
        <v>132</v>
      </c>
      <c r="G151" s="214">
        <f t="shared" si="129"/>
        <v>130</v>
      </c>
      <c r="H151" s="214">
        <f t="shared" si="129"/>
        <v>129</v>
      </c>
      <c r="I151" s="214">
        <f t="shared" si="129"/>
        <v>128</v>
      </c>
      <c r="J151" s="214">
        <f t="shared" si="129"/>
        <v>127</v>
      </c>
      <c r="K151" s="214">
        <f t="shared" si="129"/>
        <v>126</v>
      </c>
      <c r="L151" s="214">
        <f t="shared" si="129"/>
        <v>124</v>
      </c>
      <c r="M151" s="214">
        <f t="shared" si="129"/>
        <v>123</v>
      </c>
      <c r="N151" s="214">
        <f t="shared" si="129"/>
        <v>122</v>
      </c>
      <c r="O151" s="214">
        <f t="shared" si="129"/>
        <v>121</v>
      </c>
      <c r="P151" s="214">
        <f t="shared" si="129"/>
        <v>120</v>
      </c>
      <c r="Q151" s="214">
        <f t="shared" si="129"/>
        <v>118</v>
      </c>
      <c r="R151" s="214">
        <f t="shared" si="129"/>
        <v>118</v>
      </c>
      <c r="S151" s="214">
        <f t="shared" si="129"/>
        <v>118</v>
      </c>
      <c r="T151" s="214">
        <f t="shared" si="129"/>
        <v>118</v>
      </c>
      <c r="U151" s="214">
        <f t="shared" si="129"/>
        <v>118</v>
      </c>
      <c r="V151" s="214">
        <f t="shared" si="129"/>
        <v>118</v>
      </c>
      <c r="W151" s="214">
        <f t="shared" si="129"/>
        <v>118</v>
      </c>
      <c r="X151" s="214">
        <f t="shared" si="129"/>
        <v>118</v>
      </c>
      <c r="Y151" s="214">
        <f t="shared" si="129"/>
        <v>118</v>
      </c>
    </row>
    <row r="152">
      <c r="A152" s="229" t="s">
        <v>224</v>
      </c>
      <c r="B152" s="214"/>
      <c r="C152" s="212">
        <v>8.0</v>
      </c>
      <c r="D152" s="214">
        <f t="shared" ref="D152:Y152" si="130">D151+$C$152</f>
        <v>142</v>
      </c>
      <c r="E152" s="214">
        <f t="shared" si="130"/>
        <v>141</v>
      </c>
      <c r="F152" s="214">
        <f t="shared" si="130"/>
        <v>140</v>
      </c>
      <c r="G152" s="214">
        <f t="shared" si="130"/>
        <v>138</v>
      </c>
      <c r="H152" s="214">
        <f t="shared" si="130"/>
        <v>137</v>
      </c>
      <c r="I152" s="214">
        <f t="shared" si="130"/>
        <v>136</v>
      </c>
      <c r="J152" s="214">
        <f t="shared" si="130"/>
        <v>135</v>
      </c>
      <c r="K152" s="214">
        <f t="shared" si="130"/>
        <v>134</v>
      </c>
      <c r="L152" s="214">
        <f t="shared" si="130"/>
        <v>132</v>
      </c>
      <c r="M152" s="214">
        <f t="shared" si="130"/>
        <v>131</v>
      </c>
      <c r="N152" s="214">
        <f t="shared" si="130"/>
        <v>130</v>
      </c>
      <c r="O152" s="214">
        <f t="shared" si="130"/>
        <v>129</v>
      </c>
      <c r="P152" s="214">
        <f t="shared" si="130"/>
        <v>128</v>
      </c>
      <c r="Q152" s="214">
        <f t="shared" si="130"/>
        <v>126</v>
      </c>
      <c r="R152" s="214">
        <f t="shared" si="130"/>
        <v>126</v>
      </c>
      <c r="S152" s="214">
        <f t="shared" si="130"/>
        <v>126</v>
      </c>
      <c r="T152" s="214">
        <f t="shared" si="130"/>
        <v>126</v>
      </c>
      <c r="U152" s="214">
        <f t="shared" si="130"/>
        <v>126</v>
      </c>
      <c r="V152" s="214">
        <f t="shared" si="130"/>
        <v>126</v>
      </c>
      <c r="W152" s="214">
        <f t="shared" si="130"/>
        <v>126</v>
      </c>
      <c r="X152" s="214">
        <f t="shared" si="130"/>
        <v>126</v>
      </c>
      <c r="Y152" s="214">
        <f t="shared" si="130"/>
        <v>126</v>
      </c>
    </row>
    <row r="153">
      <c r="A153" s="229" t="s">
        <v>156</v>
      </c>
      <c r="B153" s="214" t="b">
        <f>AND('Sheet 1'!$B$41=Items!$A$208,OR('Sheet 1'!$B$44=Items!$A$289,'Sheet 1'!$B$44=Items!$A$290),OR('Sheet 1'!$B$45=Items!$A$333,'Sheet 1'!$B$45=Items!$A$334),'Sheet 1'!$B$47=Items!$A$417)</f>
        <v>0</v>
      </c>
      <c r="C153" s="213">
        <f>if(B153,1.1,1)</f>
        <v>1</v>
      </c>
      <c r="D153" s="214">
        <f t="shared" ref="D153:Y153" si="131">int(D152*$C153)</f>
        <v>142</v>
      </c>
      <c r="E153" s="214">
        <f t="shared" si="131"/>
        <v>141</v>
      </c>
      <c r="F153" s="214">
        <f t="shared" si="131"/>
        <v>140</v>
      </c>
      <c r="G153" s="214">
        <f t="shared" si="131"/>
        <v>138</v>
      </c>
      <c r="H153" s="214">
        <f t="shared" si="131"/>
        <v>137</v>
      </c>
      <c r="I153" s="214">
        <f t="shared" si="131"/>
        <v>136</v>
      </c>
      <c r="J153" s="214">
        <f t="shared" si="131"/>
        <v>135</v>
      </c>
      <c r="K153" s="214">
        <f t="shared" si="131"/>
        <v>134</v>
      </c>
      <c r="L153" s="214">
        <f t="shared" si="131"/>
        <v>132</v>
      </c>
      <c r="M153" s="214">
        <f t="shared" si="131"/>
        <v>131</v>
      </c>
      <c r="N153" s="214">
        <f t="shared" si="131"/>
        <v>130</v>
      </c>
      <c r="O153" s="214">
        <f t="shared" si="131"/>
        <v>129</v>
      </c>
      <c r="P153" s="214">
        <f t="shared" si="131"/>
        <v>128</v>
      </c>
      <c r="Q153" s="214">
        <f t="shared" si="131"/>
        <v>126</v>
      </c>
      <c r="R153" s="214">
        <f t="shared" si="131"/>
        <v>126</v>
      </c>
      <c r="S153" s="214">
        <f t="shared" si="131"/>
        <v>126</v>
      </c>
      <c r="T153" s="214">
        <f t="shared" si="131"/>
        <v>126</v>
      </c>
      <c r="U153" s="214">
        <f t="shared" si="131"/>
        <v>126</v>
      </c>
      <c r="V153" s="214">
        <f t="shared" si="131"/>
        <v>126</v>
      </c>
      <c r="W153" s="214">
        <f t="shared" si="131"/>
        <v>126</v>
      </c>
      <c r="X153" s="214">
        <f t="shared" si="131"/>
        <v>126</v>
      </c>
      <c r="Y153" s="214">
        <f t="shared" si="131"/>
        <v>126</v>
      </c>
    </row>
    <row r="154">
      <c r="A154" s="229" t="s">
        <v>157</v>
      </c>
      <c r="B154" s="214"/>
      <c r="C154" s="213"/>
      <c r="D154" s="214">
        <f t="shared" ref="D154:Y154" si="132">D153</f>
        <v>142</v>
      </c>
      <c r="E154" s="214">
        <f t="shared" si="132"/>
        <v>141</v>
      </c>
      <c r="F154" s="214">
        <f t="shared" si="132"/>
        <v>140</v>
      </c>
      <c r="G154" s="214">
        <f t="shared" si="132"/>
        <v>138</v>
      </c>
      <c r="H154" s="214">
        <f t="shared" si="132"/>
        <v>137</v>
      </c>
      <c r="I154" s="214">
        <f t="shared" si="132"/>
        <v>136</v>
      </c>
      <c r="J154" s="214">
        <f t="shared" si="132"/>
        <v>135</v>
      </c>
      <c r="K154" s="214">
        <f t="shared" si="132"/>
        <v>134</v>
      </c>
      <c r="L154" s="214">
        <f t="shared" si="132"/>
        <v>132</v>
      </c>
      <c r="M154" s="214">
        <f t="shared" si="132"/>
        <v>131</v>
      </c>
      <c r="N154" s="214">
        <f t="shared" si="132"/>
        <v>130</v>
      </c>
      <c r="O154" s="214">
        <f t="shared" si="132"/>
        <v>129</v>
      </c>
      <c r="P154" s="214">
        <f t="shared" si="132"/>
        <v>128</v>
      </c>
      <c r="Q154" s="214">
        <f t="shared" si="132"/>
        <v>126</v>
      </c>
      <c r="R154" s="214">
        <f t="shared" si="132"/>
        <v>126</v>
      </c>
      <c r="S154" s="214">
        <f t="shared" si="132"/>
        <v>126</v>
      </c>
      <c r="T154" s="214">
        <f t="shared" si="132"/>
        <v>126</v>
      </c>
      <c r="U154" s="214">
        <f t="shared" si="132"/>
        <v>126</v>
      </c>
      <c r="V154" s="214">
        <f t="shared" si="132"/>
        <v>126</v>
      </c>
      <c r="W154" s="214">
        <f t="shared" si="132"/>
        <v>126</v>
      </c>
      <c r="X154" s="214">
        <f t="shared" si="132"/>
        <v>126</v>
      </c>
      <c r="Y154" s="214">
        <f t="shared" si="132"/>
        <v>126</v>
      </c>
    </row>
    <row r="155">
      <c r="A155" s="229" t="s">
        <v>158</v>
      </c>
      <c r="B155" s="214"/>
      <c r="C155" s="213">
        <f>'Sheet 1'!G51</f>
        <v>-17</v>
      </c>
      <c r="D155" s="214">
        <f t="shared" ref="D155:Y155" si="133">int(D154*(64+$C$155))</f>
        <v>6674</v>
      </c>
      <c r="E155" s="214">
        <f t="shared" si="133"/>
        <v>6627</v>
      </c>
      <c r="F155" s="214">
        <f t="shared" si="133"/>
        <v>6580</v>
      </c>
      <c r="G155" s="214">
        <f t="shared" si="133"/>
        <v>6486</v>
      </c>
      <c r="H155" s="214">
        <f t="shared" si="133"/>
        <v>6439</v>
      </c>
      <c r="I155" s="214">
        <f t="shared" si="133"/>
        <v>6392</v>
      </c>
      <c r="J155" s="214">
        <f t="shared" si="133"/>
        <v>6345</v>
      </c>
      <c r="K155" s="214">
        <f t="shared" si="133"/>
        <v>6298</v>
      </c>
      <c r="L155" s="214">
        <f t="shared" si="133"/>
        <v>6204</v>
      </c>
      <c r="M155" s="214">
        <f t="shared" si="133"/>
        <v>6157</v>
      </c>
      <c r="N155" s="214">
        <f t="shared" si="133"/>
        <v>6110</v>
      </c>
      <c r="O155" s="214">
        <f t="shared" si="133"/>
        <v>6063</v>
      </c>
      <c r="P155" s="214">
        <f t="shared" si="133"/>
        <v>6016</v>
      </c>
      <c r="Q155" s="214">
        <f t="shared" si="133"/>
        <v>5922</v>
      </c>
      <c r="R155" s="214">
        <f t="shared" si="133"/>
        <v>5922</v>
      </c>
      <c r="S155" s="214">
        <f t="shared" si="133"/>
        <v>5922</v>
      </c>
      <c r="T155" s="214">
        <f t="shared" si="133"/>
        <v>5922</v>
      </c>
      <c r="U155" s="214">
        <f t="shared" si="133"/>
        <v>5922</v>
      </c>
      <c r="V155" s="214">
        <f t="shared" si="133"/>
        <v>5922</v>
      </c>
      <c r="W155" s="214">
        <f t="shared" si="133"/>
        <v>5922</v>
      </c>
      <c r="X155" s="214">
        <f t="shared" si="133"/>
        <v>5922</v>
      </c>
      <c r="Y155" s="214">
        <f t="shared" si="133"/>
        <v>5922</v>
      </c>
    </row>
    <row r="156">
      <c r="A156" s="211" t="s">
        <v>226</v>
      </c>
      <c r="B156" s="214"/>
      <c r="C156" s="213"/>
      <c r="D156" s="214">
        <f t="shared" ref="D156:Y156" si="134">if($C$1="magic",if($B$1="choose spell",D149,max(D149,D155)),D8)</f>
        <v>9536</v>
      </c>
      <c r="E156" s="214">
        <f t="shared" si="134"/>
        <v>9472</v>
      </c>
      <c r="F156" s="214">
        <f t="shared" si="134"/>
        <v>9408</v>
      </c>
      <c r="G156" s="214">
        <f t="shared" si="134"/>
        <v>9344</v>
      </c>
      <c r="H156" s="214">
        <f t="shared" si="134"/>
        <v>9216</v>
      </c>
      <c r="I156" s="214">
        <f t="shared" si="134"/>
        <v>9152</v>
      </c>
      <c r="J156" s="214">
        <f t="shared" si="134"/>
        <v>9088</v>
      </c>
      <c r="K156" s="214">
        <f t="shared" si="134"/>
        <v>9024</v>
      </c>
      <c r="L156" s="214">
        <f t="shared" si="134"/>
        <v>8960</v>
      </c>
      <c r="M156" s="214">
        <f t="shared" si="134"/>
        <v>8832</v>
      </c>
      <c r="N156" s="214">
        <f t="shared" si="134"/>
        <v>8768</v>
      </c>
      <c r="O156" s="214">
        <f t="shared" si="134"/>
        <v>8704</v>
      </c>
      <c r="P156" s="214">
        <f t="shared" si="134"/>
        <v>8640</v>
      </c>
      <c r="Q156" s="214">
        <f t="shared" si="134"/>
        <v>8576</v>
      </c>
      <c r="R156" s="214">
        <f t="shared" si="134"/>
        <v>8448</v>
      </c>
      <c r="S156" s="214">
        <f t="shared" si="134"/>
        <v>8384</v>
      </c>
      <c r="T156" s="214">
        <f t="shared" si="134"/>
        <v>8320</v>
      </c>
      <c r="U156" s="214">
        <f t="shared" si="134"/>
        <v>8256</v>
      </c>
      <c r="V156" s="214">
        <f t="shared" si="134"/>
        <v>8192</v>
      </c>
      <c r="W156" s="214">
        <f t="shared" si="134"/>
        <v>8064</v>
      </c>
      <c r="X156" s="214">
        <f t="shared" si="134"/>
        <v>8064</v>
      </c>
      <c r="Y156" s="214">
        <f t="shared" si="134"/>
        <v>8064</v>
      </c>
    </row>
    <row r="157">
      <c r="A157" s="211" t="s">
        <v>227</v>
      </c>
      <c r="B157" s="214"/>
      <c r="C157" s="213">
        <f>'Sheet 1'!E82</f>
        <v>93786</v>
      </c>
      <c r="D157" s="214">
        <f t="shared" ref="D157:Y157" si="135">$C157</f>
        <v>93786</v>
      </c>
      <c r="E157" s="214">
        <f t="shared" si="135"/>
        <v>93786</v>
      </c>
      <c r="F157" s="214">
        <f t="shared" si="135"/>
        <v>93786</v>
      </c>
      <c r="G157" s="214">
        <f t="shared" si="135"/>
        <v>93786</v>
      </c>
      <c r="H157" s="214">
        <f t="shared" si="135"/>
        <v>93786</v>
      </c>
      <c r="I157" s="214">
        <f t="shared" si="135"/>
        <v>93786</v>
      </c>
      <c r="J157" s="214">
        <f t="shared" si="135"/>
        <v>93786</v>
      </c>
      <c r="K157" s="214">
        <f t="shared" si="135"/>
        <v>93786</v>
      </c>
      <c r="L157" s="214">
        <f t="shared" si="135"/>
        <v>93786</v>
      </c>
      <c r="M157" s="214">
        <f t="shared" si="135"/>
        <v>93786</v>
      </c>
      <c r="N157" s="214">
        <f t="shared" si="135"/>
        <v>93786</v>
      </c>
      <c r="O157" s="214">
        <f t="shared" si="135"/>
        <v>93786</v>
      </c>
      <c r="P157" s="214">
        <f t="shared" si="135"/>
        <v>93786</v>
      </c>
      <c r="Q157" s="214">
        <f t="shared" si="135"/>
        <v>93786</v>
      </c>
      <c r="R157" s="214">
        <f t="shared" si="135"/>
        <v>93786</v>
      </c>
      <c r="S157" s="214">
        <f t="shared" si="135"/>
        <v>93786</v>
      </c>
      <c r="T157" s="214">
        <f t="shared" si="135"/>
        <v>93786</v>
      </c>
      <c r="U157" s="214">
        <f t="shared" si="135"/>
        <v>93786</v>
      </c>
      <c r="V157" s="214">
        <f t="shared" si="135"/>
        <v>93786</v>
      </c>
      <c r="W157" s="214">
        <f t="shared" si="135"/>
        <v>93786</v>
      </c>
      <c r="X157" s="214">
        <f t="shared" si="135"/>
        <v>93786</v>
      </c>
      <c r="Y157" s="214">
        <f t="shared" si="135"/>
        <v>93786</v>
      </c>
    </row>
    <row r="158">
      <c r="A158" s="218" t="s">
        <v>228</v>
      </c>
      <c r="B158" s="225"/>
      <c r="C158" s="221" t="s">
        <v>229</v>
      </c>
      <c r="D158" s="230">
        <f t="shared" ref="D158:Y158" si="136">IF(D156&gt;D157,1-(D157+2)/(2*(D156+1)),D156/(2*(D157+1)))</f>
        <v>0.05083860236</v>
      </c>
      <c r="E158" s="230">
        <f t="shared" si="136"/>
        <v>0.05049740369</v>
      </c>
      <c r="F158" s="230">
        <f t="shared" si="136"/>
        <v>0.05015620502</v>
      </c>
      <c r="G158" s="230">
        <f t="shared" si="136"/>
        <v>0.04981500634</v>
      </c>
      <c r="H158" s="230">
        <f t="shared" si="136"/>
        <v>0.049132609</v>
      </c>
      <c r="I158" s="230">
        <f t="shared" si="136"/>
        <v>0.04879141032</v>
      </c>
      <c r="J158" s="230">
        <f t="shared" si="136"/>
        <v>0.04845021165</v>
      </c>
      <c r="K158" s="230">
        <f t="shared" si="136"/>
        <v>0.04810901298</v>
      </c>
      <c r="L158" s="230">
        <f t="shared" si="136"/>
        <v>0.0477678143</v>
      </c>
      <c r="M158" s="230">
        <f t="shared" si="136"/>
        <v>0.04708541696</v>
      </c>
      <c r="N158" s="230">
        <f t="shared" si="136"/>
        <v>0.04674421828</v>
      </c>
      <c r="O158" s="230">
        <f t="shared" si="136"/>
        <v>0.04640301961</v>
      </c>
      <c r="P158" s="230">
        <f t="shared" si="136"/>
        <v>0.04606182093</v>
      </c>
      <c r="Q158" s="230">
        <f t="shared" si="136"/>
        <v>0.04572062226</v>
      </c>
      <c r="R158" s="230">
        <f t="shared" si="136"/>
        <v>0.04503822491</v>
      </c>
      <c r="S158" s="230">
        <f t="shared" si="136"/>
        <v>0.04469702624</v>
      </c>
      <c r="T158" s="230">
        <f t="shared" si="136"/>
        <v>0.04435582757</v>
      </c>
      <c r="U158" s="230">
        <f t="shared" si="136"/>
        <v>0.04401462889</v>
      </c>
      <c r="V158" s="230">
        <f t="shared" si="136"/>
        <v>0.04367343022</v>
      </c>
      <c r="W158" s="230">
        <f t="shared" si="136"/>
        <v>0.04299103287</v>
      </c>
      <c r="X158" s="230">
        <f t="shared" si="136"/>
        <v>0.04299103287</v>
      </c>
      <c r="Y158" s="230">
        <f t="shared" si="136"/>
        <v>0.04299103287</v>
      </c>
    </row>
    <row r="159">
      <c r="A159" s="214"/>
      <c r="B159" s="214"/>
      <c r="C159" s="213"/>
      <c r="D159" s="214"/>
      <c r="E159" s="214"/>
      <c r="F159" s="214"/>
      <c r="G159" s="214"/>
      <c r="H159" s="214"/>
      <c r="I159" s="214"/>
      <c r="J159" s="214"/>
      <c r="K159" s="214"/>
      <c r="L159" s="214"/>
      <c r="M159" s="214"/>
      <c r="N159" s="214"/>
      <c r="O159" s="214"/>
      <c r="P159" s="214"/>
      <c r="Q159" s="214"/>
      <c r="R159" s="214"/>
      <c r="S159" s="214"/>
      <c r="T159" s="214"/>
      <c r="U159" s="214"/>
      <c r="V159" s="214"/>
      <c r="W159" s="214"/>
      <c r="X159" s="214"/>
      <c r="Y159" s="214"/>
    </row>
    <row r="160">
      <c r="A160" s="231" t="s">
        <v>230</v>
      </c>
      <c r="B160" s="211" t="b">
        <f>'Sheet 1'!B38=Items!A30</f>
        <v>0</v>
      </c>
      <c r="C160" s="213"/>
      <c r="D160" s="214">
        <f t="shared" ref="D160:Y160" si="137">D32*2*0.5*D85*$C86/D133</f>
        <v>0</v>
      </c>
      <c r="E160" s="214">
        <f t="shared" si="137"/>
        <v>0</v>
      </c>
      <c r="F160" s="214">
        <f t="shared" si="137"/>
        <v>0</v>
      </c>
      <c r="G160" s="214">
        <f t="shared" si="137"/>
        <v>0</v>
      </c>
      <c r="H160" s="214">
        <f t="shared" si="137"/>
        <v>0</v>
      </c>
      <c r="I160" s="214">
        <f t="shared" si="137"/>
        <v>0</v>
      </c>
      <c r="J160" s="214">
        <f t="shared" si="137"/>
        <v>0</v>
      </c>
      <c r="K160" s="214">
        <f t="shared" si="137"/>
        <v>0</v>
      </c>
      <c r="L160" s="214">
        <f t="shared" si="137"/>
        <v>0</v>
      </c>
      <c r="M160" s="214">
        <f t="shared" si="137"/>
        <v>0</v>
      </c>
      <c r="N160" s="214">
        <f t="shared" si="137"/>
        <v>0</v>
      </c>
      <c r="O160" s="214">
        <f t="shared" si="137"/>
        <v>0</v>
      </c>
      <c r="P160" s="214">
        <f t="shared" si="137"/>
        <v>0</v>
      </c>
      <c r="Q160" s="214">
        <f t="shared" si="137"/>
        <v>0</v>
      </c>
      <c r="R160" s="214">
        <f t="shared" si="137"/>
        <v>0</v>
      </c>
      <c r="S160" s="214">
        <f t="shared" si="137"/>
        <v>0</v>
      </c>
      <c r="T160" s="214">
        <f t="shared" si="137"/>
        <v>0</v>
      </c>
      <c r="U160" s="214">
        <f t="shared" si="137"/>
        <v>0</v>
      </c>
      <c r="V160" s="214">
        <f t="shared" si="137"/>
        <v>0</v>
      </c>
      <c r="W160" s="214">
        <f t="shared" si="137"/>
        <v>0</v>
      </c>
      <c r="X160" s="214">
        <f t="shared" si="137"/>
        <v>0</v>
      </c>
      <c r="Y160" s="214">
        <f t="shared" si="137"/>
        <v>0</v>
      </c>
    </row>
    <row r="161">
      <c r="A161" s="231" t="s">
        <v>231</v>
      </c>
      <c r="B161" s="211" t="b">
        <f>'Sheet 1'!B38=Items!A29</f>
        <v>0</v>
      </c>
      <c r="C161" s="213"/>
      <c r="D161" s="214">
        <f t="shared" ref="D161:Y161" si="138">(1-D175)^(0)*(D175)*1.5*D95/D133 + (1-D175)^(1)*(D175)*1.25*D95/D133 + (1-D175)^(2)*(D175)*1*D95/D133 + (1-D175)^(3)*(D175)*0.75*D95/D133 + (1-D175)^(4)*1</f>
        <v>6.874962817</v>
      </c>
      <c r="E161" s="214">
        <f t="shared" si="138"/>
        <v>6.874962557</v>
      </c>
      <c r="F161" s="214">
        <f t="shared" si="138"/>
        <v>6.874962026</v>
      </c>
      <c r="G161" s="214">
        <f t="shared" si="138"/>
        <v>6.874961755</v>
      </c>
      <c r="H161" s="214">
        <f t="shared" si="138"/>
        <v>6.874961479</v>
      </c>
      <c r="I161" s="214">
        <f t="shared" si="138"/>
        <v>6.249964728</v>
      </c>
      <c r="J161" s="214">
        <f t="shared" si="138"/>
        <v>6.249964209</v>
      </c>
      <c r="K161" s="214">
        <f t="shared" si="138"/>
        <v>6.249963944</v>
      </c>
      <c r="L161" s="214">
        <f t="shared" si="138"/>
        <v>6.249963675</v>
      </c>
      <c r="M161" s="214">
        <f t="shared" si="138"/>
        <v>6.249963401</v>
      </c>
      <c r="N161" s="214">
        <f t="shared" si="138"/>
        <v>6.249962843</v>
      </c>
      <c r="O161" s="214">
        <f t="shared" si="138"/>
        <v>6.249962843</v>
      </c>
      <c r="P161" s="214">
        <f t="shared" si="138"/>
        <v>6.249962843</v>
      </c>
      <c r="Q161" s="214">
        <f t="shared" si="138"/>
        <v>6.249962843</v>
      </c>
      <c r="R161" s="214">
        <f t="shared" si="138"/>
        <v>6.249962843</v>
      </c>
      <c r="S161" s="214">
        <f t="shared" si="138"/>
        <v>6.249962843</v>
      </c>
      <c r="T161" s="214">
        <f t="shared" si="138"/>
        <v>6.249962843</v>
      </c>
      <c r="U161" s="214">
        <f t="shared" si="138"/>
        <v>6.249962843</v>
      </c>
      <c r="V161" s="214">
        <f t="shared" si="138"/>
        <v>6.249962843</v>
      </c>
      <c r="W161" s="214">
        <f t="shared" si="138"/>
        <v>6.249962843</v>
      </c>
      <c r="X161" s="214">
        <f t="shared" si="138"/>
        <v>6.249962843</v>
      </c>
      <c r="Y161" s="214">
        <f t="shared" si="138"/>
        <v>6.249962843</v>
      </c>
    </row>
    <row r="162">
      <c r="A162" s="232" t="s">
        <v>232</v>
      </c>
      <c r="B162" s="211" t="b">
        <v>0</v>
      </c>
      <c r="C162" s="213"/>
      <c r="D162" s="214">
        <f t="array" ref="D162:Y162">transpose('Spec Avg damage table p1'!C2:C23)</f>
        <v>24.5</v>
      </c>
      <c r="E162" s="214">
        <v>24.5</v>
      </c>
      <c r="F162" s="214">
        <v>24.5</v>
      </c>
      <c r="G162" s="214">
        <v>24.5</v>
      </c>
      <c r="H162" s="214">
        <v>24.5</v>
      </c>
      <c r="I162" s="214">
        <v>24.5</v>
      </c>
      <c r="J162" s="214">
        <v>24.5</v>
      </c>
      <c r="K162" s="214">
        <v>24.5</v>
      </c>
      <c r="L162" s="214">
        <v>24.5</v>
      </c>
      <c r="M162" s="214">
        <v>24.5</v>
      </c>
      <c r="N162" s="214">
        <v>24.5</v>
      </c>
      <c r="O162" s="214">
        <v>24.5</v>
      </c>
      <c r="P162" s="214">
        <v>24.5</v>
      </c>
      <c r="Q162" s="214">
        <v>24.5</v>
      </c>
      <c r="R162" s="214">
        <v>24.5</v>
      </c>
      <c r="S162" s="214">
        <v>24.5</v>
      </c>
      <c r="T162" s="214">
        <v>24.5</v>
      </c>
      <c r="U162" s="214">
        <v>24.5</v>
      </c>
      <c r="V162" s="214">
        <v>24.5</v>
      </c>
      <c r="W162" s="214">
        <v>24.5</v>
      </c>
      <c r="X162" s="214">
        <v>24.5</v>
      </c>
      <c r="Y162" s="214">
        <v>24.5</v>
      </c>
    </row>
    <row r="163">
      <c r="A163" s="231" t="s">
        <v>233</v>
      </c>
      <c r="B163" s="211" t="b">
        <f>OR('Sheet 1'!B38=Items!A19,'Sheet 1'!B38=Items!A31)</f>
        <v>0</v>
      </c>
      <c r="C163" s="213"/>
      <c r="D163" s="214">
        <f>D27*D162/D133+if(Area2=1,0,D32*D162/D133)</f>
        <v>2.047327112</v>
      </c>
      <c r="E163" s="214">
        <f>E27*E162/E133+if(Area2=1,0,E32*E162/E133)</f>
        <v>2.033109562</v>
      </c>
      <c r="F163" s="214">
        <f>F27*F162/F133+if(Area2=1,0,F32*F162/F133)</f>
        <v>2.004674463</v>
      </c>
      <c r="G163" s="214">
        <f>G27*G162/G133+if(Area2=1,0,G32*G162/G133)</f>
        <v>1.990456914</v>
      </c>
      <c r="H163" s="214">
        <f>H27*H162/H133+if(Area2=1,0,H32*H162/H133)</f>
        <v>1.976239365</v>
      </c>
      <c r="I163" s="214">
        <f>I27*I162/I133+if(Area2=1,0,I32*I162/I133)</f>
        <v>1.962021815</v>
      </c>
      <c r="J163" s="214">
        <f>J27*J162/J133+if(Area2=1,0,J32*J162/J133)</f>
        <v>1.933586716</v>
      </c>
      <c r="K163" s="214">
        <f>K27*K162/K133+if(Area2=1,0,K32*K162/K133)</f>
        <v>1.919369167</v>
      </c>
      <c r="L163" s="214">
        <f>L27*L162/L133+if(Area2=1,0,L32*L162/L133)</f>
        <v>1.905151618</v>
      </c>
      <c r="M163" s="214">
        <f>M27*M162/M133+if(Area2=1,0,M32*M162/M133)</f>
        <v>1.890934068</v>
      </c>
      <c r="N163" s="214">
        <f>N27*N162/N133+if(Area2=1,0,N32*N162/N133)</f>
        <v>1.86249897</v>
      </c>
      <c r="O163" s="214">
        <f>O27*O162/O133+if(Area2=1,0,O32*O162/O133)</f>
        <v>1.86249897</v>
      </c>
      <c r="P163" s="214">
        <f>P27*P162/P133+if(Area2=1,0,P32*P162/P133)</f>
        <v>1.86249897</v>
      </c>
      <c r="Q163" s="214">
        <f>Q27*Q162/Q133+if(Area2=1,0,Q32*Q162/Q133)</f>
        <v>1.86249897</v>
      </c>
      <c r="R163" s="214">
        <f>R27*R162/R133+if(Area2=1,0,R32*R162/R133)</f>
        <v>1.86249897</v>
      </c>
      <c r="S163" s="214">
        <f>S27*S162/S133+if(Area2=1,0,S32*S162/S133)</f>
        <v>1.86249897</v>
      </c>
      <c r="T163" s="214">
        <f>T27*T162/T133+if(Area2=1,0,T32*T162/T133)</f>
        <v>1.86249897</v>
      </c>
      <c r="U163" s="214">
        <f>U27*U162/U133+if(Area2=1,0,U32*U162/U133)</f>
        <v>1.86249897</v>
      </c>
      <c r="V163" s="214">
        <f>V27*V162/V133+if(Area2=1,0,V32*V162/V133)</f>
        <v>1.86249897</v>
      </c>
      <c r="W163" s="214">
        <f>W27*W162/W133+if(Area2=1,0,W32*W162/W133)</f>
        <v>1.86249897</v>
      </c>
      <c r="X163" s="214">
        <f>X27*X162/X133+if(Area2=1,0,X32*X162/X133)</f>
        <v>1.86249897</v>
      </c>
      <c r="Y163" s="214">
        <f>Y27*Y162/Y133+if(Area2=1,0,Y32*Y162/Y133)</f>
        <v>1.86249897</v>
      </c>
    </row>
    <row r="164">
      <c r="A164" s="231" t="s">
        <v>234</v>
      </c>
      <c r="B164" s="211" t="b">
        <f>'Sheet 1'!B38=Items!A7</f>
        <v>0</v>
      </c>
      <c r="C164" s="213"/>
      <c r="D164" s="214">
        <f t="shared" ref="D164:Y164" si="139">D32*2*0.5*D85*$C86/D133</f>
        <v>0</v>
      </c>
      <c r="E164" s="214">
        <f t="shared" si="139"/>
        <v>0</v>
      </c>
      <c r="F164" s="214">
        <f t="shared" si="139"/>
        <v>0</v>
      </c>
      <c r="G164" s="214">
        <f t="shared" si="139"/>
        <v>0</v>
      </c>
      <c r="H164" s="214">
        <f t="shared" si="139"/>
        <v>0</v>
      </c>
      <c r="I164" s="214">
        <f t="shared" si="139"/>
        <v>0</v>
      </c>
      <c r="J164" s="214">
        <f t="shared" si="139"/>
        <v>0</v>
      </c>
      <c r="K164" s="214">
        <f t="shared" si="139"/>
        <v>0</v>
      </c>
      <c r="L164" s="214">
        <f t="shared" si="139"/>
        <v>0</v>
      </c>
      <c r="M164" s="214">
        <f t="shared" si="139"/>
        <v>0</v>
      </c>
      <c r="N164" s="214">
        <f t="shared" si="139"/>
        <v>0</v>
      </c>
      <c r="O164" s="214">
        <f t="shared" si="139"/>
        <v>0</v>
      </c>
      <c r="P164" s="214">
        <f t="shared" si="139"/>
        <v>0</v>
      </c>
      <c r="Q164" s="214">
        <f t="shared" si="139"/>
        <v>0</v>
      </c>
      <c r="R164" s="214">
        <f t="shared" si="139"/>
        <v>0</v>
      </c>
      <c r="S164" s="214">
        <f t="shared" si="139"/>
        <v>0</v>
      </c>
      <c r="T164" s="214">
        <f t="shared" si="139"/>
        <v>0</v>
      </c>
      <c r="U164" s="214">
        <f t="shared" si="139"/>
        <v>0</v>
      </c>
      <c r="V164" s="214">
        <f t="shared" si="139"/>
        <v>0</v>
      </c>
      <c r="W164" s="214">
        <f t="shared" si="139"/>
        <v>0</v>
      </c>
      <c r="X164" s="214">
        <f t="shared" si="139"/>
        <v>0</v>
      </c>
      <c r="Y164" s="214">
        <f t="shared" si="139"/>
        <v>0</v>
      </c>
    </row>
    <row r="165">
      <c r="A165" s="233" t="s">
        <v>235</v>
      </c>
      <c r="B165" s="211" t="b">
        <f>'Sheet 1'!B38="Vesta's longsword"</f>
        <v>0</v>
      </c>
      <c r="C165" s="213"/>
      <c r="D165" s="211">
        <f t="shared" ref="D165:Y165" si="140">D32*(D108+int(D107*0.2))/2/D133</f>
        <v>0</v>
      </c>
      <c r="E165" s="211">
        <f t="shared" si="140"/>
        <v>0</v>
      </c>
      <c r="F165" s="211">
        <f t="shared" si="140"/>
        <v>0</v>
      </c>
      <c r="G165" s="211">
        <f t="shared" si="140"/>
        <v>0</v>
      </c>
      <c r="H165" s="211">
        <f t="shared" si="140"/>
        <v>0</v>
      </c>
      <c r="I165" s="211">
        <f t="shared" si="140"/>
        <v>0</v>
      </c>
      <c r="J165" s="211">
        <f t="shared" si="140"/>
        <v>0</v>
      </c>
      <c r="K165" s="211">
        <f t="shared" si="140"/>
        <v>0</v>
      </c>
      <c r="L165" s="211">
        <f t="shared" si="140"/>
        <v>0</v>
      </c>
      <c r="M165" s="211">
        <f t="shared" si="140"/>
        <v>0</v>
      </c>
      <c r="N165" s="211">
        <f t="shared" si="140"/>
        <v>0</v>
      </c>
      <c r="O165" s="211">
        <f t="shared" si="140"/>
        <v>0</v>
      </c>
      <c r="P165" s="211">
        <f t="shared" si="140"/>
        <v>0</v>
      </c>
      <c r="Q165" s="211">
        <f t="shared" si="140"/>
        <v>0</v>
      </c>
      <c r="R165" s="211">
        <f t="shared" si="140"/>
        <v>0</v>
      </c>
      <c r="S165" s="211">
        <f t="shared" si="140"/>
        <v>0</v>
      </c>
      <c r="T165" s="211">
        <f t="shared" si="140"/>
        <v>0</v>
      </c>
      <c r="U165" s="211">
        <f t="shared" si="140"/>
        <v>0</v>
      </c>
      <c r="V165" s="211">
        <f t="shared" si="140"/>
        <v>0</v>
      </c>
      <c r="W165" s="211">
        <f t="shared" si="140"/>
        <v>0</v>
      </c>
      <c r="X165" s="211">
        <f t="shared" si="140"/>
        <v>0</v>
      </c>
      <c r="Y165" s="211">
        <f t="shared" si="140"/>
        <v>0</v>
      </c>
    </row>
    <row r="166">
      <c r="A166" s="233" t="s">
        <v>236</v>
      </c>
      <c r="B166" s="211" t="b">
        <f>'Sheet 1'!B38="Statius's warhammer"</f>
        <v>0</v>
      </c>
      <c r="C166" s="213"/>
      <c r="D166" s="211">
        <f t="shared" ref="D166:Y166" si="141">D32*(D108+int(D107*0.25))/2/D133</f>
        <v>0</v>
      </c>
      <c r="E166" s="211">
        <f t="shared" si="141"/>
        <v>0</v>
      </c>
      <c r="F166" s="211">
        <f t="shared" si="141"/>
        <v>0</v>
      </c>
      <c r="G166" s="211">
        <f t="shared" si="141"/>
        <v>0</v>
      </c>
      <c r="H166" s="211">
        <f t="shared" si="141"/>
        <v>0</v>
      </c>
      <c r="I166" s="211">
        <f t="shared" si="141"/>
        <v>0</v>
      </c>
      <c r="J166" s="211">
        <f t="shared" si="141"/>
        <v>0</v>
      </c>
      <c r="K166" s="211">
        <f t="shared" si="141"/>
        <v>0</v>
      </c>
      <c r="L166" s="211">
        <f t="shared" si="141"/>
        <v>0</v>
      </c>
      <c r="M166" s="211">
        <f t="shared" si="141"/>
        <v>0</v>
      </c>
      <c r="N166" s="211">
        <f t="shared" si="141"/>
        <v>0</v>
      </c>
      <c r="O166" s="211">
        <f t="shared" si="141"/>
        <v>0</v>
      </c>
      <c r="P166" s="211">
        <f t="shared" si="141"/>
        <v>0</v>
      </c>
      <c r="Q166" s="211">
        <f t="shared" si="141"/>
        <v>0</v>
      </c>
      <c r="R166" s="211">
        <f t="shared" si="141"/>
        <v>0</v>
      </c>
      <c r="S166" s="211">
        <f t="shared" si="141"/>
        <v>0</v>
      </c>
      <c r="T166" s="211">
        <f t="shared" si="141"/>
        <v>0</v>
      </c>
      <c r="U166" s="211">
        <f t="shared" si="141"/>
        <v>0</v>
      </c>
      <c r="V166" s="211">
        <f t="shared" si="141"/>
        <v>0</v>
      </c>
      <c r="W166" s="211">
        <f t="shared" si="141"/>
        <v>0</v>
      </c>
      <c r="X166" s="211">
        <f t="shared" si="141"/>
        <v>0</v>
      </c>
      <c r="Y166" s="211">
        <f t="shared" si="141"/>
        <v>0</v>
      </c>
    </row>
    <row r="167">
      <c r="A167" s="233" t="s">
        <v>237</v>
      </c>
      <c r="B167" s="211" t="b">
        <f>'Sheet 1'!B38="2h Korasi"</f>
        <v>0</v>
      </c>
      <c r="C167" s="213"/>
      <c r="D167" s="211">
        <f t="shared" ref="D167:Y167" si="142">D32*(D108+int(D107*0.5))/2/D133</f>
        <v>0</v>
      </c>
      <c r="E167" s="211">
        <f t="shared" si="142"/>
        <v>0</v>
      </c>
      <c r="F167" s="211">
        <f t="shared" si="142"/>
        <v>0</v>
      </c>
      <c r="G167" s="211">
        <f t="shared" si="142"/>
        <v>0</v>
      </c>
      <c r="H167" s="211">
        <f t="shared" si="142"/>
        <v>0</v>
      </c>
      <c r="I167" s="211">
        <f t="shared" si="142"/>
        <v>0</v>
      </c>
      <c r="J167" s="211">
        <f t="shared" si="142"/>
        <v>0</v>
      </c>
      <c r="K167" s="211">
        <f t="shared" si="142"/>
        <v>0</v>
      </c>
      <c r="L167" s="211">
        <f t="shared" si="142"/>
        <v>0</v>
      </c>
      <c r="M167" s="211">
        <f t="shared" si="142"/>
        <v>0</v>
      </c>
      <c r="N167" s="211">
        <f t="shared" si="142"/>
        <v>0</v>
      </c>
      <c r="O167" s="211">
        <f t="shared" si="142"/>
        <v>0</v>
      </c>
      <c r="P167" s="211">
        <f t="shared" si="142"/>
        <v>0</v>
      </c>
      <c r="Q167" s="211">
        <f t="shared" si="142"/>
        <v>0</v>
      </c>
      <c r="R167" s="211">
        <f t="shared" si="142"/>
        <v>0</v>
      </c>
      <c r="S167" s="211">
        <f t="shared" si="142"/>
        <v>0</v>
      </c>
      <c r="T167" s="211">
        <f t="shared" si="142"/>
        <v>0</v>
      </c>
      <c r="U167" s="211">
        <f t="shared" si="142"/>
        <v>0</v>
      </c>
      <c r="V167" s="211">
        <f t="shared" si="142"/>
        <v>0</v>
      </c>
      <c r="W167" s="211">
        <f t="shared" si="142"/>
        <v>0</v>
      </c>
      <c r="X167" s="211">
        <f t="shared" si="142"/>
        <v>0</v>
      </c>
      <c r="Y167" s="211">
        <f t="shared" si="142"/>
        <v>0</v>
      </c>
    </row>
    <row r="168">
      <c r="A168" s="231" t="s">
        <v>238</v>
      </c>
      <c r="B168" s="211" t="b">
        <v>0</v>
      </c>
      <c r="C168" s="213"/>
      <c r="D168" s="211" t="b">
        <v>0</v>
      </c>
      <c r="E168" s="211" t="b">
        <v>0</v>
      </c>
      <c r="F168" s="211" t="b">
        <v>0</v>
      </c>
      <c r="G168" s="211" t="b">
        <v>0</v>
      </c>
      <c r="H168" s="211" t="b">
        <v>0</v>
      </c>
      <c r="I168" s="211" t="b">
        <v>0</v>
      </c>
      <c r="J168" s="211" t="b">
        <v>0</v>
      </c>
      <c r="K168" s="211" t="b">
        <v>0</v>
      </c>
      <c r="L168" s="211" t="b">
        <v>0</v>
      </c>
      <c r="M168" s="211" t="b">
        <v>0</v>
      </c>
      <c r="N168" s="211" t="b">
        <v>0</v>
      </c>
      <c r="O168" s="211" t="b">
        <v>0</v>
      </c>
      <c r="P168" s="211" t="b">
        <v>0</v>
      </c>
      <c r="Q168" s="211" t="b">
        <v>0</v>
      </c>
      <c r="R168" s="211" t="b">
        <v>0</v>
      </c>
      <c r="S168" s="211" t="b">
        <v>0</v>
      </c>
      <c r="T168" s="211" t="b">
        <v>0</v>
      </c>
      <c r="U168" s="211" t="b">
        <v>0</v>
      </c>
      <c r="V168" s="211" t="b">
        <v>0</v>
      </c>
      <c r="W168" s="211" t="b">
        <v>0</v>
      </c>
      <c r="X168" s="211" t="b">
        <v>0</v>
      </c>
      <c r="Y168" s="211" t="b">
        <v>0</v>
      </c>
    </row>
    <row r="169">
      <c r="A169" s="231" t="str">
        <f>Items!A46</f>
        <v>Granite hammer</v>
      </c>
      <c r="B169" s="211" t="b">
        <v>0</v>
      </c>
      <c r="C169" s="213"/>
      <c r="D169" s="211" t="b">
        <v>0</v>
      </c>
      <c r="E169" s="211" t="b">
        <v>0</v>
      </c>
      <c r="F169" s="211" t="b">
        <v>0</v>
      </c>
      <c r="G169" s="211" t="b">
        <v>0</v>
      </c>
      <c r="H169" s="211" t="b">
        <v>0</v>
      </c>
      <c r="I169" s="211" t="b">
        <v>0</v>
      </c>
      <c r="J169" s="211" t="b">
        <v>0</v>
      </c>
      <c r="K169" s="211" t="b">
        <v>0</v>
      </c>
      <c r="L169" s="211" t="b">
        <v>0</v>
      </c>
      <c r="M169" s="211" t="b">
        <v>0</v>
      </c>
      <c r="N169" s="211" t="b">
        <v>0</v>
      </c>
      <c r="O169" s="211" t="b">
        <v>0</v>
      </c>
      <c r="P169" s="211" t="b">
        <v>0</v>
      </c>
      <c r="Q169" s="211" t="b">
        <v>0</v>
      </c>
      <c r="R169" s="211" t="b">
        <v>0</v>
      </c>
      <c r="S169" s="211" t="b">
        <v>0</v>
      </c>
      <c r="T169" s="211" t="b">
        <v>0</v>
      </c>
      <c r="U169" s="211" t="b">
        <v>0</v>
      </c>
      <c r="V169" s="211" t="b">
        <v>0</v>
      </c>
      <c r="W169" s="211" t="b">
        <v>0</v>
      </c>
      <c r="X169" s="211" t="b">
        <v>0</v>
      </c>
      <c r="Y169" s="211" t="b">
        <v>0</v>
      </c>
    </row>
    <row r="170">
      <c r="A170" s="231" t="str">
        <f>A105</f>
        <v>MSB,Seercull,etc.</v>
      </c>
      <c r="B170" s="211" t="b">
        <f>OR('Sheet 1'!B38=Items!A141,'Sheet 1'!B38=Items!A142,'Sheet 1'!B38=Items!A143,'Sheet 1'!B38=Items!A144,'Sheet 1'!B38=Items!A151,'Sheet 1'!B38=Items!A136)</f>
        <v>0</v>
      </c>
      <c r="C170" s="213"/>
      <c r="D170" s="211" t="b">
        <v>0</v>
      </c>
      <c r="E170" s="211" t="b">
        <v>0</v>
      </c>
      <c r="F170" s="211" t="b">
        <v>0</v>
      </c>
      <c r="G170" s="211" t="b">
        <v>0</v>
      </c>
      <c r="H170" s="211" t="b">
        <v>0</v>
      </c>
      <c r="I170" s="211" t="b">
        <v>0</v>
      </c>
      <c r="J170" s="211" t="b">
        <v>0</v>
      </c>
      <c r="K170" s="211" t="b">
        <v>0</v>
      </c>
      <c r="L170" s="211" t="b">
        <v>0</v>
      </c>
      <c r="M170" s="211" t="b">
        <v>0</v>
      </c>
      <c r="N170" s="211" t="b">
        <v>0</v>
      </c>
      <c r="O170" s="211" t="b">
        <v>0</v>
      </c>
      <c r="P170" s="211" t="b">
        <v>0</v>
      </c>
      <c r="Q170" s="211" t="b">
        <v>0</v>
      </c>
      <c r="R170" s="211" t="b">
        <v>0</v>
      </c>
      <c r="S170" s="211" t="b">
        <v>0</v>
      </c>
      <c r="T170" s="211" t="b">
        <v>0</v>
      </c>
      <c r="U170" s="211" t="b">
        <v>0</v>
      </c>
      <c r="V170" s="211" t="b">
        <v>0</v>
      </c>
      <c r="W170" s="211" t="b">
        <v>0</v>
      </c>
      <c r="X170" s="211" t="b">
        <v>0</v>
      </c>
      <c r="Y170" s="211" t="b">
        <v>0</v>
      </c>
    </row>
    <row r="171">
      <c r="A171" s="233" t="s">
        <v>178</v>
      </c>
      <c r="B171" s="214" t="b">
        <f>B69</f>
        <v>0</v>
      </c>
      <c r="C171" s="213"/>
      <c r="D171" s="214">
        <f t="shared" ref="D171:Y171" si="143">(75+150)/2/D134</f>
        <v>46.875</v>
      </c>
      <c r="E171" s="214">
        <f t="shared" si="143"/>
        <v>46.875</v>
      </c>
      <c r="F171" s="214">
        <f t="shared" si="143"/>
        <v>46.875</v>
      </c>
      <c r="G171" s="214">
        <f t="shared" si="143"/>
        <v>46.875</v>
      </c>
      <c r="H171" s="214">
        <f t="shared" si="143"/>
        <v>46.875</v>
      </c>
      <c r="I171" s="214">
        <f t="shared" si="143"/>
        <v>46.875</v>
      </c>
      <c r="J171" s="214">
        <f t="shared" si="143"/>
        <v>46.875</v>
      </c>
      <c r="K171" s="214">
        <f t="shared" si="143"/>
        <v>46.875</v>
      </c>
      <c r="L171" s="214">
        <f t="shared" si="143"/>
        <v>46.875</v>
      </c>
      <c r="M171" s="214">
        <f t="shared" si="143"/>
        <v>46.875</v>
      </c>
      <c r="N171" s="214">
        <f t="shared" si="143"/>
        <v>46.875</v>
      </c>
      <c r="O171" s="214">
        <f t="shared" si="143"/>
        <v>46.875</v>
      </c>
      <c r="P171" s="214">
        <f t="shared" si="143"/>
        <v>46.875</v>
      </c>
      <c r="Q171" s="214">
        <f t="shared" si="143"/>
        <v>46.875</v>
      </c>
      <c r="R171" s="214">
        <f t="shared" si="143"/>
        <v>46.875</v>
      </c>
      <c r="S171" s="214">
        <f t="shared" si="143"/>
        <v>46.875</v>
      </c>
      <c r="T171" s="214">
        <f t="shared" si="143"/>
        <v>46.875</v>
      </c>
      <c r="U171" s="214">
        <f t="shared" si="143"/>
        <v>46.875</v>
      </c>
      <c r="V171" s="214">
        <f t="shared" si="143"/>
        <v>46.875</v>
      </c>
      <c r="W171" s="214">
        <f t="shared" si="143"/>
        <v>46.875</v>
      </c>
      <c r="X171" s="214">
        <f t="shared" si="143"/>
        <v>46.875</v>
      </c>
      <c r="Y171" s="214">
        <f t="shared" si="143"/>
        <v>46.875</v>
      </c>
    </row>
    <row r="172">
      <c r="A172" s="233" t="s">
        <v>239</v>
      </c>
      <c r="B172" s="214" t="b">
        <f>or(B67,B68)</f>
        <v>0</v>
      </c>
      <c r="C172" s="213"/>
      <c r="D172" s="214">
        <f t="shared" ref="D172:Y172" si="144">D32*0.5*D70/3</f>
        <v>0</v>
      </c>
      <c r="E172" s="214">
        <f t="shared" si="144"/>
        <v>0</v>
      </c>
      <c r="F172" s="214">
        <f t="shared" si="144"/>
        <v>0</v>
      </c>
      <c r="G172" s="214">
        <f t="shared" si="144"/>
        <v>0</v>
      </c>
      <c r="H172" s="214">
        <f t="shared" si="144"/>
        <v>0</v>
      </c>
      <c r="I172" s="214">
        <f t="shared" si="144"/>
        <v>0</v>
      </c>
      <c r="J172" s="214">
        <f t="shared" si="144"/>
        <v>0</v>
      </c>
      <c r="K172" s="214">
        <f t="shared" si="144"/>
        <v>0</v>
      </c>
      <c r="L172" s="214">
        <f t="shared" si="144"/>
        <v>0</v>
      </c>
      <c r="M172" s="214">
        <f t="shared" si="144"/>
        <v>0</v>
      </c>
      <c r="N172" s="214">
        <f t="shared" si="144"/>
        <v>0</v>
      </c>
      <c r="O172" s="214">
        <f t="shared" si="144"/>
        <v>0</v>
      </c>
      <c r="P172" s="214">
        <f t="shared" si="144"/>
        <v>0</v>
      </c>
      <c r="Q172" s="214">
        <f t="shared" si="144"/>
        <v>0</v>
      </c>
      <c r="R172" s="214">
        <f t="shared" si="144"/>
        <v>0</v>
      </c>
      <c r="S172" s="214">
        <f t="shared" si="144"/>
        <v>0</v>
      </c>
      <c r="T172" s="214">
        <f t="shared" si="144"/>
        <v>0</v>
      </c>
      <c r="U172" s="214">
        <f t="shared" si="144"/>
        <v>0</v>
      </c>
      <c r="V172" s="214">
        <f t="shared" si="144"/>
        <v>0</v>
      </c>
      <c r="W172" s="214">
        <f t="shared" si="144"/>
        <v>0</v>
      </c>
      <c r="X172" s="214">
        <f t="shared" si="144"/>
        <v>0</v>
      </c>
      <c r="Y172" s="214">
        <f t="shared" si="144"/>
        <v>0</v>
      </c>
    </row>
    <row r="173">
      <c r="A173" s="231" t="s">
        <v>240</v>
      </c>
      <c r="B173" s="214" t="b">
        <f>IF(C30,FALSE,TRUE)</f>
        <v>0</v>
      </c>
      <c r="C173" s="213" t="b">
        <f>if('Sheet 1'!B75='NPC stats'!A460,false,true)</f>
        <v>1</v>
      </c>
      <c r="D173" s="214">
        <f t="shared" ref="D173:Y173" si="145">if($C$173,D32*0.5*D85*$C86/D133,0)</f>
        <v>0</v>
      </c>
      <c r="E173" s="214">
        <f t="shared" si="145"/>
        <v>0</v>
      </c>
      <c r="F173" s="214">
        <f t="shared" si="145"/>
        <v>0</v>
      </c>
      <c r="G173" s="214">
        <f t="shared" si="145"/>
        <v>0</v>
      </c>
      <c r="H173" s="214">
        <f t="shared" si="145"/>
        <v>0</v>
      </c>
      <c r="I173" s="214">
        <f t="shared" si="145"/>
        <v>0</v>
      </c>
      <c r="J173" s="214">
        <f t="shared" si="145"/>
        <v>0</v>
      </c>
      <c r="K173" s="214">
        <f t="shared" si="145"/>
        <v>0</v>
      </c>
      <c r="L173" s="214">
        <f t="shared" si="145"/>
        <v>0</v>
      </c>
      <c r="M173" s="214">
        <f t="shared" si="145"/>
        <v>0</v>
      </c>
      <c r="N173" s="214">
        <f t="shared" si="145"/>
        <v>0</v>
      </c>
      <c r="O173" s="214">
        <f t="shared" si="145"/>
        <v>0</v>
      </c>
      <c r="P173" s="214">
        <f t="shared" si="145"/>
        <v>0</v>
      </c>
      <c r="Q173" s="214">
        <f t="shared" si="145"/>
        <v>0</v>
      </c>
      <c r="R173" s="214">
        <f t="shared" si="145"/>
        <v>0</v>
      </c>
      <c r="S173" s="214">
        <f t="shared" si="145"/>
        <v>0</v>
      </c>
      <c r="T173" s="214">
        <f t="shared" si="145"/>
        <v>0</v>
      </c>
      <c r="U173" s="214">
        <f t="shared" si="145"/>
        <v>0</v>
      </c>
      <c r="V173" s="214">
        <f t="shared" si="145"/>
        <v>0</v>
      </c>
      <c r="W173" s="214">
        <f t="shared" si="145"/>
        <v>0</v>
      </c>
      <c r="X173" s="214">
        <f t="shared" si="145"/>
        <v>0</v>
      </c>
      <c r="Y173" s="214">
        <f t="shared" si="145"/>
        <v>0</v>
      </c>
    </row>
    <row r="174">
      <c r="A174" s="234" t="s">
        <v>241</v>
      </c>
      <c r="B174" s="225"/>
      <c r="C174" s="221" t="s">
        <v>242</v>
      </c>
      <c r="D174" s="225">
        <f t="shared" ref="D174:Y174" si="146">IF(OR($B160:$B172),VLOOKUP(TRUE,$B$160:$Y$172,COLUMN(D1)-1,FALSE),D173)</f>
        <v>0</v>
      </c>
      <c r="E174" s="225">
        <f t="shared" si="146"/>
        <v>0</v>
      </c>
      <c r="F174" s="225">
        <f t="shared" si="146"/>
        <v>0</v>
      </c>
      <c r="G174" s="225">
        <f t="shared" si="146"/>
        <v>0</v>
      </c>
      <c r="H174" s="225">
        <f t="shared" si="146"/>
        <v>0</v>
      </c>
      <c r="I174" s="225">
        <f t="shared" si="146"/>
        <v>0</v>
      </c>
      <c r="J174" s="225">
        <f t="shared" si="146"/>
        <v>0</v>
      </c>
      <c r="K174" s="225">
        <f t="shared" si="146"/>
        <v>0</v>
      </c>
      <c r="L174" s="225">
        <f t="shared" si="146"/>
        <v>0</v>
      </c>
      <c r="M174" s="225">
        <f t="shared" si="146"/>
        <v>0</v>
      </c>
      <c r="N174" s="225">
        <f t="shared" si="146"/>
        <v>0</v>
      </c>
      <c r="O174" s="225">
        <f t="shared" si="146"/>
        <v>0</v>
      </c>
      <c r="P174" s="225">
        <f t="shared" si="146"/>
        <v>0</v>
      </c>
      <c r="Q174" s="225">
        <f t="shared" si="146"/>
        <v>0</v>
      </c>
      <c r="R174" s="225">
        <f t="shared" si="146"/>
        <v>0</v>
      </c>
      <c r="S174" s="225">
        <f t="shared" si="146"/>
        <v>0</v>
      </c>
      <c r="T174" s="225">
        <f t="shared" si="146"/>
        <v>0</v>
      </c>
      <c r="U174" s="225">
        <f t="shared" si="146"/>
        <v>0</v>
      </c>
      <c r="V174" s="225">
        <f t="shared" si="146"/>
        <v>0</v>
      </c>
      <c r="W174" s="225">
        <f t="shared" si="146"/>
        <v>0</v>
      </c>
      <c r="X174" s="225">
        <f t="shared" si="146"/>
        <v>0</v>
      </c>
      <c r="Y174" s="225">
        <f t="shared" si="146"/>
        <v>0</v>
      </c>
    </row>
    <row r="175">
      <c r="A175" s="211" t="s">
        <v>243</v>
      </c>
      <c r="B175" s="225"/>
      <c r="C175" s="221"/>
      <c r="D175" s="214">
        <f t="shared" ref="D175:Y175" si="147">IF(D28&gt;D30,1-(D30+2)/(2*(D28+1)),D28/(2*(D30+1)))</f>
        <v>0.9999675504</v>
      </c>
      <c r="E175" s="214">
        <f t="shared" si="147"/>
        <v>0.9999673235</v>
      </c>
      <c r="F175" s="214">
        <f t="shared" si="147"/>
        <v>0.99996686</v>
      </c>
      <c r="G175" s="214">
        <f t="shared" si="147"/>
        <v>0.9999666233</v>
      </c>
      <c r="H175" s="214">
        <f t="shared" si="147"/>
        <v>0.9999663832</v>
      </c>
      <c r="I175" s="214">
        <f t="shared" si="147"/>
        <v>0.9999661396</v>
      </c>
      <c r="J175" s="214">
        <f t="shared" si="147"/>
        <v>0.9999656416</v>
      </c>
      <c r="K175" s="214">
        <f t="shared" si="147"/>
        <v>0.9999653871</v>
      </c>
      <c r="L175" s="214">
        <f t="shared" si="147"/>
        <v>0.9999651288</v>
      </c>
      <c r="M175" s="214">
        <f t="shared" si="147"/>
        <v>0.9999648667</v>
      </c>
      <c r="N175" s="214">
        <f t="shared" si="147"/>
        <v>0.9999643303</v>
      </c>
      <c r="O175" s="214">
        <f t="shared" si="147"/>
        <v>0.9999643303</v>
      </c>
      <c r="P175" s="214">
        <f t="shared" si="147"/>
        <v>0.9999643303</v>
      </c>
      <c r="Q175" s="214">
        <f t="shared" si="147"/>
        <v>0.9999643303</v>
      </c>
      <c r="R175" s="214">
        <f t="shared" si="147"/>
        <v>0.9999643303</v>
      </c>
      <c r="S175" s="214">
        <f t="shared" si="147"/>
        <v>0.9999643303</v>
      </c>
      <c r="T175" s="214">
        <f t="shared" si="147"/>
        <v>0.9999643303</v>
      </c>
      <c r="U175" s="214">
        <f t="shared" si="147"/>
        <v>0.9999643303</v>
      </c>
      <c r="V175" s="214">
        <f t="shared" si="147"/>
        <v>0.9999643303</v>
      </c>
      <c r="W175" s="214">
        <f t="shared" si="147"/>
        <v>0.9999643303</v>
      </c>
      <c r="X175" s="214">
        <f t="shared" si="147"/>
        <v>0.9999643303</v>
      </c>
      <c r="Y175" s="214">
        <f t="shared" si="147"/>
        <v>0.9999643303</v>
      </c>
    </row>
    <row r="176">
      <c r="A176" s="211" t="s">
        <v>244</v>
      </c>
      <c r="B176" s="214" t="b">
        <f>B161</f>
        <v>0</v>
      </c>
      <c r="C176" s="213"/>
      <c r="D176" s="214">
        <f t="shared" ref="D176:Y176" si="148"> (1-D175)^(0)*(D175) + (1-D175)^(1)*(D175) + (1-D175)^(2)*(D175) + (1-D175)^(3)*(D175)</f>
        <v>1</v>
      </c>
      <c r="E176" s="214">
        <f t="shared" si="148"/>
        <v>1</v>
      </c>
      <c r="F176" s="214">
        <f t="shared" si="148"/>
        <v>1</v>
      </c>
      <c r="G176" s="214">
        <f t="shared" si="148"/>
        <v>1</v>
      </c>
      <c r="H176" s="214">
        <f t="shared" si="148"/>
        <v>1</v>
      </c>
      <c r="I176" s="214">
        <f t="shared" si="148"/>
        <v>1</v>
      </c>
      <c r="J176" s="214">
        <f t="shared" si="148"/>
        <v>1</v>
      </c>
      <c r="K176" s="214">
        <f t="shared" si="148"/>
        <v>1</v>
      </c>
      <c r="L176" s="214">
        <f t="shared" si="148"/>
        <v>1</v>
      </c>
      <c r="M176" s="214">
        <f t="shared" si="148"/>
        <v>1</v>
      </c>
      <c r="N176" s="214">
        <f t="shared" si="148"/>
        <v>1</v>
      </c>
      <c r="O176" s="214">
        <f t="shared" si="148"/>
        <v>1</v>
      </c>
      <c r="P176" s="214">
        <f t="shared" si="148"/>
        <v>1</v>
      </c>
      <c r="Q176" s="214">
        <f t="shared" si="148"/>
        <v>1</v>
      </c>
      <c r="R176" s="214">
        <f t="shared" si="148"/>
        <v>1</v>
      </c>
      <c r="S176" s="214">
        <f t="shared" si="148"/>
        <v>1</v>
      </c>
      <c r="T176" s="214">
        <f t="shared" si="148"/>
        <v>1</v>
      </c>
      <c r="U176" s="214">
        <f t="shared" si="148"/>
        <v>1</v>
      </c>
      <c r="V176" s="214">
        <f t="shared" si="148"/>
        <v>1</v>
      </c>
      <c r="W176" s="214">
        <f t="shared" si="148"/>
        <v>1</v>
      </c>
      <c r="X176" s="214">
        <f t="shared" si="148"/>
        <v>1</v>
      </c>
      <c r="Y176" s="214">
        <f t="shared" si="148"/>
        <v>1</v>
      </c>
    </row>
    <row r="177">
      <c r="A177" s="214"/>
      <c r="B177" s="214"/>
      <c r="C177" s="213"/>
      <c r="D177" s="214"/>
      <c r="E177" s="214"/>
      <c r="F177" s="214"/>
      <c r="G177" s="214"/>
      <c r="H177" s="214"/>
      <c r="I177" s="214"/>
      <c r="J177" s="214"/>
      <c r="K177" s="214"/>
      <c r="L177" s="214"/>
      <c r="M177" s="214"/>
      <c r="N177" s="214"/>
      <c r="O177" s="214"/>
      <c r="P177" s="214"/>
      <c r="Q177" s="214"/>
      <c r="R177" s="214"/>
      <c r="S177" s="214"/>
      <c r="T177" s="214"/>
      <c r="U177" s="214"/>
      <c r="V177" s="214"/>
      <c r="W177" s="214"/>
      <c r="X177" s="214"/>
      <c r="Y177" s="214"/>
    </row>
    <row r="178">
      <c r="A178" s="214"/>
      <c r="B178" s="214"/>
      <c r="C178" s="213"/>
      <c r="D178" s="214"/>
      <c r="E178" s="214"/>
      <c r="F178" s="214"/>
      <c r="G178" s="214"/>
      <c r="H178" s="214"/>
      <c r="I178" s="214"/>
      <c r="J178" s="214"/>
      <c r="K178" s="214"/>
      <c r="L178" s="214"/>
      <c r="M178" s="214"/>
      <c r="N178" s="214"/>
      <c r="O178" s="214"/>
      <c r="P178" s="214"/>
      <c r="Q178" s="214"/>
      <c r="R178" s="214"/>
      <c r="S178" s="214"/>
      <c r="T178" s="214"/>
      <c r="U178" s="214"/>
      <c r="V178" s="214"/>
      <c r="W178" s="214"/>
      <c r="X178" s="214"/>
      <c r="Y178" s="214"/>
    </row>
    <row r="179">
      <c r="A179" s="235"/>
      <c r="B179" s="235"/>
      <c r="C179" s="235"/>
      <c r="D179" s="231" t="str">
        <f t="shared" ref="D179:Y179" si="149">D180&amp;"/"&amp;$C180</f>
        <v>118/99</v>
      </c>
      <c r="E179" s="231" t="str">
        <f t="shared" si="149"/>
        <v>117/99</v>
      </c>
      <c r="F179" s="231" t="str">
        <f t="shared" si="149"/>
        <v>116/99</v>
      </c>
      <c r="G179" s="231" t="str">
        <f t="shared" si="149"/>
        <v>115/99</v>
      </c>
      <c r="H179" s="231" t="str">
        <f t="shared" si="149"/>
        <v>114/99</v>
      </c>
      <c r="I179" s="231" t="str">
        <f t="shared" si="149"/>
        <v>113/99</v>
      </c>
      <c r="J179" s="231" t="str">
        <f t="shared" si="149"/>
        <v>112/99</v>
      </c>
      <c r="K179" s="231" t="str">
        <f t="shared" si="149"/>
        <v>111/99</v>
      </c>
      <c r="L179" s="231" t="str">
        <f t="shared" si="149"/>
        <v>110/99</v>
      </c>
      <c r="M179" s="231" t="str">
        <f t="shared" si="149"/>
        <v>109/99</v>
      </c>
      <c r="N179" s="231" t="str">
        <f t="shared" si="149"/>
        <v>108/99</v>
      </c>
      <c r="O179" s="231" t="str">
        <f t="shared" si="149"/>
        <v>107/99</v>
      </c>
      <c r="P179" s="231" t="str">
        <f t="shared" si="149"/>
        <v>106/99</v>
      </c>
      <c r="Q179" s="231" t="str">
        <f t="shared" si="149"/>
        <v>105/99</v>
      </c>
      <c r="R179" s="231" t="str">
        <f t="shared" si="149"/>
        <v>104/99</v>
      </c>
      <c r="S179" s="231" t="str">
        <f t="shared" si="149"/>
        <v>103/99</v>
      </c>
      <c r="T179" s="231" t="str">
        <f t="shared" si="149"/>
        <v>102/99</v>
      </c>
      <c r="U179" s="231" t="str">
        <f t="shared" si="149"/>
        <v>101/99</v>
      </c>
      <c r="V179" s="231" t="str">
        <f t="shared" si="149"/>
        <v>100/99</v>
      </c>
      <c r="W179" s="231" t="str">
        <f t="shared" si="149"/>
        <v>99/99</v>
      </c>
      <c r="X179" s="231" t="str">
        <f t="shared" si="149"/>
        <v>99/99</v>
      </c>
      <c r="Y179" s="231" t="str">
        <f t="shared" si="149"/>
        <v>99/99</v>
      </c>
    </row>
    <row r="180">
      <c r="A180" s="231" t="s">
        <v>31</v>
      </c>
      <c r="B180" s="236" t="b">
        <f>'Sheet 1'!B75='NPC stats'!A4</f>
        <v>0</v>
      </c>
      <c r="C180" s="237">
        <f>'Sheet 1'!$D$8</f>
        <v>99</v>
      </c>
      <c r="D180" s="238">
        <f>INT(C180*(1+IF(ISNUMBER('Sheet 1'!$G$8),'Sheet 1'!$G$8,0))+IF(ISNUMBER('Sheet 1'!$H$8),'Sheet 1'!$H$8,0))</f>
        <v>118</v>
      </c>
      <c r="E180" s="238">
        <f t="shared" ref="E180:Y180" si="150">MAX($C180,D180-1)</f>
        <v>117</v>
      </c>
      <c r="F180" s="238">
        <f t="shared" si="150"/>
        <v>116</v>
      </c>
      <c r="G180" s="238">
        <f t="shared" si="150"/>
        <v>115</v>
      </c>
      <c r="H180" s="238">
        <f t="shared" si="150"/>
        <v>114</v>
      </c>
      <c r="I180" s="238">
        <f t="shared" si="150"/>
        <v>113</v>
      </c>
      <c r="J180" s="238">
        <f t="shared" si="150"/>
        <v>112</v>
      </c>
      <c r="K180" s="238">
        <f t="shared" si="150"/>
        <v>111</v>
      </c>
      <c r="L180" s="238">
        <f t="shared" si="150"/>
        <v>110</v>
      </c>
      <c r="M180" s="238">
        <f t="shared" si="150"/>
        <v>109</v>
      </c>
      <c r="N180" s="238">
        <f t="shared" si="150"/>
        <v>108</v>
      </c>
      <c r="O180" s="238">
        <f t="shared" si="150"/>
        <v>107</v>
      </c>
      <c r="P180" s="238">
        <f t="shared" si="150"/>
        <v>106</v>
      </c>
      <c r="Q180" s="238">
        <f t="shared" si="150"/>
        <v>105</v>
      </c>
      <c r="R180" s="238">
        <f t="shared" si="150"/>
        <v>104</v>
      </c>
      <c r="S180" s="238">
        <f t="shared" si="150"/>
        <v>103</v>
      </c>
      <c r="T180" s="238">
        <f t="shared" si="150"/>
        <v>102</v>
      </c>
      <c r="U180" s="238">
        <f t="shared" si="150"/>
        <v>101</v>
      </c>
      <c r="V180" s="238">
        <f t="shared" si="150"/>
        <v>100</v>
      </c>
      <c r="W180" s="238">
        <f t="shared" si="150"/>
        <v>99</v>
      </c>
      <c r="X180" s="238">
        <f t="shared" si="150"/>
        <v>99</v>
      </c>
      <c r="Y180" s="238">
        <f t="shared" si="150"/>
        <v>99</v>
      </c>
    </row>
    <row r="181">
      <c r="A181" s="231" t="s">
        <v>49</v>
      </c>
      <c r="B181" s="235"/>
      <c r="C181" s="239">
        <f>1+'Sheet 1'!$L$8</f>
        <v>1.25</v>
      </c>
      <c r="D181" s="238">
        <f t="shared" ref="D181:Y181" si="151">INT(D180*$C181)</f>
        <v>147</v>
      </c>
      <c r="E181" s="238">
        <f t="shared" si="151"/>
        <v>146</v>
      </c>
      <c r="F181" s="238">
        <f t="shared" si="151"/>
        <v>145</v>
      </c>
      <c r="G181" s="238">
        <f t="shared" si="151"/>
        <v>143</v>
      </c>
      <c r="H181" s="238">
        <f t="shared" si="151"/>
        <v>142</v>
      </c>
      <c r="I181" s="238">
        <f t="shared" si="151"/>
        <v>141</v>
      </c>
      <c r="J181" s="238">
        <f t="shared" si="151"/>
        <v>140</v>
      </c>
      <c r="K181" s="238">
        <f t="shared" si="151"/>
        <v>138</v>
      </c>
      <c r="L181" s="238">
        <f t="shared" si="151"/>
        <v>137</v>
      </c>
      <c r="M181" s="238">
        <f t="shared" si="151"/>
        <v>136</v>
      </c>
      <c r="N181" s="238">
        <f t="shared" si="151"/>
        <v>135</v>
      </c>
      <c r="O181" s="238">
        <f t="shared" si="151"/>
        <v>133</v>
      </c>
      <c r="P181" s="238">
        <f t="shared" si="151"/>
        <v>132</v>
      </c>
      <c r="Q181" s="238">
        <f t="shared" si="151"/>
        <v>131</v>
      </c>
      <c r="R181" s="238">
        <f t="shared" si="151"/>
        <v>130</v>
      </c>
      <c r="S181" s="238">
        <f t="shared" si="151"/>
        <v>128</v>
      </c>
      <c r="T181" s="238">
        <f t="shared" si="151"/>
        <v>127</v>
      </c>
      <c r="U181" s="238">
        <f t="shared" si="151"/>
        <v>126</v>
      </c>
      <c r="V181" s="238">
        <f t="shared" si="151"/>
        <v>125</v>
      </c>
      <c r="W181" s="238">
        <f t="shared" si="151"/>
        <v>123</v>
      </c>
      <c r="X181" s="238">
        <f t="shared" si="151"/>
        <v>123</v>
      </c>
      <c r="Y181" s="238">
        <f t="shared" si="151"/>
        <v>123</v>
      </c>
    </row>
    <row r="182">
      <c r="A182" s="231" t="s">
        <v>155</v>
      </c>
      <c r="B182" s="235"/>
      <c r="C182" s="237">
        <f>'Sheet 1'!$F$20</f>
        <v>8</v>
      </c>
      <c r="D182" s="238">
        <f t="shared" ref="D182:Y182" si="152">D181+$C182</f>
        <v>155</v>
      </c>
      <c r="E182" s="238">
        <f t="shared" si="152"/>
        <v>154</v>
      </c>
      <c r="F182" s="238">
        <f t="shared" si="152"/>
        <v>153</v>
      </c>
      <c r="G182" s="238">
        <f t="shared" si="152"/>
        <v>151</v>
      </c>
      <c r="H182" s="238">
        <f t="shared" si="152"/>
        <v>150</v>
      </c>
      <c r="I182" s="238">
        <f t="shared" si="152"/>
        <v>149</v>
      </c>
      <c r="J182" s="238">
        <f t="shared" si="152"/>
        <v>148</v>
      </c>
      <c r="K182" s="238">
        <f t="shared" si="152"/>
        <v>146</v>
      </c>
      <c r="L182" s="238">
        <f t="shared" si="152"/>
        <v>145</v>
      </c>
      <c r="M182" s="238">
        <f t="shared" si="152"/>
        <v>144</v>
      </c>
      <c r="N182" s="238">
        <f t="shared" si="152"/>
        <v>143</v>
      </c>
      <c r="O182" s="238">
        <f t="shared" si="152"/>
        <v>141</v>
      </c>
      <c r="P182" s="238">
        <f t="shared" si="152"/>
        <v>140</v>
      </c>
      <c r="Q182" s="238">
        <f t="shared" si="152"/>
        <v>139</v>
      </c>
      <c r="R182" s="238">
        <f t="shared" si="152"/>
        <v>138</v>
      </c>
      <c r="S182" s="238">
        <f t="shared" si="152"/>
        <v>136</v>
      </c>
      <c r="T182" s="238">
        <f t="shared" si="152"/>
        <v>135</v>
      </c>
      <c r="U182" s="238">
        <f t="shared" si="152"/>
        <v>134</v>
      </c>
      <c r="V182" s="238">
        <f t="shared" si="152"/>
        <v>133</v>
      </c>
      <c r="W182" s="238">
        <f t="shared" si="152"/>
        <v>131</v>
      </c>
      <c r="X182" s="238">
        <f t="shared" si="152"/>
        <v>131</v>
      </c>
      <c r="Y182" s="238">
        <f t="shared" si="152"/>
        <v>131</v>
      </c>
    </row>
    <row r="183">
      <c r="A183" s="231" t="s">
        <v>245</v>
      </c>
      <c r="B183" s="235"/>
      <c r="C183" s="235"/>
      <c r="D183" s="238">
        <f t="shared" ref="D183:Y183" si="153">INT(D182)</f>
        <v>155</v>
      </c>
      <c r="E183" s="238">
        <f t="shared" si="153"/>
        <v>154</v>
      </c>
      <c r="F183" s="238">
        <f t="shared" si="153"/>
        <v>153</v>
      </c>
      <c r="G183" s="238">
        <f t="shared" si="153"/>
        <v>151</v>
      </c>
      <c r="H183" s="238">
        <f t="shared" si="153"/>
        <v>150</v>
      </c>
      <c r="I183" s="238">
        <f t="shared" si="153"/>
        <v>149</v>
      </c>
      <c r="J183" s="238">
        <f t="shared" si="153"/>
        <v>148</v>
      </c>
      <c r="K183" s="238">
        <f t="shared" si="153"/>
        <v>146</v>
      </c>
      <c r="L183" s="238">
        <f t="shared" si="153"/>
        <v>145</v>
      </c>
      <c r="M183" s="238">
        <f t="shared" si="153"/>
        <v>144</v>
      </c>
      <c r="N183" s="238">
        <f t="shared" si="153"/>
        <v>143</v>
      </c>
      <c r="O183" s="238">
        <f t="shared" si="153"/>
        <v>141</v>
      </c>
      <c r="P183" s="238">
        <f t="shared" si="153"/>
        <v>140</v>
      </c>
      <c r="Q183" s="238">
        <f t="shared" si="153"/>
        <v>139</v>
      </c>
      <c r="R183" s="238">
        <f t="shared" si="153"/>
        <v>138</v>
      </c>
      <c r="S183" s="238">
        <f t="shared" si="153"/>
        <v>136</v>
      </c>
      <c r="T183" s="238">
        <f t="shared" si="153"/>
        <v>135</v>
      </c>
      <c r="U183" s="238">
        <f t="shared" si="153"/>
        <v>134</v>
      </c>
      <c r="V183" s="238">
        <f t="shared" si="153"/>
        <v>133</v>
      </c>
      <c r="W183" s="238">
        <f t="shared" si="153"/>
        <v>131</v>
      </c>
      <c r="X183" s="238">
        <f t="shared" si="153"/>
        <v>131</v>
      </c>
      <c r="Y183" s="238">
        <f t="shared" si="153"/>
        <v>131</v>
      </c>
    </row>
    <row r="184">
      <c r="A184" s="240" t="s">
        <v>246</v>
      </c>
      <c r="B184" s="235"/>
      <c r="C184" s="237">
        <f>'Sheet 1'!$H$51</f>
        <v>89</v>
      </c>
      <c r="D184" s="238">
        <f t="shared" ref="D184:Y184" si="154">D$183*(64+$C184)</f>
        <v>23715</v>
      </c>
      <c r="E184" s="238">
        <f t="shared" si="154"/>
        <v>23562</v>
      </c>
      <c r="F184" s="238">
        <f t="shared" si="154"/>
        <v>23409</v>
      </c>
      <c r="G184" s="238">
        <f t="shared" si="154"/>
        <v>23103</v>
      </c>
      <c r="H184" s="238">
        <f t="shared" si="154"/>
        <v>22950</v>
      </c>
      <c r="I184" s="238">
        <f t="shared" si="154"/>
        <v>22797</v>
      </c>
      <c r="J184" s="238">
        <f t="shared" si="154"/>
        <v>22644</v>
      </c>
      <c r="K184" s="238">
        <f t="shared" si="154"/>
        <v>22338</v>
      </c>
      <c r="L184" s="238">
        <f t="shared" si="154"/>
        <v>22185</v>
      </c>
      <c r="M184" s="238">
        <f t="shared" si="154"/>
        <v>22032</v>
      </c>
      <c r="N184" s="238">
        <f t="shared" si="154"/>
        <v>21879</v>
      </c>
      <c r="O184" s="238">
        <f t="shared" si="154"/>
        <v>21573</v>
      </c>
      <c r="P184" s="238">
        <f t="shared" si="154"/>
        <v>21420</v>
      </c>
      <c r="Q184" s="238">
        <f t="shared" si="154"/>
        <v>21267</v>
      </c>
      <c r="R184" s="238">
        <f t="shared" si="154"/>
        <v>21114</v>
      </c>
      <c r="S184" s="238">
        <f t="shared" si="154"/>
        <v>20808</v>
      </c>
      <c r="T184" s="238">
        <f t="shared" si="154"/>
        <v>20655</v>
      </c>
      <c r="U184" s="238">
        <f t="shared" si="154"/>
        <v>20502</v>
      </c>
      <c r="V184" s="238">
        <f t="shared" si="154"/>
        <v>20349</v>
      </c>
      <c r="W184" s="238">
        <f t="shared" si="154"/>
        <v>20043</v>
      </c>
      <c r="X184" s="238">
        <f t="shared" si="154"/>
        <v>20043</v>
      </c>
      <c r="Y184" s="238">
        <f t="shared" si="154"/>
        <v>20043</v>
      </c>
    </row>
    <row r="185">
      <c r="A185" s="240" t="s">
        <v>247</v>
      </c>
      <c r="B185" s="235"/>
      <c r="C185" s="237">
        <f>'Sheet 1'!$I$51</f>
        <v>74</v>
      </c>
      <c r="D185" s="238">
        <f t="shared" ref="D185:Y185" si="155">D$183*(64+$C185)</f>
        <v>21390</v>
      </c>
      <c r="E185" s="238">
        <f t="shared" si="155"/>
        <v>21252</v>
      </c>
      <c r="F185" s="238">
        <f t="shared" si="155"/>
        <v>21114</v>
      </c>
      <c r="G185" s="238">
        <f t="shared" si="155"/>
        <v>20838</v>
      </c>
      <c r="H185" s="238">
        <f t="shared" si="155"/>
        <v>20700</v>
      </c>
      <c r="I185" s="238">
        <f t="shared" si="155"/>
        <v>20562</v>
      </c>
      <c r="J185" s="238">
        <f t="shared" si="155"/>
        <v>20424</v>
      </c>
      <c r="K185" s="238">
        <f t="shared" si="155"/>
        <v>20148</v>
      </c>
      <c r="L185" s="238">
        <f t="shared" si="155"/>
        <v>20010</v>
      </c>
      <c r="M185" s="238">
        <f t="shared" si="155"/>
        <v>19872</v>
      </c>
      <c r="N185" s="238">
        <f t="shared" si="155"/>
        <v>19734</v>
      </c>
      <c r="O185" s="238">
        <f t="shared" si="155"/>
        <v>19458</v>
      </c>
      <c r="P185" s="238">
        <f t="shared" si="155"/>
        <v>19320</v>
      </c>
      <c r="Q185" s="238">
        <f t="shared" si="155"/>
        <v>19182</v>
      </c>
      <c r="R185" s="238">
        <f t="shared" si="155"/>
        <v>19044</v>
      </c>
      <c r="S185" s="238">
        <f t="shared" si="155"/>
        <v>18768</v>
      </c>
      <c r="T185" s="238">
        <f t="shared" si="155"/>
        <v>18630</v>
      </c>
      <c r="U185" s="238">
        <f t="shared" si="155"/>
        <v>18492</v>
      </c>
      <c r="V185" s="238">
        <f t="shared" si="155"/>
        <v>18354</v>
      </c>
      <c r="W185" s="238">
        <f t="shared" si="155"/>
        <v>18078</v>
      </c>
      <c r="X185" s="238">
        <f t="shared" si="155"/>
        <v>18078</v>
      </c>
      <c r="Y185" s="238">
        <f t="shared" si="155"/>
        <v>18078</v>
      </c>
    </row>
    <row r="186">
      <c r="A186" s="240" t="s">
        <v>248</v>
      </c>
      <c r="B186" s="235"/>
      <c r="C186" s="237">
        <f>'Sheet 1'!$J$51</f>
        <v>102</v>
      </c>
      <c r="D186" s="238">
        <f t="shared" ref="D186:Y186" si="156">D$183*(64+$C186)</f>
        <v>25730</v>
      </c>
      <c r="E186" s="238">
        <f t="shared" si="156"/>
        <v>25564</v>
      </c>
      <c r="F186" s="238">
        <f t="shared" si="156"/>
        <v>25398</v>
      </c>
      <c r="G186" s="238">
        <f t="shared" si="156"/>
        <v>25066</v>
      </c>
      <c r="H186" s="238">
        <f t="shared" si="156"/>
        <v>24900</v>
      </c>
      <c r="I186" s="238">
        <f t="shared" si="156"/>
        <v>24734</v>
      </c>
      <c r="J186" s="238">
        <f t="shared" si="156"/>
        <v>24568</v>
      </c>
      <c r="K186" s="238">
        <f t="shared" si="156"/>
        <v>24236</v>
      </c>
      <c r="L186" s="238">
        <f t="shared" si="156"/>
        <v>24070</v>
      </c>
      <c r="M186" s="238">
        <f t="shared" si="156"/>
        <v>23904</v>
      </c>
      <c r="N186" s="238">
        <f t="shared" si="156"/>
        <v>23738</v>
      </c>
      <c r="O186" s="238">
        <f t="shared" si="156"/>
        <v>23406</v>
      </c>
      <c r="P186" s="238">
        <f t="shared" si="156"/>
        <v>23240</v>
      </c>
      <c r="Q186" s="238">
        <f t="shared" si="156"/>
        <v>23074</v>
      </c>
      <c r="R186" s="238">
        <f t="shared" si="156"/>
        <v>22908</v>
      </c>
      <c r="S186" s="238">
        <f t="shared" si="156"/>
        <v>22576</v>
      </c>
      <c r="T186" s="238">
        <f t="shared" si="156"/>
        <v>22410</v>
      </c>
      <c r="U186" s="238">
        <f t="shared" si="156"/>
        <v>22244</v>
      </c>
      <c r="V186" s="238">
        <f t="shared" si="156"/>
        <v>22078</v>
      </c>
      <c r="W186" s="238">
        <f t="shared" si="156"/>
        <v>21746</v>
      </c>
      <c r="X186" s="238">
        <f t="shared" si="156"/>
        <v>21746</v>
      </c>
      <c r="Y186" s="238">
        <f t="shared" si="156"/>
        <v>21746</v>
      </c>
    </row>
    <row r="187">
      <c r="A187" s="240" t="s">
        <v>249</v>
      </c>
      <c r="B187" s="235"/>
      <c r="C187" s="237">
        <f>'Sheet 1'!$L$51</f>
        <v>5</v>
      </c>
      <c r="D187" s="238">
        <f t="shared" ref="D187:Y187" si="157">D$183*(64+$C187)</f>
        <v>10695</v>
      </c>
      <c r="E187" s="238">
        <f t="shared" si="157"/>
        <v>10626</v>
      </c>
      <c r="F187" s="238">
        <f t="shared" si="157"/>
        <v>10557</v>
      </c>
      <c r="G187" s="238">
        <f t="shared" si="157"/>
        <v>10419</v>
      </c>
      <c r="H187" s="238">
        <f t="shared" si="157"/>
        <v>10350</v>
      </c>
      <c r="I187" s="238">
        <f t="shared" si="157"/>
        <v>10281</v>
      </c>
      <c r="J187" s="238">
        <f t="shared" si="157"/>
        <v>10212</v>
      </c>
      <c r="K187" s="238">
        <f t="shared" si="157"/>
        <v>10074</v>
      </c>
      <c r="L187" s="238">
        <f t="shared" si="157"/>
        <v>10005</v>
      </c>
      <c r="M187" s="238">
        <f t="shared" si="157"/>
        <v>9936</v>
      </c>
      <c r="N187" s="238">
        <f t="shared" si="157"/>
        <v>9867</v>
      </c>
      <c r="O187" s="238">
        <f t="shared" si="157"/>
        <v>9729</v>
      </c>
      <c r="P187" s="238">
        <f t="shared" si="157"/>
        <v>9660</v>
      </c>
      <c r="Q187" s="238">
        <f t="shared" si="157"/>
        <v>9591</v>
      </c>
      <c r="R187" s="238">
        <f t="shared" si="157"/>
        <v>9522</v>
      </c>
      <c r="S187" s="238">
        <f t="shared" si="157"/>
        <v>9384</v>
      </c>
      <c r="T187" s="238">
        <f t="shared" si="157"/>
        <v>9315</v>
      </c>
      <c r="U187" s="238">
        <f t="shared" si="157"/>
        <v>9246</v>
      </c>
      <c r="V187" s="238">
        <f t="shared" si="157"/>
        <v>9177</v>
      </c>
      <c r="W187" s="238">
        <f t="shared" si="157"/>
        <v>9039</v>
      </c>
      <c r="X187" s="238">
        <f t="shared" si="157"/>
        <v>9039</v>
      </c>
      <c r="Y187" s="238">
        <f t="shared" si="157"/>
        <v>9039</v>
      </c>
    </row>
    <row r="188">
      <c r="A188" s="229" t="s">
        <v>35</v>
      </c>
      <c r="B188" s="235"/>
      <c r="C188" s="237">
        <f>'Sheet 1'!$D$9</f>
        <v>99</v>
      </c>
      <c r="D188" s="238">
        <f>'Sheet 1'!$I$9</f>
        <v>109</v>
      </c>
      <c r="E188" s="238">
        <f t="shared" ref="E188:Y188" si="158">MAX($C188,D188-1)</f>
        <v>108</v>
      </c>
      <c r="F188" s="238">
        <f t="shared" si="158"/>
        <v>107</v>
      </c>
      <c r="G188" s="238">
        <f t="shared" si="158"/>
        <v>106</v>
      </c>
      <c r="H188" s="238">
        <f t="shared" si="158"/>
        <v>105</v>
      </c>
      <c r="I188" s="238">
        <f t="shared" si="158"/>
        <v>104</v>
      </c>
      <c r="J188" s="238">
        <f t="shared" si="158"/>
        <v>103</v>
      </c>
      <c r="K188" s="238">
        <f t="shared" si="158"/>
        <v>102</v>
      </c>
      <c r="L188" s="238">
        <f t="shared" si="158"/>
        <v>101</v>
      </c>
      <c r="M188" s="238">
        <f t="shared" si="158"/>
        <v>100</v>
      </c>
      <c r="N188" s="238">
        <f t="shared" si="158"/>
        <v>99</v>
      </c>
      <c r="O188" s="238">
        <f t="shared" si="158"/>
        <v>99</v>
      </c>
      <c r="P188" s="238">
        <f t="shared" si="158"/>
        <v>99</v>
      </c>
      <c r="Q188" s="238">
        <f t="shared" si="158"/>
        <v>99</v>
      </c>
      <c r="R188" s="238">
        <f t="shared" si="158"/>
        <v>99</v>
      </c>
      <c r="S188" s="238">
        <f t="shared" si="158"/>
        <v>99</v>
      </c>
      <c r="T188" s="238">
        <f t="shared" si="158"/>
        <v>99</v>
      </c>
      <c r="U188" s="238">
        <f t="shared" si="158"/>
        <v>99</v>
      </c>
      <c r="V188" s="238">
        <f t="shared" si="158"/>
        <v>99</v>
      </c>
      <c r="W188" s="238">
        <f t="shared" si="158"/>
        <v>99</v>
      </c>
      <c r="X188" s="238">
        <f t="shared" si="158"/>
        <v>99</v>
      </c>
      <c r="Y188" s="238">
        <f t="shared" si="158"/>
        <v>99</v>
      </c>
    </row>
    <row r="189">
      <c r="A189" s="231" t="s">
        <v>49</v>
      </c>
      <c r="B189" s="235"/>
      <c r="C189" s="237">
        <f>1+'Sheet 1'!$L$9</f>
        <v>1.25</v>
      </c>
      <c r="D189" s="238">
        <f t="shared" ref="D189:Y189" si="159">INT(D188*$C189)</f>
        <v>136</v>
      </c>
      <c r="E189" s="238">
        <f t="shared" si="159"/>
        <v>135</v>
      </c>
      <c r="F189" s="238">
        <f t="shared" si="159"/>
        <v>133</v>
      </c>
      <c r="G189" s="238">
        <f t="shared" si="159"/>
        <v>132</v>
      </c>
      <c r="H189" s="238">
        <f t="shared" si="159"/>
        <v>131</v>
      </c>
      <c r="I189" s="238">
        <f t="shared" si="159"/>
        <v>130</v>
      </c>
      <c r="J189" s="238">
        <f t="shared" si="159"/>
        <v>128</v>
      </c>
      <c r="K189" s="238">
        <f t="shared" si="159"/>
        <v>127</v>
      </c>
      <c r="L189" s="238">
        <f t="shared" si="159"/>
        <v>126</v>
      </c>
      <c r="M189" s="238">
        <f t="shared" si="159"/>
        <v>125</v>
      </c>
      <c r="N189" s="238">
        <f t="shared" si="159"/>
        <v>123</v>
      </c>
      <c r="O189" s="238">
        <f t="shared" si="159"/>
        <v>123</v>
      </c>
      <c r="P189" s="238">
        <f t="shared" si="159"/>
        <v>123</v>
      </c>
      <c r="Q189" s="238">
        <f t="shared" si="159"/>
        <v>123</v>
      </c>
      <c r="R189" s="238">
        <f t="shared" si="159"/>
        <v>123</v>
      </c>
      <c r="S189" s="238">
        <f t="shared" si="159"/>
        <v>123</v>
      </c>
      <c r="T189" s="238">
        <f t="shared" si="159"/>
        <v>123</v>
      </c>
      <c r="U189" s="238">
        <f t="shared" si="159"/>
        <v>123</v>
      </c>
      <c r="V189" s="238">
        <f t="shared" si="159"/>
        <v>123</v>
      </c>
      <c r="W189" s="238">
        <f t="shared" si="159"/>
        <v>123</v>
      </c>
      <c r="X189" s="238">
        <f t="shared" si="159"/>
        <v>123</v>
      </c>
      <c r="Y189" s="238">
        <f t="shared" si="159"/>
        <v>123</v>
      </c>
    </row>
    <row r="190">
      <c r="A190" s="231" t="s">
        <v>250</v>
      </c>
      <c r="B190" s="235"/>
      <c r="C190" s="235"/>
      <c r="D190" s="238">
        <f t="shared" ref="D190:Y190" si="160">INT(0.3*D183)+INT(0.7*D189)</f>
        <v>141</v>
      </c>
      <c r="E190" s="238">
        <f t="shared" si="160"/>
        <v>140</v>
      </c>
      <c r="F190" s="238">
        <f t="shared" si="160"/>
        <v>138</v>
      </c>
      <c r="G190" s="238">
        <f t="shared" si="160"/>
        <v>137</v>
      </c>
      <c r="H190" s="238">
        <f t="shared" si="160"/>
        <v>136</v>
      </c>
      <c r="I190" s="238">
        <f t="shared" si="160"/>
        <v>135</v>
      </c>
      <c r="J190" s="238">
        <f t="shared" si="160"/>
        <v>133</v>
      </c>
      <c r="K190" s="238">
        <f t="shared" si="160"/>
        <v>131</v>
      </c>
      <c r="L190" s="238">
        <f t="shared" si="160"/>
        <v>131</v>
      </c>
      <c r="M190" s="238">
        <f t="shared" si="160"/>
        <v>130</v>
      </c>
      <c r="N190" s="238">
        <f t="shared" si="160"/>
        <v>128</v>
      </c>
      <c r="O190" s="238">
        <f t="shared" si="160"/>
        <v>128</v>
      </c>
      <c r="P190" s="238">
        <f t="shared" si="160"/>
        <v>128</v>
      </c>
      <c r="Q190" s="238">
        <f t="shared" si="160"/>
        <v>127</v>
      </c>
      <c r="R190" s="238">
        <f t="shared" si="160"/>
        <v>127</v>
      </c>
      <c r="S190" s="238">
        <f t="shared" si="160"/>
        <v>126</v>
      </c>
      <c r="T190" s="238">
        <f t="shared" si="160"/>
        <v>126</v>
      </c>
      <c r="U190" s="238">
        <f t="shared" si="160"/>
        <v>126</v>
      </c>
      <c r="V190" s="238">
        <f t="shared" si="160"/>
        <v>125</v>
      </c>
      <c r="W190" s="238">
        <f t="shared" si="160"/>
        <v>125</v>
      </c>
      <c r="X190" s="238">
        <f t="shared" si="160"/>
        <v>125</v>
      </c>
      <c r="Y190" s="238">
        <f t="shared" si="160"/>
        <v>125</v>
      </c>
    </row>
    <row r="191">
      <c r="A191" s="240" t="s">
        <v>251</v>
      </c>
      <c r="B191" s="235"/>
      <c r="C191" s="237">
        <f>'Sheet 1'!$K$51</f>
        <v>118</v>
      </c>
      <c r="D191" s="238">
        <f t="shared" ref="D191:Y191" si="161">D190*(64+$C191)</f>
        <v>25662</v>
      </c>
      <c r="E191" s="238">
        <f t="shared" si="161"/>
        <v>25480</v>
      </c>
      <c r="F191" s="238">
        <f t="shared" si="161"/>
        <v>25116</v>
      </c>
      <c r="G191" s="238">
        <f t="shared" si="161"/>
        <v>24934</v>
      </c>
      <c r="H191" s="238">
        <f t="shared" si="161"/>
        <v>24752</v>
      </c>
      <c r="I191" s="238">
        <f t="shared" si="161"/>
        <v>24570</v>
      </c>
      <c r="J191" s="238">
        <f t="shared" si="161"/>
        <v>24206</v>
      </c>
      <c r="K191" s="238">
        <f t="shared" si="161"/>
        <v>23842</v>
      </c>
      <c r="L191" s="238">
        <f t="shared" si="161"/>
        <v>23842</v>
      </c>
      <c r="M191" s="238">
        <f t="shared" si="161"/>
        <v>23660</v>
      </c>
      <c r="N191" s="238">
        <f t="shared" si="161"/>
        <v>23296</v>
      </c>
      <c r="O191" s="238">
        <f t="shared" si="161"/>
        <v>23296</v>
      </c>
      <c r="P191" s="238">
        <f t="shared" si="161"/>
        <v>23296</v>
      </c>
      <c r="Q191" s="238">
        <f t="shared" si="161"/>
        <v>23114</v>
      </c>
      <c r="R191" s="238">
        <f t="shared" si="161"/>
        <v>23114</v>
      </c>
      <c r="S191" s="238">
        <f t="shared" si="161"/>
        <v>22932</v>
      </c>
      <c r="T191" s="238">
        <f t="shared" si="161"/>
        <v>22932</v>
      </c>
      <c r="U191" s="238">
        <f t="shared" si="161"/>
        <v>22932</v>
      </c>
      <c r="V191" s="238">
        <f t="shared" si="161"/>
        <v>22750</v>
      </c>
      <c r="W191" s="238">
        <f t="shared" si="161"/>
        <v>22750</v>
      </c>
      <c r="X191" s="238">
        <f t="shared" si="161"/>
        <v>22750</v>
      </c>
      <c r="Y191" s="238">
        <f t="shared" si="161"/>
        <v>22750</v>
      </c>
    </row>
    <row r="192">
      <c r="A192" s="214"/>
      <c r="B192" s="214"/>
      <c r="C192" s="213"/>
      <c r="D192" s="214"/>
      <c r="E192" s="214"/>
      <c r="F192" s="214"/>
      <c r="G192" s="214"/>
      <c r="H192" s="214"/>
      <c r="I192" s="214"/>
      <c r="J192" s="214"/>
      <c r="K192" s="214"/>
      <c r="L192" s="214"/>
      <c r="M192" s="214"/>
      <c r="N192" s="214"/>
      <c r="O192" s="214"/>
      <c r="P192" s="214"/>
      <c r="Q192" s="214"/>
      <c r="R192" s="214"/>
      <c r="S192" s="214"/>
      <c r="T192" s="214"/>
      <c r="U192" s="214"/>
      <c r="V192" s="214"/>
      <c r="W192" s="214"/>
      <c r="X192" s="214"/>
      <c r="Y192" s="214"/>
    </row>
  </sheetData>
  <mergeCells count="1">
    <mergeCell ref="A110:A113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18.43"/>
    <col customWidth="1" min="2" max="3" width="7.29"/>
    <col customWidth="1" min="4" max="25" width="4.43"/>
  </cols>
  <sheetData>
    <row r="1">
      <c r="A1" s="241"/>
      <c r="B1" s="242">
        <f>'Sheet 1'!C28</f>
        <v>0</v>
      </c>
      <c r="C1" s="243" t="str">
        <f>'Sheet 1'!E28</f>
        <v/>
      </c>
      <c r="D1" s="241">
        <v>1.0</v>
      </c>
      <c r="E1" s="241">
        <v>2.0</v>
      </c>
      <c r="F1" s="241">
        <v>3.0</v>
      </c>
      <c r="G1" s="241">
        <v>4.0</v>
      </c>
      <c r="H1" s="241">
        <v>5.0</v>
      </c>
      <c r="I1" s="241">
        <v>6.0</v>
      </c>
      <c r="J1" s="241">
        <v>7.0</v>
      </c>
      <c r="K1" s="241">
        <v>8.0</v>
      </c>
      <c r="L1" s="241">
        <v>9.0</v>
      </c>
      <c r="M1" s="241">
        <v>10.0</v>
      </c>
      <c r="N1" s="241">
        <v>11.0</v>
      </c>
      <c r="O1" s="241">
        <v>12.0</v>
      </c>
      <c r="P1" s="241">
        <v>13.0</v>
      </c>
      <c r="Q1" s="241">
        <v>14.0</v>
      </c>
      <c r="R1" s="241">
        <v>15.0</v>
      </c>
      <c r="S1" s="241">
        <v>16.0</v>
      </c>
      <c r="T1" s="241">
        <v>17.0</v>
      </c>
      <c r="U1" s="241">
        <v>18.0</v>
      </c>
      <c r="V1" s="241">
        <v>19.0</v>
      </c>
      <c r="W1" s="241">
        <v>20.0</v>
      </c>
      <c r="X1" s="241">
        <v>21.0</v>
      </c>
      <c r="Y1" s="241">
        <v>22.0</v>
      </c>
    </row>
    <row r="2">
      <c r="A2" s="241"/>
      <c r="B2" s="244"/>
      <c r="C2" s="243" t="str">
        <f>IF(C1="MAGIC","Magic",IF(C1="RANGED","Ranged","Attack"))</f>
        <v>Attack</v>
      </c>
      <c r="D2" s="244" t="str">
        <f t="shared" ref="D2:Y2" si="1">D3&amp;"/"&amp;$C3</f>
        <v>118/99</v>
      </c>
      <c r="E2" s="244" t="str">
        <f t="shared" si="1"/>
        <v>117/99</v>
      </c>
      <c r="F2" s="244" t="str">
        <f t="shared" si="1"/>
        <v>116/99</v>
      </c>
      <c r="G2" s="244" t="str">
        <f t="shared" si="1"/>
        <v>115/99</v>
      </c>
      <c r="H2" s="244" t="str">
        <f t="shared" si="1"/>
        <v>114/99</v>
      </c>
      <c r="I2" s="244" t="str">
        <f t="shared" si="1"/>
        <v>113/99</v>
      </c>
      <c r="J2" s="244" t="str">
        <f t="shared" si="1"/>
        <v>112/99</v>
      </c>
      <c r="K2" s="244" t="str">
        <f t="shared" si="1"/>
        <v>111/99</v>
      </c>
      <c r="L2" s="244" t="str">
        <f t="shared" si="1"/>
        <v>110/99</v>
      </c>
      <c r="M2" s="244" t="str">
        <f t="shared" si="1"/>
        <v>109/99</v>
      </c>
      <c r="N2" s="244" t="str">
        <f t="shared" si="1"/>
        <v>108/99</v>
      </c>
      <c r="O2" s="244" t="str">
        <f t="shared" si="1"/>
        <v>107/99</v>
      </c>
      <c r="P2" s="244" t="str">
        <f t="shared" si="1"/>
        <v>106/99</v>
      </c>
      <c r="Q2" s="244" t="str">
        <f t="shared" si="1"/>
        <v>105/99</v>
      </c>
      <c r="R2" s="244" t="str">
        <f t="shared" si="1"/>
        <v>104/99</v>
      </c>
      <c r="S2" s="244" t="str">
        <f t="shared" si="1"/>
        <v>103/99</v>
      </c>
      <c r="T2" s="244" t="str">
        <f t="shared" si="1"/>
        <v>102/99</v>
      </c>
      <c r="U2" s="244" t="str">
        <f t="shared" si="1"/>
        <v>101/99</v>
      </c>
      <c r="V2" s="244" t="str">
        <f t="shared" si="1"/>
        <v>100/99</v>
      </c>
      <c r="W2" s="244" t="str">
        <f t="shared" si="1"/>
        <v>99/99</v>
      </c>
      <c r="X2" s="244" t="str">
        <f t="shared" si="1"/>
        <v>99/99</v>
      </c>
      <c r="Y2" s="244" t="str">
        <f t="shared" si="1"/>
        <v>99/99</v>
      </c>
    </row>
    <row r="3">
      <c r="A3" s="241" t="s">
        <v>21</v>
      </c>
      <c r="B3" s="244"/>
      <c r="C3" s="243">
        <f>IF($C$1="MAGIC",'Sheet 1'!D9,IF($C$1="RANGED",'Sheet 1'!D10,'Sheet 1'!D6))</f>
        <v>99</v>
      </c>
      <c r="D3" s="244">
        <f>IF(C1="MAGIC",'Sheet 1'!I9,IF(C1="RANGED",'Sheet 1'!I10,'Sheet 1'!I6))</f>
        <v>118</v>
      </c>
      <c r="E3" s="244">
        <f t="shared" ref="E3:Y3" si="2">MAX($C3,D3-1)</f>
        <v>117</v>
      </c>
      <c r="F3" s="244">
        <f t="shared" si="2"/>
        <v>116</v>
      </c>
      <c r="G3" s="244">
        <f t="shared" si="2"/>
        <v>115</v>
      </c>
      <c r="H3" s="244">
        <f t="shared" si="2"/>
        <v>114</v>
      </c>
      <c r="I3" s="244">
        <f t="shared" si="2"/>
        <v>113</v>
      </c>
      <c r="J3" s="244">
        <f t="shared" si="2"/>
        <v>112</v>
      </c>
      <c r="K3" s="244">
        <f t="shared" si="2"/>
        <v>111</v>
      </c>
      <c r="L3" s="244">
        <f t="shared" si="2"/>
        <v>110</v>
      </c>
      <c r="M3" s="244">
        <f t="shared" si="2"/>
        <v>109</v>
      </c>
      <c r="N3" s="244">
        <f t="shared" si="2"/>
        <v>108</v>
      </c>
      <c r="O3" s="244">
        <f t="shared" si="2"/>
        <v>107</v>
      </c>
      <c r="P3" s="244">
        <f t="shared" si="2"/>
        <v>106</v>
      </c>
      <c r="Q3" s="244">
        <f t="shared" si="2"/>
        <v>105</v>
      </c>
      <c r="R3" s="244">
        <f t="shared" si="2"/>
        <v>104</v>
      </c>
      <c r="S3" s="244">
        <f t="shared" si="2"/>
        <v>103</v>
      </c>
      <c r="T3" s="244">
        <f t="shared" si="2"/>
        <v>102</v>
      </c>
      <c r="U3" s="244">
        <f t="shared" si="2"/>
        <v>101</v>
      </c>
      <c r="V3" s="244">
        <f t="shared" si="2"/>
        <v>100</v>
      </c>
      <c r="W3" s="244">
        <f t="shared" si="2"/>
        <v>99</v>
      </c>
      <c r="X3" s="244">
        <f t="shared" si="2"/>
        <v>99</v>
      </c>
      <c r="Y3" s="244">
        <f t="shared" si="2"/>
        <v>99</v>
      </c>
    </row>
    <row r="4">
      <c r="A4" s="241" t="s">
        <v>49</v>
      </c>
      <c r="B4" s="244"/>
      <c r="C4" s="245">
        <f>1+IF($C$1="MAGIC",'Sheet 1'!L9,IF($C$1="RANGED",'Sheet 1'!L10,'Sheet 1'!L6))</f>
        <v>1.2</v>
      </c>
      <c r="D4" s="244">
        <f t="shared" ref="D4:Y4" si="3">INT(D3*$C4)</f>
        <v>141</v>
      </c>
      <c r="E4" s="244">
        <f t="shared" si="3"/>
        <v>140</v>
      </c>
      <c r="F4" s="244">
        <f t="shared" si="3"/>
        <v>139</v>
      </c>
      <c r="G4" s="244">
        <f t="shared" si="3"/>
        <v>138</v>
      </c>
      <c r="H4" s="244">
        <f t="shared" si="3"/>
        <v>136</v>
      </c>
      <c r="I4" s="244">
        <f t="shared" si="3"/>
        <v>135</v>
      </c>
      <c r="J4" s="244">
        <f t="shared" si="3"/>
        <v>134</v>
      </c>
      <c r="K4" s="244">
        <f t="shared" si="3"/>
        <v>133</v>
      </c>
      <c r="L4" s="244">
        <f t="shared" si="3"/>
        <v>132</v>
      </c>
      <c r="M4" s="244">
        <f t="shared" si="3"/>
        <v>130</v>
      </c>
      <c r="N4" s="244">
        <f t="shared" si="3"/>
        <v>129</v>
      </c>
      <c r="O4" s="244">
        <f t="shared" si="3"/>
        <v>128</v>
      </c>
      <c r="P4" s="244">
        <f t="shared" si="3"/>
        <v>127</v>
      </c>
      <c r="Q4" s="244">
        <f t="shared" si="3"/>
        <v>126</v>
      </c>
      <c r="R4" s="244">
        <f t="shared" si="3"/>
        <v>124</v>
      </c>
      <c r="S4" s="244">
        <f t="shared" si="3"/>
        <v>123</v>
      </c>
      <c r="T4" s="244">
        <f t="shared" si="3"/>
        <v>122</v>
      </c>
      <c r="U4" s="244">
        <f t="shared" si="3"/>
        <v>121</v>
      </c>
      <c r="V4" s="244">
        <f t="shared" si="3"/>
        <v>120</v>
      </c>
      <c r="W4" s="244">
        <f t="shared" si="3"/>
        <v>118</v>
      </c>
      <c r="X4" s="244">
        <f t="shared" si="3"/>
        <v>118</v>
      </c>
      <c r="Y4" s="244">
        <f t="shared" si="3"/>
        <v>118</v>
      </c>
    </row>
    <row r="5">
      <c r="A5" s="241" t="s">
        <v>155</v>
      </c>
      <c r="B5" s="244"/>
      <c r="C5" s="243">
        <f>IF($C$1="MAGIC",'Sheet 1'!F31,IF($C$1="RANGED",'Sheet 1'!F32,'Sheet 1'!F28))</f>
        <v>8</v>
      </c>
      <c r="D5" s="244">
        <f t="shared" ref="D5:Y5" si="4">INT(D4+$C5)</f>
        <v>149</v>
      </c>
      <c r="E5" s="244">
        <f t="shared" si="4"/>
        <v>148</v>
      </c>
      <c r="F5" s="244">
        <f t="shared" si="4"/>
        <v>147</v>
      </c>
      <c r="G5" s="244">
        <f t="shared" si="4"/>
        <v>146</v>
      </c>
      <c r="H5" s="244">
        <f t="shared" si="4"/>
        <v>144</v>
      </c>
      <c r="I5" s="244">
        <f t="shared" si="4"/>
        <v>143</v>
      </c>
      <c r="J5" s="244">
        <f t="shared" si="4"/>
        <v>142</v>
      </c>
      <c r="K5" s="244">
        <f t="shared" si="4"/>
        <v>141</v>
      </c>
      <c r="L5" s="244">
        <f t="shared" si="4"/>
        <v>140</v>
      </c>
      <c r="M5" s="244">
        <f t="shared" si="4"/>
        <v>138</v>
      </c>
      <c r="N5" s="244">
        <f t="shared" si="4"/>
        <v>137</v>
      </c>
      <c r="O5" s="244">
        <f t="shared" si="4"/>
        <v>136</v>
      </c>
      <c r="P5" s="244">
        <f t="shared" si="4"/>
        <v>135</v>
      </c>
      <c r="Q5" s="244">
        <f t="shared" si="4"/>
        <v>134</v>
      </c>
      <c r="R5" s="244">
        <f t="shared" si="4"/>
        <v>132</v>
      </c>
      <c r="S5" s="244">
        <f t="shared" si="4"/>
        <v>131</v>
      </c>
      <c r="T5" s="244">
        <f t="shared" si="4"/>
        <v>130</v>
      </c>
      <c r="U5" s="244">
        <f t="shared" si="4"/>
        <v>129</v>
      </c>
      <c r="V5" s="244">
        <f t="shared" si="4"/>
        <v>128</v>
      </c>
      <c r="W5" s="244">
        <f t="shared" si="4"/>
        <v>126</v>
      </c>
      <c r="X5" s="244">
        <f t="shared" si="4"/>
        <v>126</v>
      </c>
      <c r="Y5" s="244">
        <f t="shared" si="4"/>
        <v>126</v>
      </c>
    </row>
    <row r="6">
      <c r="A6" s="241" t="s">
        <v>156</v>
      </c>
      <c r="B6" s="244" t="b">
        <f>AND('Sheet 1'!$B$61=Items!$A$208,OR('Sheet 1'!$B$64=Items!$A$289,'Sheet 1'!$B$64=Items!$A$290),OR('Sheet 1'!$B$65=Items!$A$333,'Sheet 1'!$B$65=Items!$A$334),'Sheet 1'!$B$67=Items!$A$417)</f>
        <v>0</v>
      </c>
      <c r="C6" s="243">
        <f>1+IF(B6,IF($C$1="MAGIC",0.45,0.1),0)</f>
        <v>1</v>
      </c>
      <c r="D6" s="244">
        <f t="shared" ref="D6:Y6" si="5">INT(D5*$C6)</f>
        <v>149</v>
      </c>
      <c r="E6" s="244">
        <f t="shared" si="5"/>
        <v>148</v>
      </c>
      <c r="F6" s="244">
        <f t="shared" si="5"/>
        <v>147</v>
      </c>
      <c r="G6" s="244">
        <f t="shared" si="5"/>
        <v>146</v>
      </c>
      <c r="H6" s="244">
        <f t="shared" si="5"/>
        <v>144</v>
      </c>
      <c r="I6" s="244">
        <f t="shared" si="5"/>
        <v>143</v>
      </c>
      <c r="J6" s="244">
        <f t="shared" si="5"/>
        <v>142</v>
      </c>
      <c r="K6" s="244">
        <f t="shared" si="5"/>
        <v>141</v>
      </c>
      <c r="L6" s="244">
        <f t="shared" si="5"/>
        <v>140</v>
      </c>
      <c r="M6" s="244">
        <f t="shared" si="5"/>
        <v>138</v>
      </c>
      <c r="N6" s="244">
        <f t="shared" si="5"/>
        <v>137</v>
      </c>
      <c r="O6" s="244">
        <f t="shared" si="5"/>
        <v>136</v>
      </c>
      <c r="P6" s="244">
        <f t="shared" si="5"/>
        <v>135</v>
      </c>
      <c r="Q6" s="244">
        <f t="shared" si="5"/>
        <v>134</v>
      </c>
      <c r="R6" s="244">
        <f t="shared" si="5"/>
        <v>132</v>
      </c>
      <c r="S6" s="244">
        <f t="shared" si="5"/>
        <v>131</v>
      </c>
      <c r="T6" s="244">
        <f t="shared" si="5"/>
        <v>130</v>
      </c>
      <c r="U6" s="244">
        <f t="shared" si="5"/>
        <v>129</v>
      </c>
      <c r="V6" s="244">
        <f t="shared" si="5"/>
        <v>128</v>
      </c>
      <c r="W6" s="244">
        <f t="shared" si="5"/>
        <v>126</v>
      </c>
      <c r="X6" s="244">
        <f t="shared" si="5"/>
        <v>126</v>
      </c>
      <c r="Y6" s="244">
        <f t="shared" si="5"/>
        <v>126</v>
      </c>
    </row>
    <row r="7">
      <c r="A7" s="241" t="s">
        <v>157</v>
      </c>
      <c r="B7" s="244"/>
      <c r="C7" s="243"/>
      <c r="D7" s="244">
        <f t="shared" ref="D7:Y7" si="6">INT(D6)</f>
        <v>149</v>
      </c>
      <c r="E7" s="244">
        <f t="shared" si="6"/>
        <v>148</v>
      </c>
      <c r="F7" s="244">
        <f t="shared" si="6"/>
        <v>147</v>
      </c>
      <c r="G7" s="244">
        <f t="shared" si="6"/>
        <v>146</v>
      </c>
      <c r="H7" s="244">
        <f t="shared" si="6"/>
        <v>144</v>
      </c>
      <c r="I7" s="244">
        <f t="shared" si="6"/>
        <v>143</v>
      </c>
      <c r="J7" s="244">
        <f t="shared" si="6"/>
        <v>142</v>
      </c>
      <c r="K7" s="244">
        <f t="shared" si="6"/>
        <v>141</v>
      </c>
      <c r="L7" s="244">
        <f t="shared" si="6"/>
        <v>140</v>
      </c>
      <c r="M7" s="244">
        <f t="shared" si="6"/>
        <v>138</v>
      </c>
      <c r="N7" s="244">
        <f t="shared" si="6"/>
        <v>137</v>
      </c>
      <c r="O7" s="244">
        <f t="shared" si="6"/>
        <v>136</v>
      </c>
      <c r="P7" s="244">
        <f t="shared" si="6"/>
        <v>135</v>
      </c>
      <c r="Q7" s="244">
        <f t="shared" si="6"/>
        <v>134</v>
      </c>
      <c r="R7" s="244">
        <f t="shared" si="6"/>
        <v>132</v>
      </c>
      <c r="S7" s="244">
        <f t="shared" si="6"/>
        <v>131</v>
      </c>
      <c r="T7" s="244">
        <f t="shared" si="6"/>
        <v>130</v>
      </c>
      <c r="U7" s="244">
        <f t="shared" si="6"/>
        <v>129</v>
      </c>
      <c r="V7" s="244">
        <f t="shared" si="6"/>
        <v>128</v>
      </c>
      <c r="W7" s="244">
        <f t="shared" si="6"/>
        <v>126</v>
      </c>
      <c r="X7" s="244">
        <f t="shared" si="6"/>
        <v>126</v>
      </c>
      <c r="Y7" s="244">
        <f t="shared" si="6"/>
        <v>126</v>
      </c>
    </row>
    <row r="8">
      <c r="A8" s="241" t="s">
        <v>158</v>
      </c>
      <c r="B8" s="244"/>
      <c r="C8" s="243">
        <f>IF($C$1="MAGIC",'Sheet 1'!F71,IF($C$1="RANGED",'Sheet 1'!G71,IF($C$1="STAB",'Sheet 1'!C71,IF($C$1="SLASH",'Sheet 1'!D71,'Sheet 1'!E71))))</f>
        <v>0</v>
      </c>
      <c r="D8" s="244">
        <f t="shared" ref="D8:Y8" si="7">INT(D7*(64+$C8))</f>
        <v>9536</v>
      </c>
      <c r="E8" s="244">
        <f t="shared" si="7"/>
        <v>9472</v>
      </c>
      <c r="F8" s="244">
        <f t="shared" si="7"/>
        <v>9408</v>
      </c>
      <c r="G8" s="244">
        <f t="shared" si="7"/>
        <v>9344</v>
      </c>
      <c r="H8" s="244">
        <f t="shared" si="7"/>
        <v>9216</v>
      </c>
      <c r="I8" s="244">
        <f t="shared" si="7"/>
        <v>9152</v>
      </c>
      <c r="J8" s="244">
        <f t="shared" si="7"/>
        <v>9088</v>
      </c>
      <c r="K8" s="244">
        <f t="shared" si="7"/>
        <v>9024</v>
      </c>
      <c r="L8" s="244">
        <f t="shared" si="7"/>
        <v>8960</v>
      </c>
      <c r="M8" s="244">
        <f t="shared" si="7"/>
        <v>8832</v>
      </c>
      <c r="N8" s="244">
        <f t="shared" si="7"/>
        <v>8768</v>
      </c>
      <c r="O8" s="244">
        <f t="shared" si="7"/>
        <v>8704</v>
      </c>
      <c r="P8" s="244">
        <f t="shared" si="7"/>
        <v>8640</v>
      </c>
      <c r="Q8" s="244">
        <f t="shared" si="7"/>
        <v>8576</v>
      </c>
      <c r="R8" s="244">
        <f t="shared" si="7"/>
        <v>8448</v>
      </c>
      <c r="S8" s="244">
        <f t="shared" si="7"/>
        <v>8384</v>
      </c>
      <c r="T8" s="244">
        <f t="shared" si="7"/>
        <v>8320</v>
      </c>
      <c r="U8" s="244">
        <f t="shared" si="7"/>
        <v>8256</v>
      </c>
      <c r="V8" s="244">
        <f t="shared" si="7"/>
        <v>8192</v>
      </c>
      <c r="W8" s="244">
        <f t="shared" si="7"/>
        <v>8064</v>
      </c>
      <c r="X8" s="244">
        <f t="shared" si="7"/>
        <v>8064</v>
      </c>
      <c r="Y8" s="244">
        <f t="shared" si="7"/>
        <v>8064</v>
      </c>
    </row>
    <row r="9">
      <c r="A9" s="241" t="str">
        <f>Items!A177</f>
        <v>Mystic smoke staff</v>
      </c>
      <c r="B9" s="244" t="b">
        <f>AND(OR('Sheet 1'!B$58=Items!A177,'Sheet 1'!B$58=Items!A178),OR(C44=Items!A573,C44=Items!A574,C44=Items!A575,C44=Items!A576,C44=Items!A578,C44=Items!A579,C44=Items!A580,C44=Items!A581,C44=Items!A583,C44=Items!A584,C44=Items!A585,C44=Items!A586,C44=Items!A588,C44=Items!A589,C44=Items!A590,C44=Items!A591,C44=Items!A592,C44=Items!A577,C44=Items!A582,C44=Items!A587))</f>
        <v>0</v>
      </c>
      <c r="C9" s="243">
        <f>1+IF(B9,0.1,0)</f>
        <v>1</v>
      </c>
      <c r="D9" s="244">
        <f t="shared" ref="D9:Y9" si="8">INT(D8*$C9)</f>
        <v>9536</v>
      </c>
      <c r="E9" s="244">
        <f t="shared" si="8"/>
        <v>9472</v>
      </c>
      <c r="F9" s="244">
        <f t="shared" si="8"/>
        <v>9408</v>
      </c>
      <c r="G9" s="244">
        <f t="shared" si="8"/>
        <v>9344</v>
      </c>
      <c r="H9" s="244">
        <f t="shared" si="8"/>
        <v>9216</v>
      </c>
      <c r="I9" s="244">
        <f t="shared" si="8"/>
        <v>9152</v>
      </c>
      <c r="J9" s="244">
        <f t="shared" si="8"/>
        <v>9088</v>
      </c>
      <c r="K9" s="244">
        <f t="shared" si="8"/>
        <v>9024</v>
      </c>
      <c r="L9" s="244">
        <f t="shared" si="8"/>
        <v>8960</v>
      </c>
      <c r="M9" s="244">
        <f t="shared" si="8"/>
        <v>8832</v>
      </c>
      <c r="N9" s="244">
        <f t="shared" si="8"/>
        <v>8768</v>
      </c>
      <c r="O9" s="244">
        <f t="shared" si="8"/>
        <v>8704</v>
      </c>
      <c r="P9" s="244">
        <f t="shared" si="8"/>
        <v>8640</v>
      </c>
      <c r="Q9" s="244">
        <f t="shared" si="8"/>
        <v>8576</v>
      </c>
      <c r="R9" s="244">
        <f t="shared" si="8"/>
        <v>8448</v>
      </c>
      <c r="S9" s="244">
        <f t="shared" si="8"/>
        <v>8384</v>
      </c>
      <c r="T9" s="244">
        <f t="shared" si="8"/>
        <v>8320</v>
      </c>
      <c r="U9" s="244">
        <f t="shared" si="8"/>
        <v>8256</v>
      </c>
      <c r="V9" s="244">
        <f t="shared" si="8"/>
        <v>8192</v>
      </c>
      <c r="W9" s="244">
        <f t="shared" si="8"/>
        <v>8064</v>
      </c>
      <c r="X9" s="244">
        <f t="shared" si="8"/>
        <v>8064</v>
      </c>
      <c r="Y9" s="244">
        <f t="shared" si="8"/>
        <v>8064</v>
      </c>
    </row>
    <row r="10">
      <c r="A10" s="241" t="s">
        <v>159</v>
      </c>
      <c r="B10" s="241" t="b">
        <f>AND(OR('Sheet 1'!$D$75="VORKATH",'Sheet 1'!$D$75="UNDEAD"),OR('Sheet 1'!B63=Items!A273,'Sheet 1'!B63=Items!A274))</f>
        <v>0</v>
      </c>
      <c r="C10" s="243">
        <f>1+IF(B10,IF('Sheet 1'!B63=Items!A273,IF($C1="MAGIC",0.15,IF(C1="RANGED",0.15,1/6)),IF('Sheet 1'!B63=Items!A274,0.2)))</f>
        <v>1</v>
      </c>
      <c r="D10" s="244">
        <f t="shared" ref="D10:Y10" si="9">INT(D9*$C10)</f>
        <v>9536</v>
      </c>
      <c r="E10" s="244">
        <f t="shared" si="9"/>
        <v>9472</v>
      </c>
      <c r="F10" s="244">
        <f t="shared" si="9"/>
        <v>9408</v>
      </c>
      <c r="G10" s="244">
        <f t="shared" si="9"/>
        <v>9344</v>
      </c>
      <c r="H10" s="244">
        <f t="shared" si="9"/>
        <v>9216</v>
      </c>
      <c r="I10" s="244">
        <f t="shared" si="9"/>
        <v>9152</v>
      </c>
      <c r="J10" s="244">
        <f t="shared" si="9"/>
        <v>9088</v>
      </c>
      <c r="K10" s="244">
        <f t="shared" si="9"/>
        <v>9024</v>
      </c>
      <c r="L10" s="244">
        <f t="shared" si="9"/>
        <v>8960</v>
      </c>
      <c r="M10" s="244">
        <f t="shared" si="9"/>
        <v>8832</v>
      </c>
      <c r="N10" s="244">
        <f t="shared" si="9"/>
        <v>8768</v>
      </c>
      <c r="O10" s="244">
        <f t="shared" si="9"/>
        <v>8704</v>
      </c>
      <c r="P10" s="244">
        <f t="shared" si="9"/>
        <v>8640</v>
      </c>
      <c r="Q10" s="244">
        <f t="shared" si="9"/>
        <v>8576</v>
      </c>
      <c r="R10" s="244">
        <f t="shared" si="9"/>
        <v>8448</v>
      </c>
      <c r="S10" s="244">
        <f t="shared" si="9"/>
        <v>8384</v>
      </c>
      <c r="T10" s="244">
        <f t="shared" si="9"/>
        <v>8320</v>
      </c>
      <c r="U10" s="244">
        <f t="shared" si="9"/>
        <v>8256</v>
      </c>
      <c r="V10" s="244">
        <f t="shared" si="9"/>
        <v>8192</v>
      </c>
      <c r="W10" s="244">
        <f t="shared" si="9"/>
        <v>8064</v>
      </c>
      <c r="X10" s="244">
        <f t="shared" si="9"/>
        <v>8064</v>
      </c>
      <c r="Y10" s="244">
        <f t="shared" si="9"/>
        <v>8064</v>
      </c>
    </row>
    <row r="11">
      <c r="A11" s="241" t="s">
        <v>160</v>
      </c>
      <c r="B11" s="241" t="b">
        <f>AND('Sheet 1'!E98,'Sheet 1'!B61=Items!A204,B10=FALSE)</f>
        <v>0</v>
      </c>
      <c r="C11" s="243">
        <f>1+IF(B11,IF('Sheet 1'!B61=Items!A204,IF($C1="MAGIC",0.15,IF(C1="RANGED",0.15,1/6))))</f>
        <v>1</v>
      </c>
      <c r="D11" s="244">
        <f t="shared" ref="D11:Y11" si="10">INT(D10*$C11)</f>
        <v>9536</v>
      </c>
      <c r="E11" s="244">
        <f t="shared" si="10"/>
        <v>9472</v>
      </c>
      <c r="F11" s="244">
        <f t="shared" si="10"/>
        <v>9408</v>
      </c>
      <c r="G11" s="244">
        <f t="shared" si="10"/>
        <v>9344</v>
      </c>
      <c r="H11" s="244">
        <f t="shared" si="10"/>
        <v>9216</v>
      </c>
      <c r="I11" s="244">
        <f t="shared" si="10"/>
        <v>9152</v>
      </c>
      <c r="J11" s="244">
        <f t="shared" si="10"/>
        <v>9088</v>
      </c>
      <c r="K11" s="244">
        <f t="shared" si="10"/>
        <v>9024</v>
      </c>
      <c r="L11" s="244">
        <f t="shared" si="10"/>
        <v>8960</v>
      </c>
      <c r="M11" s="244">
        <f t="shared" si="10"/>
        <v>8832</v>
      </c>
      <c r="N11" s="244">
        <f t="shared" si="10"/>
        <v>8768</v>
      </c>
      <c r="O11" s="244">
        <f t="shared" si="10"/>
        <v>8704</v>
      </c>
      <c r="P11" s="244">
        <f t="shared" si="10"/>
        <v>8640</v>
      </c>
      <c r="Q11" s="244">
        <f t="shared" si="10"/>
        <v>8576</v>
      </c>
      <c r="R11" s="244">
        <f t="shared" si="10"/>
        <v>8448</v>
      </c>
      <c r="S11" s="244">
        <f t="shared" si="10"/>
        <v>8384</v>
      </c>
      <c r="T11" s="244">
        <f t="shared" si="10"/>
        <v>8320</v>
      </c>
      <c r="U11" s="244">
        <f t="shared" si="10"/>
        <v>8256</v>
      </c>
      <c r="V11" s="244">
        <f t="shared" si="10"/>
        <v>8192</v>
      </c>
      <c r="W11" s="244">
        <f t="shared" si="10"/>
        <v>8064</v>
      </c>
      <c r="X11" s="244">
        <f t="shared" si="10"/>
        <v>8064</v>
      </c>
      <c r="Y11" s="244">
        <f t="shared" si="10"/>
        <v>8064</v>
      </c>
    </row>
    <row r="12">
      <c r="A12" s="241" t="str">
        <f>Items!A$11</f>
        <v>Arclight</v>
      </c>
      <c r="B12" s="244" t="b">
        <f>AND(IF(B$1="CHOOSE SPELL",FALSE,IF('Sheet 1'!B$58=A12,TRUE,FALSE)),'Sheet 1'!$D$75="DEMON")</f>
        <v>0</v>
      </c>
      <c r="C12" s="243">
        <f>IF(B12,1.7,1)</f>
        <v>1</v>
      </c>
      <c r="D12" s="244">
        <f t="shared" ref="D12:Y12" si="11">INT(D11*$C12)</f>
        <v>9536</v>
      </c>
      <c r="E12" s="244">
        <f t="shared" si="11"/>
        <v>9472</v>
      </c>
      <c r="F12" s="244">
        <f t="shared" si="11"/>
        <v>9408</v>
      </c>
      <c r="G12" s="244">
        <f t="shared" si="11"/>
        <v>9344</v>
      </c>
      <c r="H12" s="244">
        <f t="shared" si="11"/>
        <v>9216</v>
      </c>
      <c r="I12" s="244">
        <f t="shared" si="11"/>
        <v>9152</v>
      </c>
      <c r="J12" s="244">
        <f t="shared" si="11"/>
        <v>9088</v>
      </c>
      <c r="K12" s="244">
        <f t="shared" si="11"/>
        <v>9024</v>
      </c>
      <c r="L12" s="244">
        <f t="shared" si="11"/>
        <v>8960</v>
      </c>
      <c r="M12" s="244">
        <f t="shared" si="11"/>
        <v>8832</v>
      </c>
      <c r="N12" s="244">
        <f t="shared" si="11"/>
        <v>8768</v>
      </c>
      <c r="O12" s="244">
        <f t="shared" si="11"/>
        <v>8704</v>
      </c>
      <c r="P12" s="244">
        <f t="shared" si="11"/>
        <v>8640</v>
      </c>
      <c r="Q12" s="244">
        <f t="shared" si="11"/>
        <v>8576</v>
      </c>
      <c r="R12" s="244">
        <f t="shared" si="11"/>
        <v>8448</v>
      </c>
      <c r="S12" s="244">
        <f t="shared" si="11"/>
        <v>8384</v>
      </c>
      <c r="T12" s="244">
        <f t="shared" si="11"/>
        <v>8320</v>
      </c>
      <c r="U12" s="244">
        <f t="shared" si="11"/>
        <v>8256</v>
      </c>
      <c r="V12" s="244">
        <f t="shared" si="11"/>
        <v>8192</v>
      </c>
      <c r="W12" s="244">
        <f t="shared" si="11"/>
        <v>8064</v>
      </c>
      <c r="X12" s="244">
        <f t="shared" si="11"/>
        <v>8064</v>
      </c>
      <c r="Y12" s="244">
        <f t="shared" si="11"/>
        <v>8064</v>
      </c>
    </row>
    <row r="13">
      <c r="A13" s="241" t="str">
        <f>Items!A$126</f>
        <v>Dragon hunter crossbow</v>
      </c>
      <c r="B13" s="244" t="b">
        <f>AND(IF(B$1="CHOOSE SPELL",FALSE,IF('Sheet 1'!B$58=A13,TRUE,FALSE)),OR('Sheet 1'!$D$75="VORKATH",'Sheet 1'!$D$75="DRAGON"))</f>
        <v>0</v>
      </c>
      <c r="C13" s="243">
        <f>IF(B13,1.3,1)</f>
        <v>1</v>
      </c>
      <c r="D13" s="244">
        <f t="shared" ref="D13:Y13" si="12">INT(D12*$C13)</f>
        <v>9536</v>
      </c>
      <c r="E13" s="244">
        <f t="shared" si="12"/>
        <v>9472</v>
      </c>
      <c r="F13" s="244">
        <f t="shared" si="12"/>
        <v>9408</v>
      </c>
      <c r="G13" s="244">
        <f t="shared" si="12"/>
        <v>9344</v>
      </c>
      <c r="H13" s="244">
        <f t="shared" si="12"/>
        <v>9216</v>
      </c>
      <c r="I13" s="244">
        <f t="shared" si="12"/>
        <v>9152</v>
      </c>
      <c r="J13" s="244">
        <f t="shared" si="12"/>
        <v>9088</v>
      </c>
      <c r="K13" s="244">
        <f t="shared" si="12"/>
        <v>9024</v>
      </c>
      <c r="L13" s="244">
        <f t="shared" si="12"/>
        <v>8960</v>
      </c>
      <c r="M13" s="244">
        <f t="shared" si="12"/>
        <v>8832</v>
      </c>
      <c r="N13" s="244">
        <f t="shared" si="12"/>
        <v>8768</v>
      </c>
      <c r="O13" s="244">
        <f t="shared" si="12"/>
        <v>8704</v>
      </c>
      <c r="P13" s="244">
        <f t="shared" si="12"/>
        <v>8640</v>
      </c>
      <c r="Q13" s="244">
        <f t="shared" si="12"/>
        <v>8576</v>
      </c>
      <c r="R13" s="244">
        <f t="shared" si="12"/>
        <v>8448</v>
      </c>
      <c r="S13" s="244">
        <f t="shared" si="12"/>
        <v>8384</v>
      </c>
      <c r="T13" s="244">
        <f t="shared" si="12"/>
        <v>8320</v>
      </c>
      <c r="U13" s="244">
        <f t="shared" si="12"/>
        <v>8256</v>
      </c>
      <c r="V13" s="244">
        <f t="shared" si="12"/>
        <v>8192</v>
      </c>
      <c r="W13" s="244">
        <f t="shared" si="12"/>
        <v>8064</v>
      </c>
      <c r="X13" s="244">
        <f t="shared" si="12"/>
        <v>8064</v>
      </c>
      <c r="Y13" s="244">
        <f t="shared" si="12"/>
        <v>8064</v>
      </c>
    </row>
    <row r="14">
      <c r="A14" s="241" t="str">
        <f>Items!A33</f>
        <v>Dragon hunter lance</v>
      </c>
      <c r="B14" s="244" t="b">
        <f>AND(IF(B$1="CHOOSE SPELL",FALSE,IF('Sheet 1'!B$58=A14,TRUE,FALSE)),OR('Sheet 1'!$D$75="VORKATH",'Sheet 1'!$D$75="DRAGON"))</f>
        <v>0</v>
      </c>
      <c r="C14" s="243">
        <f>IF(B14,1.2,1)</f>
        <v>1</v>
      </c>
      <c r="D14" s="244">
        <f t="shared" ref="D14:Y14" si="13">INT(D13*$C14)</f>
        <v>9536</v>
      </c>
      <c r="E14" s="244">
        <f t="shared" si="13"/>
        <v>9472</v>
      </c>
      <c r="F14" s="244">
        <f t="shared" si="13"/>
        <v>9408</v>
      </c>
      <c r="G14" s="244">
        <f t="shared" si="13"/>
        <v>9344</v>
      </c>
      <c r="H14" s="244">
        <f t="shared" si="13"/>
        <v>9216</v>
      </c>
      <c r="I14" s="244">
        <f t="shared" si="13"/>
        <v>9152</v>
      </c>
      <c r="J14" s="244">
        <f t="shared" si="13"/>
        <v>9088</v>
      </c>
      <c r="K14" s="244">
        <f t="shared" si="13"/>
        <v>9024</v>
      </c>
      <c r="L14" s="244">
        <f t="shared" si="13"/>
        <v>8960</v>
      </c>
      <c r="M14" s="244">
        <f t="shared" si="13"/>
        <v>8832</v>
      </c>
      <c r="N14" s="244">
        <f t="shared" si="13"/>
        <v>8768</v>
      </c>
      <c r="O14" s="244">
        <f t="shared" si="13"/>
        <v>8704</v>
      </c>
      <c r="P14" s="244">
        <f t="shared" si="13"/>
        <v>8640</v>
      </c>
      <c r="Q14" s="244">
        <f t="shared" si="13"/>
        <v>8576</v>
      </c>
      <c r="R14" s="244">
        <f t="shared" si="13"/>
        <v>8448</v>
      </c>
      <c r="S14" s="244">
        <f t="shared" si="13"/>
        <v>8384</v>
      </c>
      <c r="T14" s="244">
        <f t="shared" si="13"/>
        <v>8320</v>
      </c>
      <c r="U14" s="244">
        <f t="shared" si="13"/>
        <v>8256</v>
      </c>
      <c r="V14" s="244">
        <f t="shared" si="13"/>
        <v>8192</v>
      </c>
      <c r="W14" s="244">
        <f t="shared" si="13"/>
        <v>8064</v>
      </c>
      <c r="X14" s="244">
        <f t="shared" si="13"/>
        <v>8064</v>
      </c>
      <c r="Y14" s="244">
        <f t="shared" si="13"/>
        <v>8064</v>
      </c>
    </row>
    <row r="15">
      <c r="A15" s="241" t="s">
        <v>161</v>
      </c>
      <c r="B15" s="244" t="b">
        <f>AND(Input!AC12,OR('Sheet 1'!B58=Items!A101,'Sheet 1'!B58=Items!A121,'Sheet 1'!B58=Items!A170))</f>
        <v>0</v>
      </c>
      <c r="C15" s="243">
        <f>IF(B15,IF('Sheet 1'!B58=Items!A170,2,1.5),1)</f>
        <v>1</v>
      </c>
      <c r="D15" s="244">
        <f t="shared" ref="D15:Y15" si="14">INT(D14*$C15)</f>
        <v>9536</v>
      </c>
      <c r="E15" s="244">
        <f t="shared" si="14"/>
        <v>9472</v>
      </c>
      <c r="F15" s="244">
        <f t="shared" si="14"/>
        <v>9408</v>
      </c>
      <c r="G15" s="244">
        <f t="shared" si="14"/>
        <v>9344</v>
      </c>
      <c r="H15" s="244">
        <f t="shared" si="14"/>
        <v>9216</v>
      </c>
      <c r="I15" s="244">
        <f t="shared" si="14"/>
        <v>9152</v>
      </c>
      <c r="J15" s="244">
        <f t="shared" si="14"/>
        <v>9088</v>
      </c>
      <c r="K15" s="244">
        <f t="shared" si="14"/>
        <v>9024</v>
      </c>
      <c r="L15" s="244">
        <f t="shared" si="14"/>
        <v>8960</v>
      </c>
      <c r="M15" s="244">
        <f t="shared" si="14"/>
        <v>8832</v>
      </c>
      <c r="N15" s="244">
        <f t="shared" si="14"/>
        <v>8768</v>
      </c>
      <c r="O15" s="244">
        <f t="shared" si="14"/>
        <v>8704</v>
      </c>
      <c r="P15" s="244">
        <f t="shared" si="14"/>
        <v>8640</v>
      </c>
      <c r="Q15" s="244">
        <f t="shared" si="14"/>
        <v>8576</v>
      </c>
      <c r="R15" s="244">
        <f t="shared" si="14"/>
        <v>8448</v>
      </c>
      <c r="S15" s="244">
        <f t="shared" si="14"/>
        <v>8384</v>
      </c>
      <c r="T15" s="244">
        <f t="shared" si="14"/>
        <v>8320</v>
      </c>
      <c r="U15" s="244">
        <f t="shared" si="14"/>
        <v>8256</v>
      </c>
      <c r="V15" s="244">
        <f t="shared" si="14"/>
        <v>8192</v>
      </c>
      <c r="W15" s="244">
        <f t="shared" si="14"/>
        <v>8064</v>
      </c>
      <c r="X15" s="244">
        <f t="shared" si="14"/>
        <v>8064</v>
      </c>
      <c r="Y15" s="244">
        <f t="shared" si="14"/>
        <v>8064</v>
      </c>
    </row>
    <row r="16">
      <c r="A16" s="241" t="str">
        <f>Items!A$153</f>
        <v>Twisted bow</v>
      </c>
      <c r="B16" s="244" t="b">
        <f>IF(B$1="CHOOSE SPELL",FALSE,IF('Sheet 1'!B$58=A16,TRUE,FALSE))</f>
        <v>0</v>
      </c>
      <c r="C16" s="243">
        <f>IF(B16,MIN(140,140+TRUNC((3*MIN(IF('Sheet 1'!E75="RAIDS",MIN(350,MAX('Sheet 1'!$G$81,'Sheet 1'!$H$81)),250),MAX('Sheet 1'!$G$81,'Sheet 1'!$H$81))-10)/100)-TRUNC(((0.3*MIN(IF('Sheet 1'!E75="RAIDS",MIN(350,MAX('Sheet 1'!$G$81,'Sheet 1'!$H$81)),250),MAX('Sheet 1'!$G$81,'Sheet 1'!$H$81))-100)^2)/100))/100,1)</f>
        <v>1</v>
      </c>
      <c r="D16" s="244">
        <f t="shared" ref="D16:Y16" si="15">INT(D15*$C16)</f>
        <v>9536</v>
      </c>
      <c r="E16" s="244">
        <f t="shared" si="15"/>
        <v>9472</v>
      </c>
      <c r="F16" s="244">
        <f t="shared" si="15"/>
        <v>9408</v>
      </c>
      <c r="G16" s="244">
        <f t="shared" si="15"/>
        <v>9344</v>
      </c>
      <c r="H16" s="244">
        <f t="shared" si="15"/>
        <v>9216</v>
      </c>
      <c r="I16" s="244">
        <f t="shared" si="15"/>
        <v>9152</v>
      </c>
      <c r="J16" s="244">
        <f t="shared" si="15"/>
        <v>9088</v>
      </c>
      <c r="K16" s="244">
        <f t="shared" si="15"/>
        <v>9024</v>
      </c>
      <c r="L16" s="244">
        <f t="shared" si="15"/>
        <v>8960</v>
      </c>
      <c r="M16" s="244">
        <f t="shared" si="15"/>
        <v>8832</v>
      </c>
      <c r="N16" s="244">
        <f t="shared" si="15"/>
        <v>8768</v>
      </c>
      <c r="O16" s="244">
        <f t="shared" si="15"/>
        <v>8704</v>
      </c>
      <c r="P16" s="244">
        <f t="shared" si="15"/>
        <v>8640</v>
      </c>
      <c r="Q16" s="244">
        <f t="shared" si="15"/>
        <v>8576</v>
      </c>
      <c r="R16" s="244">
        <f t="shared" si="15"/>
        <v>8448</v>
      </c>
      <c r="S16" s="244">
        <f t="shared" si="15"/>
        <v>8384</v>
      </c>
      <c r="T16" s="244">
        <f t="shared" si="15"/>
        <v>8320</v>
      </c>
      <c r="U16" s="244">
        <f t="shared" si="15"/>
        <v>8256</v>
      </c>
      <c r="V16" s="244">
        <f t="shared" si="15"/>
        <v>8192</v>
      </c>
      <c r="W16" s="244">
        <f t="shared" si="15"/>
        <v>8064</v>
      </c>
      <c r="X16" s="244">
        <f t="shared" si="15"/>
        <v>8064</v>
      </c>
      <c r="Y16" s="244">
        <f t="shared" si="15"/>
        <v>8064</v>
      </c>
    </row>
    <row r="17">
      <c r="A17" s="241" t="s">
        <v>162</v>
      </c>
      <c r="B17" s="244" t="b">
        <f>AND('Sheet 1'!B61=Items!A205,'Sheet 1'!B64=Items!A295,'Sheet 1'!B65=Items!A339,OR('Sheet 1'!B58=Items!A61,'Sheet 1'!B58=Items!A71,'Sheet 1'!B58=Items!A60,'Sheet 1'!B58=Items!A59))</f>
        <v>0</v>
      </c>
      <c r="C17" s="243">
        <f>IF(B17,1.1,1)</f>
        <v>1</v>
      </c>
      <c r="D17" s="244">
        <f t="shared" ref="D17:Y17" si="16">INT(D16*$C17)</f>
        <v>9536</v>
      </c>
      <c r="E17" s="244">
        <f t="shared" si="16"/>
        <v>9472</v>
      </c>
      <c r="F17" s="244">
        <f t="shared" si="16"/>
        <v>9408</v>
      </c>
      <c r="G17" s="244">
        <f t="shared" si="16"/>
        <v>9344</v>
      </c>
      <c r="H17" s="244">
        <f t="shared" si="16"/>
        <v>9216</v>
      </c>
      <c r="I17" s="244">
        <f t="shared" si="16"/>
        <v>9152</v>
      </c>
      <c r="J17" s="244">
        <f t="shared" si="16"/>
        <v>9088</v>
      </c>
      <c r="K17" s="244">
        <f t="shared" si="16"/>
        <v>9024</v>
      </c>
      <c r="L17" s="244">
        <f t="shared" si="16"/>
        <v>8960</v>
      </c>
      <c r="M17" s="244">
        <f t="shared" si="16"/>
        <v>8832</v>
      </c>
      <c r="N17" s="244">
        <f t="shared" si="16"/>
        <v>8768</v>
      </c>
      <c r="O17" s="244">
        <f t="shared" si="16"/>
        <v>8704</v>
      </c>
      <c r="P17" s="244">
        <f t="shared" si="16"/>
        <v>8640</v>
      </c>
      <c r="Q17" s="244">
        <f t="shared" si="16"/>
        <v>8576</v>
      </c>
      <c r="R17" s="244">
        <f t="shared" si="16"/>
        <v>8448</v>
      </c>
      <c r="S17" s="244">
        <f t="shared" si="16"/>
        <v>8384</v>
      </c>
      <c r="T17" s="244">
        <f t="shared" si="16"/>
        <v>8320</v>
      </c>
      <c r="U17" s="244">
        <f t="shared" si="16"/>
        <v>8256</v>
      </c>
      <c r="V17" s="244">
        <f t="shared" si="16"/>
        <v>8192</v>
      </c>
      <c r="W17" s="244">
        <f t="shared" si="16"/>
        <v>8064</v>
      </c>
      <c r="X17" s="244">
        <f t="shared" si="16"/>
        <v>8064</v>
      </c>
      <c r="Y17" s="244">
        <f t="shared" si="16"/>
        <v>8064</v>
      </c>
    </row>
    <row r="18">
      <c r="A18" s="241" t="s">
        <v>163</v>
      </c>
      <c r="B18" s="244" t="b">
        <f>'Sheet 1'!B38=Items!A117</f>
        <v>0</v>
      </c>
      <c r="C18" s="243">
        <f>1+if(B18,if('Sheet 1'!B61=Items!A218,0.06,0)+if('Sheet 1'!B64=Items!A303,0.06,0)+if('Sheet 1'!B65=Items!A346,0.06,0)+if(and('Sheet 1'!B61=Items!A218,'Sheet 1'!B64=Items!A303,'Sheet 1'!B65=Items!A346),0.12,0),0)</f>
        <v>1</v>
      </c>
      <c r="D18" s="244">
        <f t="shared" ref="D18:Y18" si="17">int(D17*$C$18)</f>
        <v>9536</v>
      </c>
      <c r="E18" s="244">
        <f t="shared" si="17"/>
        <v>9472</v>
      </c>
      <c r="F18" s="244">
        <f t="shared" si="17"/>
        <v>9408</v>
      </c>
      <c r="G18" s="244">
        <f t="shared" si="17"/>
        <v>9344</v>
      </c>
      <c r="H18" s="244">
        <f t="shared" si="17"/>
        <v>9216</v>
      </c>
      <c r="I18" s="244">
        <f t="shared" si="17"/>
        <v>9152</v>
      </c>
      <c r="J18" s="244">
        <f t="shared" si="17"/>
        <v>9088</v>
      </c>
      <c r="K18" s="244">
        <f t="shared" si="17"/>
        <v>9024</v>
      </c>
      <c r="L18" s="244">
        <f t="shared" si="17"/>
        <v>8960</v>
      </c>
      <c r="M18" s="244">
        <f t="shared" si="17"/>
        <v>8832</v>
      </c>
      <c r="N18" s="244">
        <f t="shared" si="17"/>
        <v>8768</v>
      </c>
      <c r="O18" s="244">
        <f t="shared" si="17"/>
        <v>8704</v>
      </c>
      <c r="P18" s="244">
        <f t="shared" si="17"/>
        <v>8640</v>
      </c>
      <c r="Q18" s="244">
        <f t="shared" si="17"/>
        <v>8576</v>
      </c>
      <c r="R18" s="244">
        <f t="shared" si="17"/>
        <v>8448</v>
      </c>
      <c r="S18" s="244">
        <f t="shared" si="17"/>
        <v>8384</v>
      </c>
      <c r="T18" s="244">
        <f t="shared" si="17"/>
        <v>8320</v>
      </c>
      <c r="U18" s="244">
        <f t="shared" si="17"/>
        <v>8256</v>
      </c>
      <c r="V18" s="244">
        <f t="shared" si="17"/>
        <v>8192</v>
      </c>
      <c r="W18" s="244">
        <f t="shared" si="17"/>
        <v>8064</v>
      </c>
      <c r="X18" s="244">
        <f t="shared" si="17"/>
        <v>8064</v>
      </c>
      <c r="Y18" s="244">
        <f t="shared" si="17"/>
        <v>8064</v>
      </c>
    </row>
    <row r="19">
      <c r="A19" s="241" t="s">
        <v>164</v>
      </c>
      <c r="B19" s="244">
        <f>if(or(Input!AG13="",Input!AG13="Off (default)"),0,Input!AG13)</f>
        <v>0</v>
      </c>
      <c r="C19" s="243">
        <f>1+B19</f>
        <v>1</v>
      </c>
      <c r="D19" s="244">
        <f t="shared" ref="D19:Y19" si="18">int(D18*$C$19)</f>
        <v>9536</v>
      </c>
      <c r="E19" s="244">
        <f t="shared" si="18"/>
        <v>9472</v>
      </c>
      <c r="F19" s="244">
        <f t="shared" si="18"/>
        <v>9408</v>
      </c>
      <c r="G19" s="244">
        <f t="shared" si="18"/>
        <v>9344</v>
      </c>
      <c r="H19" s="244">
        <f t="shared" si="18"/>
        <v>9216</v>
      </c>
      <c r="I19" s="244">
        <f t="shared" si="18"/>
        <v>9152</v>
      </c>
      <c r="J19" s="244">
        <f t="shared" si="18"/>
        <v>9088</v>
      </c>
      <c r="K19" s="244">
        <f t="shared" si="18"/>
        <v>9024</v>
      </c>
      <c r="L19" s="244">
        <f t="shared" si="18"/>
        <v>8960</v>
      </c>
      <c r="M19" s="244">
        <f t="shared" si="18"/>
        <v>8832</v>
      </c>
      <c r="N19" s="244">
        <f t="shared" si="18"/>
        <v>8768</v>
      </c>
      <c r="O19" s="244">
        <f t="shared" si="18"/>
        <v>8704</v>
      </c>
      <c r="P19" s="244">
        <f t="shared" si="18"/>
        <v>8640</v>
      </c>
      <c r="Q19" s="244">
        <f t="shared" si="18"/>
        <v>8576</v>
      </c>
      <c r="R19" s="244">
        <f t="shared" si="18"/>
        <v>8448</v>
      </c>
      <c r="S19" s="244">
        <f t="shared" si="18"/>
        <v>8384</v>
      </c>
      <c r="T19" s="244">
        <f t="shared" si="18"/>
        <v>8320</v>
      </c>
      <c r="U19" s="244">
        <f t="shared" si="18"/>
        <v>8256</v>
      </c>
      <c r="V19" s="244">
        <f t="shared" si="18"/>
        <v>8192</v>
      </c>
      <c r="W19" s="244">
        <f t="shared" si="18"/>
        <v>8064</v>
      </c>
      <c r="X19" s="244">
        <f t="shared" si="18"/>
        <v>8064</v>
      </c>
      <c r="Y19" s="244">
        <f t="shared" si="18"/>
        <v>8064</v>
      </c>
    </row>
    <row r="20">
      <c r="A20" s="241" t="s">
        <v>165</v>
      </c>
      <c r="B20" s="244" t="b">
        <f>and(isnumber(Distance),or('Sheet 1'!B58=Items!A115,'Sheet 1'!B58=Items!A150,'Sheet 1'!B58=Items!A116))</f>
        <v>0</v>
      </c>
      <c r="C20" s="243">
        <f>if(B20,'Sheet 1'!H28,1)</f>
        <v>1</v>
      </c>
      <c r="D20" s="244">
        <f t="shared" ref="D20:Y20" si="19">D19-int((1-$C$20)*D19)</f>
        <v>9536</v>
      </c>
      <c r="E20" s="244">
        <f t="shared" si="19"/>
        <v>9472</v>
      </c>
      <c r="F20" s="244">
        <f t="shared" si="19"/>
        <v>9408</v>
      </c>
      <c r="G20" s="244">
        <f t="shared" si="19"/>
        <v>9344</v>
      </c>
      <c r="H20" s="244">
        <f t="shared" si="19"/>
        <v>9216</v>
      </c>
      <c r="I20" s="244">
        <f t="shared" si="19"/>
        <v>9152</v>
      </c>
      <c r="J20" s="244">
        <f t="shared" si="19"/>
        <v>9088</v>
      </c>
      <c r="K20" s="244">
        <f t="shared" si="19"/>
        <v>9024</v>
      </c>
      <c r="L20" s="244">
        <f t="shared" si="19"/>
        <v>8960</v>
      </c>
      <c r="M20" s="244">
        <f t="shared" si="19"/>
        <v>8832</v>
      </c>
      <c r="N20" s="244">
        <f t="shared" si="19"/>
        <v>8768</v>
      </c>
      <c r="O20" s="244">
        <f t="shared" si="19"/>
        <v>8704</v>
      </c>
      <c r="P20" s="244">
        <f t="shared" si="19"/>
        <v>8640</v>
      </c>
      <c r="Q20" s="244">
        <f t="shared" si="19"/>
        <v>8576</v>
      </c>
      <c r="R20" s="244">
        <f t="shared" si="19"/>
        <v>8448</v>
      </c>
      <c r="S20" s="244">
        <f t="shared" si="19"/>
        <v>8384</v>
      </c>
      <c r="T20" s="244">
        <f t="shared" si="19"/>
        <v>8320</v>
      </c>
      <c r="U20" s="244">
        <f t="shared" si="19"/>
        <v>8256</v>
      </c>
      <c r="V20" s="244">
        <f t="shared" si="19"/>
        <v>8192</v>
      </c>
      <c r="W20" s="244">
        <f t="shared" si="19"/>
        <v>8064</v>
      </c>
      <c r="X20" s="244">
        <f t="shared" si="19"/>
        <v>8064</v>
      </c>
      <c r="Y20" s="244">
        <f t="shared" si="19"/>
        <v>8064</v>
      </c>
    </row>
    <row r="21">
      <c r="A21" s="211" t="s">
        <v>166</v>
      </c>
      <c r="B21" s="244" t="b">
        <f>C1="crush"</f>
        <v>0</v>
      </c>
      <c r="C21" s="243">
        <f>1 + if(B21=true,if('Sheet 1'!B61=Items!A193,0.005,0) + if('Sheet 1'!B64=Items!A286,0.005,0) + if('Sheet 1'!B65=Items!A331,0.005,0) + if(and('Sheet 1'!B61=Items!A193,'Sheet 1'!B64=Items!A286,'Sheet 1'!B65=Items!A331),0.01,0),0)</f>
        <v>1</v>
      </c>
      <c r="D21" s="244">
        <f t="shared" ref="D21:Y21" si="20">int(D20*$C$21)</f>
        <v>9536</v>
      </c>
      <c r="E21" s="244">
        <f t="shared" si="20"/>
        <v>9472</v>
      </c>
      <c r="F21" s="244">
        <f t="shared" si="20"/>
        <v>9408</v>
      </c>
      <c r="G21" s="244">
        <f t="shared" si="20"/>
        <v>9344</v>
      </c>
      <c r="H21" s="244">
        <f t="shared" si="20"/>
        <v>9216</v>
      </c>
      <c r="I21" s="244">
        <f t="shared" si="20"/>
        <v>9152</v>
      </c>
      <c r="J21" s="244">
        <f t="shared" si="20"/>
        <v>9088</v>
      </c>
      <c r="K21" s="244">
        <f t="shared" si="20"/>
        <v>9024</v>
      </c>
      <c r="L21" s="244">
        <f t="shared" si="20"/>
        <v>8960</v>
      </c>
      <c r="M21" s="244">
        <f t="shared" si="20"/>
        <v>8832</v>
      </c>
      <c r="N21" s="244">
        <f t="shared" si="20"/>
        <v>8768</v>
      </c>
      <c r="O21" s="244">
        <f t="shared" si="20"/>
        <v>8704</v>
      </c>
      <c r="P21" s="244">
        <f t="shared" si="20"/>
        <v>8640</v>
      </c>
      <c r="Q21" s="244">
        <f t="shared" si="20"/>
        <v>8576</v>
      </c>
      <c r="R21" s="244">
        <f t="shared" si="20"/>
        <v>8448</v>
      </c>
      <c r="S21" s="244">
        <f t="shared" si="20"/>
        <v>8384</v>
      </c>
      <c r="T21" s="244">
        <f t="shared" si="20"/>
        <v>8320</v>
      </c>
      <c r="U21" s="244">
        <f t="shared" si="20"/>
        <v>8256</v>
      </c>
      <c r="V21" s="244">
        <f t="shared" si="20"/>
        <v>8192</v>
      </c>
      <c r="W21" s="244">
        <f t="shared" si="20"/>
        <v>8064</v>
      </c>
      <c r="X21" s="244">
        <f t="shared" si="20"/>
        <v>8064</v>
      </c>
      <c r="Y21" s="244">
        <f t="shared" si="20"/>
        <v>8064</v>
      </c>
    </row>
    <row r="22">
      <c r="A22" s="241" t="s">
        <v>57</v>
      </c>
      <c r="B22" s="244"/>
      <c r="C22" s="243"/>
      <c r="D22" s="244">
        <f t="shared" ref="D22:Y22" si="21">INT(D21)</f>
        <v>9536</v>
      </c>
      <c r="E22" s="244">
        <f t="shared" si="21"/>
        <v>9472</v>
      </c>
      <c r="F22" s="244">
        <f t="shared" si="21"/>
        <v>9408</v>
      </c>
      <c r="G22" s="244">
        <f t="shared" si="21"/>
        <v>9344</v>
      </c>
      <c r="H22" s="244">
        <f t="shared" si="21"/>
        <v>9216</v>
      </c>
      <c r="I22" s="244">
        <f t="shared" si="21"/>
        <v>9152</v>
      </c>
      <c r="J22" s="244">
        <f t="shared" si="21"/>
        <v>9088</v>
      </c>
      <c r="K22" s="244">
        <f t="shared" si="21"/>
        <v>9024</v>
      </c>
      <c r="L22" s="244">
        <f t="shared" si="21"/>
        <v>8960</v>
      </c>
      <c r="M22" s="244">
        <f t="shared" si="21"/>
        <v>8832</v>
      </c>
      <c r="N22" s="244">
        <f t="shared" si="21"/>
        <v>8768</v>
      </c>
      <c r="O22" s="244">
        <f t="shared" si="21"/>
        <v>8704</v>
      </c>
      <c r="P22" s="244">
        <f t="shared" si="21"/>
        <v>8640</v>
      </c>
      <c r="Q22" s="244">
        <f t="shared" si="21"/>
        <v>8576</v>
      </c>
      <c r="R22" s="244">
        <f t="shared" si="21"/>
        <v>8448</v>
      </c>
      <c r="S22" s="244">
        <f t="shared" si="21"/>
        <v>8384</v>
      </c>
      <c r="T22" s="244">
        <f t="shared" si="21"/>
        <v>8320</v>
      </c>
      <c r="U22" s="244">
        <f t="shared" si="21"/>
        <v>8256</v>
      </c>
      <c r="V22" s="244">
        <f t="shared" si="21"/>
        <v>8192</v>
      </c>
      <c r="W22" s="244">
        <f t="shared" si="21"/>
        <v>8064</v>
      </c>
      <c r="X22" s="244">
        <f t="shared" si="21"/>
        <v>8064</v>
      </c>
      <c r="Y22" s="244">
        <f t="shared" si="21"/>
        <v>8064</v>
      </c>
    </row>
    <row r="23">
      <c r="A23" s="241" t="str">
        <f>Items!A498</f>
        <v>Brimstone ring</v>
      </c>
      <c r="B23" s="244" t="b">
        <f>AND('Sheet 1'!B69=A23,C1="MAGIC")</f>
        <v>0</v>
      </c>
      <c r="C23" s="243"/>
      <c r="D23" s="244">
        <f>IF($B23,TRUNC(0.1*'Sheet 1'!$E81)/4,0)</f>
        <v>0</v>
      </c>
      <c r="E23" s="244">
        <f>IF($B23,TRUNC(0.1*'Sheet 1'!$E81)/4,0)</f>
        <v>0</v>
      </c>
      <c r="F23" s="244">
        <f>IF($B23,TRUNC(0.1*'Sheet 1'!$E81)/4,0)</f>
        <v>0</v>
      </c>
      <c r="G23" s="244">
        <f>IF($B23,TRUNC(0.1*'Sheet 1'!$E81)/4,0)</f>
        <v>0</v>
      </c>
      <c r="H23" s="244">
        <f>IF($B23,TRUNC(0.1*'Sheet 1'!$E81)/4,0)</f>
        <v>0</v>
      </c>
      <c r="I23" s="244">
        <f>IF($B23,TRUNC(0.1*'Sheet 1'!$E81)/4,0)</f>
        <v>0</v>
      </c>
      <c r="J23" s="244">
        <f>IF($B23,TRUNC(0.1*'Sheet 1'!$E81)/4,0)</f>
        <v>0</v>
      </c>
      <c r="K23" s="244">
        <f>IF($B23,TRUNC(0.1*'Sheet 1'!$E81)/4,0)</f>
        <v>0</v>
      </c>
      <c r="L23" s="244">
        <f>IF($B23,TRUNC(0.1*'Sheet 1'!$E81)/4,0)</f>
        <v>0</v>
      </c>
      <c r="M23" s="244">
        <f>IF($B23,TRUNC(0.1*'Sheet 1'!$E81)/4,0)</f>
        <v>0</v>
      </c>
      <c r="N23" s="244">
        <f>IF($B23,TRUNC(0.1*'Sheet 1'!$E81)/4,0)</f>
        <v>0</v>
      </c>
      <c r="O23" s="244">
        <f>IF($B23,TRUNC(0.1*'Sheet 1'!$E81)/4,0)</f>
        <v>0</v>
      </c>
      <c r="P23" s="244">
        <f>IF($B23,TRUNC(0.1*'Sheet 1'!$E81)/4,0)</f>
        <v>0</v>
      </c>
      <c r="Q23" s="244">
        <f>IF($B23,TRUNC(0.1*'Sheet 1'!$E81)/4,0)</f>
        <v>0</v>
      </c>
      <c r="R23" s="244">
        <f>IF($B23,TRUNC(0.1*'Sheet 1'!$E81)/4,0)</f>
        <v>0</v>
      </c>
      <c r="S23" s="244">
        <f>IF($B23,TRUNC(0.1*'Sheet 1'!$E81)/4,0)</f>
        <v>0</v>
      </c>
      <c r="T23" s="244">
        <f>IF($B23,TRUNC(0.1*'Sheet 1'!$E81)/4,0)</f>
        <v>0</v>
      </c>
      <c r="U23" s="244">
        <f>IF($B23,TRUNC(0.1*'Sheet 1'!$E81)/4,0)</f>
        <v>0</v>
      </c>
      <c r="V23" s="244">
        <f>IF($B23,TRUNC(0.1*'Sheet 1'!$E81)/4,0)</f>
        <v>0</v>
      </c>
      <c r="W23" s="244">
        <f>IF($B23,TRUNC(0.1*'Sheet 1'!$E81)/4,0)</f>
        <v>0</v>
      </c>
      <c r="X23" s="244">
        <f>IF($B23,TRUNC(0.1*'Sheet 1'!$E81)/4,0)</f>
        <v>0</v>
      </c>
      <c r="Y23" s="244">
        <f>IF($B23,TRUNC(0.1*'Sheet 1'!$E81)/4,0)</f>
        <v>0</v>
      </c>
    </row>
    <row r="24">
      <c r="A24" s="241" t="s">
        <v>167</v>
      </c>
      <c r="B24" s="244"/>
      <c r="C24" s="243">
        <f>IF(C1="MAGIC",'Sheet 1'!E81,IF(C1="RANGED",'Sheet 1'!E82,IF(C1="STAB",'Sheet 1'!E78,IF(C1="SLASH",'Sheet 1'!E79,'Sheet 1'!E80))))</f>
        <v>52316</v>
      </c>
      <c r="D24" s="244">
        <f t="shared" ref="D24:Y24" si="22">max(0,INT($C24) -D23)</f>
        <v>52316</v>
      </c>
      <c r="E24" s="244">
        <f t="shared" si="22"/>
        <v>52316</v>
      </c>
      <c r="F24" s="244">
        <f t="shared" si="22"/>
        <v>52316</v>
      </c>
      <c r="G24" s="244">
        <f t="shared" si="22"/>
        <v>52316</v>
      </c>
      <c r="H24" s="244">
        <f t="shared" si="22"/>
        <v>52316</v>
      </c>
      <c r="I24" s="244">
        <f t="shared" si="22"/>
        <v>52316</v>
      </c>
      <c r="J24" s="244">
        <f t="shared" si="22"/>
        <v>52316</v>
      </c>
      <c r="K24" s="244">
        <f t="shared" si="22"/>
        <v>52316</v>
      </c>
      <c r="L24" s="244">
        <f t="shared" si="22"/>
        <v>52316</v>
      </c>
      <c r="M24" s="244">
        <f t="shared" si="22"/>
        <v>52316</v>
      </c>
      <c r="N24" s="244">
        <f t="shared" si="22"/>
        <v>52316</v>
      </c>
      <c r="O24" s="244">
        <f t="shared" si="22"/>
        <v>52316</v>
      </c>
      <c r="P24" s="244">
        <f t="shared" si="22"/>
        <v>52316</v>
      </c>
      <c r="Q24" s="244">
        <f t="shared" si="22"/>
        <v>52316</v>
      </c>
      <c r="R24" s="244">
        <f t="shared" si="22"/>
        <v>52316</v>
      </c>
      <c r="S24" s="244">
        <f t="shared" si="22"/>
        <v>52316</v>
      </c>
      <c r="T24" s="244">
        <f t="shared" si="22"/>
        <v>52316</v>
      </c>
      <c r="U24" s="244">
        <f t="shared" si="22"/>
        <v>52316</v>
      </c>
      <c r="V24" s="244">
        <f t="shared" si="22"/>
        <v>52316</v>
      </c>
      <c r="W24" s="244">
        <f t="shared" si="22"/>
        <v>52316</v>
      </c>
      <c r="X24" s="244">
        <f t="shared" si="22"/>
        <v>52316</v>
      </c>
      <c r="Y24" s="244">
        <f t="shared" si="22"/>
        <v>52316</v>
      </c>
    </row>
    <row r="25">
      <c r="A25" s="211" t="s">
        <v>168</v>
      </c>
      <c r="B25" s="244" t="b">
        <f>or('Sheet 1'!$B$75='NPC stats'!A525,and('Sheet 1'!B58=Items!A161,'Sheet 1'!B75='NPC stats'!A460))</f>
        <v>0</v>
      </c>
      <c r="C25" s="243"/>
      <c r="D25" s="244"/>
      <c r="E25" s="244"/>
      <c r="F25" s="244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4"/>
      <c r="S25" s="244"/>
      <c r="T25" s="244"/>
      <c r="U25" s="244"/>
      <c r="V25" s="244"/>
      <c r="W25" s="244"/>
      <c r="X25" s="244"/>
      <c r="Y25" s="244"/>
    </row>
    <row r="26">
      <c r="A26" s="211" t="s">
        <v>169</v>
      </c>
      <c r="B26" s="246" t="b">
        <f>'Sheet 1'!B75=A26</f>
        <v>0</v>
      </c>
      <c r="C26" s="247" t="b">
        <f>B45</f>
        <v>0</v>
      </c>
      <c r="D26" s="244">
        <f t="shared" ref="D26:Y26" si="23">($C$3+8)*204</f>
        <v>21828</v>
      </c>
      <c r="E26" s="244">
        <f t="shared" si="23"/>
        <v>21828</v>
      </c>
      <c r="F26" s="244">
        <f t="shared" si="23"/>
        <v>21828</v>
      </c>
      <c r="G26" s="244">
        <f t="shared" si="23"/>
        <v>21828</v>
      </c>
      <c r="H26" s="244">
        <f t="shared" si="23"/>
        <v>21828</v>
      </c>
      <c r="I26" s="244">
        <f t="shared" si="23"/>
        <v>21828</v>
      </c>
      <c r="J26" s="244">
        <f t="shared" si="23"/>
        <v>21828</v>
      </c>
      <c r="K26" s="244">
        <f t="shared" si="23"/>
        <v>21828</v>
      </c>
      <c r="L26" s="244">
        <f t="shared" si="23"/>
        <v>21828</v>
      </c>
      <c r="M26" s="244">
        <f t="shared" si="23"/>
        <v>21828</v>
      </c>
      <c r="N26" s="244">
        <f t="shared" si="23"/>
        <v>21828</v>
      </c>
      <c r="O26" s="244">
        <f t="shared" si="23"/>
        <v>21828</v>
      </c>
      <c r="P26" s="244">
        <f t="shared" si="23"/>
        <v>21828</v>
      </c>
      <c r="Q26" s="244">
        <f t="shared" si="23"/>
        <v>21828</v>
      </c>
      <c r="R26" s="244">
        <f t="shared" si="23"/>
        <v>21828</v>
      </c>
      <c r="S26" s="244">
        <f t="shared" si="23"/>
        <v>21828</v>
      </c>
      <c r="T26" s="244">
        <f t="shared" si="23"/>
        <v>21828</v>
      </c>
      <c r="U26" s="244">
        <f t="shared" si="23"/>
        <v>21828</v>
      </c>
      <c r="V26" s="244">
        <f t="shared" si="23"/>
        <v>21828</v>
      </c>
      <c r="W26" s="244">
        <f t="shared" si="23"/>
        <v>21828</v>
      </c>
      <c r="X26" s="244">
        <f t="shared" si="23"/>
        <v>21828</v>
      </c>
      <c r="Y26" s="244">
        <f t="shared" si="23"/>
        <v>21828</v>
      </c>
    </row>
    <row r="27">
      <c r="A27" s="248" t="s">
        <v>170</v>
      </c>
      <c r="B27" s="244"/>
      <c r="C27" s="243"/>
      <c r="D27" s="244">
        <f t="shared" ref="D27:Y27" si="24">if($B$25,1,if(and($B$26,$C$26),min(D28,D26)/D26,IF(D22&gt;D24,1-(D24+2)/(2*(D22+1)),D22/(2*(D24+1)))))</f>
        <v>0.0911367242</v>
      </c>
      <c r="E27" s="244">
        <f t="shared" si="24"/>
        <v>0.09052506833</v>
      </c>
      <c r="F27" s="244">
        <f t="shared" si="24"/>
        <v>0.08991341247</v>
      </c>
      <c r="G27" s="244">
        <f t="shared" si="24"/>
        <v>0.0893017566</v>
      </c>
      <c r="H27" s="244">
        <f t="shared" si="24"/>
        <v>0.08807844486</v>
      </c>
      <c r="I27" s="244">
        <f t="shared" si="24"/>
        <v>0.087466789</v>
      </c>
      <c r="J27" s="244">
        <f t="shared" si="24"/>
        <v>0.08685513313</v>
      </c>
      <c r="K27" s="244">
        <f t="shared" si="24"/>
        <v>0.08624347726</v>
      </c>
      <c r="L27" s="244">
        <f t="shared" si="24"/>
        <v>0.0856318214</v>
      </c>
      <c r="M27" s="244">
        <f t="shared" si="24"/>
        <v>0.08440850966</v>
      </c>
      <c r="N27" s="244">
        <f t="shared" si="24"/>
        <v>0.0837968538</v>
      </c>
      <c r="O27" s="244">
        <f t="shared" si="24"/>
        <v>0.08318519793</v>
      </c>
      <c r="P27" s="244">
        <f t="shared" si="24"/>
        <v>0.08257354206</v>
      </c>
      <c r="Q27" s="244">
        <f t="shared" si="24"/>
        <v>0.08196188619</v>
      </c>
      <c r="R27" s="244">
        <f t="shared" si="24"/>
        <v>0.08073857446</v>
      </c>
      <c r="S27" s="244">
        <f t="shared" si="24"/>
        <v>0.08012691859</v>
      </c>
      <c r="T27" s="244">
        <f t="shared" si="24"/>
        <v>0.07951526273</v>
      </c>
      <c r="U27" s="244">
        <f t="shared" si="24"/>
        <v>0.07890360686</v>
      </c>
      <c r="V27" s="244">
        <f t="shared" si="24"/>
        <v>0.07829195099</v>
      </c>
      <c r="W27" s="244">
        <f t="shared" si="24"/>
        <v>0.07706863926</v>
      </c>
      <c r="X27" s="244">
        <f t="shared" si="24"/>
        <v>0.07706863926</v>
      </c>
      <c r="Y27" s="244">
        <f t="shared" si="24"/>
        <v>0.07706863926</v>
      </c>
    </row>
    <row r="28">
      <c r="A28" s="241" t="str">
        <f>Items!P1</f>
        <v>Special accuracy</v>
      </c>
      <c r="B28" s="244"/>
      <c r="C28" s="242">
        <f t="array" ref="C28">1+INDEX(Items!$A$1:$V$698,MATCH('Sheet 1'!B58,Items!$A$1:$A$698,0),MATCH(A28,Items!$A$1:$V$1,0))</f>
        <v>1</v>
      </c>
      <c r="D28" s="244">
        <f t="shared" ref="D28:Y28" si="25">INT(D22*$C28)</f>
        <v>9536</v>
      </c>
      <c r="E28" s="244">
        <f t="shared" si="25"/>
        <v>9472</v>
      </c>
      <c r="F28" s="244">
        <f t="shared" si="25"/>
        <v>9408</v>
      </c>
      <c r="G28" s="244">
        <f t="shared" si="25"/>
        <v>9344</v>
      </c>
      <c r="H28" s="244">
        <f t="shared" si="25"/>
        <v>9216</v>
      </c>
      <c r="I28" s="244">
        <f t="shared" si="25"/>
        <v>9152</v>
      </c>
      <c r="J28" s="244">
        <f t="shared" si="25"/>
        <v>9088</v>
      </c>
      <c r="K28" s="244">
        <f t="shared" si="25"/>
        <v>9024</v>
      </c>
      <c r="L28" s="244">
        <f t="shared" si="25"/>
        <v>8960</v>
      </c>
      <c r="M28" s="244">
        <f t="shared" si="25"/>
        <v>8832</v>
      </c>
      <c r="N28" s="244">
        <f t="shared" si="25"/>
        <v>8768</v>
      </c>
      <c r="O28" s="244">
        <f t="shared" si="25"/>
        <v>8704</v>
      </c>
      <c r="P28" s="244">
        <f t="shared" si="25"/>
        <v>8640</v>
      </c>
      <c r="Q28" s="244">
        <f t="shared" si="25"/>
        <v>8576</v>
      </c>
      <c r="R28" s="244">
        <f t="shared" si="25"/>
        <v>8448</v>
      </c>
      <c r="S28" s="244">
        <f t="shared" si="25"/>
        <v>8384</v>
      </c>
      <c r="T28" s="244">
        <f t="shared" si="25"/>
        <v>8320</v>
      </c>
      <c r="U28" s="244">
        <f t="shared" si="25"/>
        <v>8256</v>
      </c>
      <c r="V28" s="244">
        <f t="shared" si="25"/>
        <v>8192</v>
      </c>
      <c r="W28" s="244">
        <f t="shared" si="25"/>
        <v>8064</v>
      </c>
      <c r="X28" s="244">
        <f t="shared" si="25"/>
        <v>8064</v>
      </c>
      <c r="Y28" s="244">
        <f t="shared" si="25"/>
        <v>8064</v>
      </c>
    </row>
    <row r="29">
      <c r="A29" s="241" t="str">
        <f>Items!A498</f>
        <v>Brimstone ring</v>
      </c>
      <c r="B29" s="242" t="b">
        <f>AND('Sheet 1'!B69=A29,B30="MAGIC")</f>
        <v>0</v>
      </c>
      <c r="C29" s="243"/>
      <c r="D29" s="244">
        <f>IF($B29,TRUNC(0.1*'Sheet 1'!$E81)/4,0)</f>
        <v>0</v>
      </c>
      <c r="E29" s="244">
        <f>IF($B29,TRUNC(0.1*'Sheet 1'!$E81)/4,0)</f>
        <v>0</v>
      </c>
      <c r="F29" s="244">
        <f>IF($B29,TRUNC(0.1*'Sheet 1'!$E81)/4,0)</f>
        <v>0</v>
      </c>
      <c r="G29" s="244">
        <f>IF($B29,TRUNC(0.1*'Sheet 1'!$E81)/4,0)</f>
        <v>0</v>
      </c>
      <c r="H29" s="244">
        <f>IF($B29,TRUNC(0.1*'Sheet 1'!$E81)/4,0)</f>
        <v>0</v>
      </c>
      <c r="I29" s="244">
        <f>IF($B29,TRUNC(0.1*'Sheet 1'!$E81)/4,0)</f>
        <v>0</v>
      </c>
      <c r="J29" s="244">
        <f>IF($B29,TRUNC(0.1*'Sheet 1'!$E81)/4,0)</f>
        <v>0</v>
      </c>
      <c r="K29" s="244">
        <f>IF($B29,TRUNC(0.1*'Sheet 1'!$E81)/4,0)</f>
        <v>0</v>
      </c>
      <c r="L29" s="244">
        <f>IF($B29,TRUNC(0.1*'Sheet 1'!$E81)/4,0)</f>
        <v>0</v>
      </c>
      <c r="M29" s="244">
        <f>IF($B29,TRUNC(0.1*'Sheet 1'!$E81)/4,0)</f>
        <v>0</v>
      </c>
      <c r="N29" s="244">
        <f>IF($B29,TRUNC(0.1*'Sheet 1'!$E81)/4,0)</f>
        <v>0</v>
      </c>
      <c r="O29" s="244">
        <f>IF($B29,TRUNC(0.1*'Sheet 1'!$E81)/4,0)</f>
        <v>0</v>
      </c>
      <c r="P29" s="244">
        <f>IF($B29,TRUNC(0.1*'Sheet 1'!$E81)/4,0)</f>
        <v>0</v>
      </c>
      <c r="Q29" s="244">
        <f>IF($B29,TRUNC(0.1*'Sheet 1'!$E81)/4,0)</f>
        <v>0</v>
      </c>
      <c r="R29" s="244">
        <f>IF($B29,TRUNC(0.1*'Sheet 1'!$E81)/4,0)</f>
        <v>0</v>
      </c>
      <c r="S29" s="244">
        <f>IF($B29,TRUNC(0.1*'Sheet 1'!$E81)/4,0)</f>
        <v>0</v>
      </c>
      <c r="T29" s="244">
        <f>IF($B29,TRUNC(0.1*'Sheet 1'!$E81)/4,0)</f>
        <v>0</v>
      </c>
      <c r="U29" s="244">
        <f>IF($B29,TRUNC(0.1*'Sheet 1'!$E81)/4,0)</f>
        <v>0</v>
      </c>
      <c r="V29" s="244">
        <f>IF($B29,TRUNC(0.1*'Sheet 1'!$E81)/4,0)</f>
        <v>0</v>
      </c>
      <c r="W29" s="244">
        <f>IF($B29,TRUNC(0.1*'Sheet 1'!$E81)/4,0)</f>
        <v>0</v>
      </c>
      <c r="X29" s="244">
        <f>IF($B29,TRUNC(0.1*'Sheet 1'!$E81)/4,0)</f>
        <v>0</v>
      </c>
      <c r="Y29" s="244">
        <f>IF($B29,TRUNC(0.1*'Sheet 1'!$E81)/4,0)</f>
        <v>0</v>
      </c>
    </row>
    <row r="30">
      <c r="A30" s="241" t="str">
        <f>Items!S1</f>
        <v>Special defence roll</v>
      </c>
      <c r="B30" s="242" t="str">
        <f t="array" ref="B30">INDEX(Items!$A$1:$V$698,MATCH('Sheet 1'!B58,Items!$A$1:$A$698,0),MATCH(A30,Items!$A$1:$V$1,0))</f>
        <v/>
      </c>
      <c r="C30" s="243" t="b">
        <f>ISBLANK(B30)</f>
        <v>1</v>
      </c>
      <c r="D30" s="244">
        <f>IF($B30='Sheet 1'!$B78,'Sheet 1'!$E78,IF($B30='Sheet 1'!$B79,'Sheet 1'!$E79,IF($B30='Sheet 1'!$B80,'Sheet 1'!$E80,IF($B30='Sheet 1'!$B81,'Sheet 1'!$E81,IF($B30='Sheet 1'!$B82,'Sheet 1'!$E82))))) -D29</f>
        <v>0</v>
      </c>
      <c r="E30" s="244">
        <f>IF($B30='Sheet 1'!$B78,'Sheet 1'!$E78,IF($B30='Sheet 1'!$B79,'Sheet 1'!$E79,IF($B30='Sheet 1'!$B80,'Sheet 1'!$E80,IF($B30='Sheet 1'!$B81,'Sheet 1'!$E81,IF($B30='Sheet 1'!$B82,'Sheet 1'!$E82))))) -E29</f>
        <v>0</v>
      </c>
      <c r="F30" s="244">
        <f>IF($B30='Sheet 1'!$B78,'Sheet 1'!$E78,IF($B30='Sheet 1'!$B79,'Sheet 1'!$E79,IF($B30='Sheet 1'!$B80,'Sheet 1'!$E80,IF($B30='Sheet 1'!$B81,'Sheet 1'!$E81,IF($B30='Sheet 1'!$B82,'Sheet 1'!$E82))))) -F29</f>
        <v>0</v>
      </c>
      <c r="G30" s="244">
        <f>IF($B30='Sheet 1'!$B78,'Sheet 1'!$E78,IF($B30='Sheet 1'!$B79,'Sheet 1'!$E79,IF($B30='Sheet 1'!$B80,'Sheet 1'!$E80,IF($B30='Sheet 1'!$B81,'Sheet 1'!$E81,IF($B30='Sheet 1'!$B82,'Sheet 1'!$E82))))) -G29</f>
        <v>0</v>
      </c>
      <c r="H30" s="244">
        <f>IF($B30='Sheet 1'!$B78,'Sheet 1'!$E78,IF($B30='Sheet 1'!$B79,'Sheet 1'!$E79,IF($B30='Sheet 1'!$B80,'Sheet 1'!$E80,IF($B30='Sheet 1'!$B81,'Sheet 1'!$E81,IF($B30='Sheet 1'!$B82,'Sheet 1'!$E82))))) -H29</f>
        <v>0</v>
      </c>
      <c r="I30" s="244">
        <f>IF($B30='Sheet 1'!$B78,'Sheet 1'!$E78,IF($B30='Sheet 1'!$B79,'Sheet 1'!$E79,IF($B30='Sheet 1'!$B80,'Sheet 1'!$E80,IF($B30='Sheet 1'!$B81,'Sheet 1'!$E81,IF($B30='Sheet 1'!$B82,'Sheet 1'!$E82))))) -I29</f>
        <v>0</v>
      </c>
      <c r="J30" s="244">
        <f>IF($B30='Sheet 1'!$B78,'Sheet 1'!$E78,IF($B30='Sheet 1'!$B79,'Sheet 1'!$E79,IF($B30='Sheet 1'!$B80,'Sheet 1'!$E80,IF($B30='Sheet 1'!$B81,'Sheet 1'!$E81,IF($B30='Sheet 1'!$B82,'Sheet 1'!$E82))))) -J29</f>
        <v>0</v>
      </c>
      <c r="K30" s="244">
        <f>IF($B30='Sheet 1'!$B78,'Sheet 1'!$E78,IF($B30='Sheet 1'!$B79,'Sheet 1'!$E79,IF($B30='Sheet 1'!$B80,'Sheet 1'!$E80,IF($B30='Sheet 1'!$B81,'Sheet 1'!$E81,IF($B30='Sheet 1'!$B82,'Sheet 1'!$E82))))) -K29</f>
        <v>0</v>
      </c>
      <c r="L30" s="244">
        <f>IF($B30='Sheet 1'!$B78,'Sheet 1'!$E78,IF($B30='Sheet 1'!$B79,'Sheet 1'!$E79,IF($B30='Sheet 1'!$B80,'Sheet 1'!$E80,IF($B30='Sheet 1'!$B81,'Sheet 1'!$E81,IF($B30='Sheet 1'!$B82,'Sheet 1'!$E82))))) -L29</f>
        <v>0</v>
      </c>
      <c r="M30" s="244">
        <f>IF($B30='Sheet 1'!$B78,'Sheet 1'!$E78,IF($B30='Sheet 1'!$B79,'Sheet 1'!$E79,IF($B30='Sheet 1'!$B80,'Sheet 1'!$E80,IF($B30='Sheet 1'!$B81,'Sheet 1'!$E81,IF($B30='Sheet 1'!$B82,'Sheet 1'!$E82))))) -M29</f>
        <v>0</v>
      </c>
      <c r="N30" s="244">
        <f>IF($B30='Sheet 1'!$B78,'Sheet 1'!$E78,IF($B30='Sheet 1'!$B79,'Sheet 1'!$E79,IF($B30='Sheet 1'!$B80,'Sheet 1'!$E80,IF($B30='Sheet 1'!$B81,'Sheet 1'!$E81,IF($B30='Sheet 1'!$B82,'Sheet 1'!$E82))))) -N29</f>
        <v>0</v>
      </c>
      <c r="O30" s="244">
        <f>IF($B30='Sheet 1'!$B78,'Sheet 1'!$E78,IF($B30='Sheet 1'!$B79,'Sheet 1'!$E79,IF($B30='Sheet 1'!$B80,'Sheet 1'!$E80,IF($B30='Sheet 1'!$B81,'Sheet 1'!$E81,IF($B30='Sheet 1'!$B82,'Sheet 1'!$E82))))) -O29</f>
        <v>0</v>
      </c>
      <c r="P30" s="244">
        <f>IF($B30='Sheet 1'!$B78,'Sheet 1'!$E78,IF($B30='Sheet 1'!$B79,'Sheet 1'!$E79,IF($B30='Sheet 1'!$B80,'Sheet 1'!$E80,IF($B30='Sheet 1'!$B81,'Sheet 1'!$E81,IF($B30='Sheet 1'!$B82,'Sheet 1'!$E82))))) -P29</f>
        <v>0</v>
      </c>
      <c r="Q30" s="244">
        <f>IF($B30='Sheet 1'!$B78,'Sheet 1'!$E78,IF($B30='Sheet 1'!$B79,'Sheet 1'!$E79,IF($B30='Sheet 1'!$B80,'Sheet 1'!$E80,IF($B30='Sheet 1'!$B81,'Sheet 1'!$E81,IF($B30='Sheet 1'!$B82,'Sheet 1'!$E82))))) -Q29</f>
        <v>0</v>
      </c>
      <c r="R30" s="244">
        <f>IF($B30='Sheet 1'!$B78,'Sheet 1'!$E78,IF($B30='Sheet 1'!$B79,'Sheet 1'!$E79,IF($B30='Sheet 1'!$B80,'Sheet 1'!$E80,IF($B30='Sheet 1'!$B81,'Sheet 1'!$E81,IF($B30='Sheet 1'!$B82,'Sheet 1'!$E82))))) -R29</f>
        <v>0</v>
      </c>
      <c r="S30" s="244">
        <f>IF($B30='Sheet 1'!$B78,'Sheet 1'!$E78,IF($B30='Sheet 1'!$B79,'Sheet 1'!$E79,IF($B30='Sheet 1'!$B80,'Sheet 1'!$E80,IF($B30='Sheet 1'!$B81,'Sheet 1'!$E81,IF($B30='Sheet 1'!$B82,'Sheet 1'!$E82))))) -S29</f>
        <v>0</v>
      </c>
      <c r="T30" s="244">
        <f>IF($B30='Sheet 1'!$B78,'Sheet 1'!$E78,IF($B30='Sheet 1'!$B79,'Sheet 1'!$E79,IF($B30='Sheet 1'!$B80,'Sheet 1'!$E80,IF($B30='Sheet 1'!$B81,'Sheet 1'!$E81,IF($B30='Sheet 1'!$B82,'Sheet 1'!$E82))))) -T29</f>
        <v>0</v>
      </c>
      <c r="U30" s="244">
        <f>IF($B30='Sheet 1'!$B78,'Sheet 1'!$E78,IF($B30='Sheet 1'!$B79,'Sheet 1'!$E79,IF($B30='Sheet 1'!$B80,'Sheet 1'!$E80,IF($B30='Sheet 1'!$B81,'Sheet 1'!$E81,IF($B30='Sheet 1'!$B82,'Sheet 1'!$E82))))) -U29</f>
        <v>0</v>
      </c>
      <c r="V30" s="244">
        <f>IF($B30='Sheet 1'!$B78,'Sheet 1'!$E78,IF($B30='Sheet 1'!$B79,'Sheet 1'!$E79,IF($B30='Sheet 1'!$B80,'Sheet 1'!$E80,IF($B30='Sheet 1'!$B81,'Sheet 1'!$E81,IF($B30='Sheet 1'!$B82,'Sheet 1'!$E82))))) -V29</f>
        <v>0</v>
      </c>
      <c r="W30" s="244">
        <f>IF($B30='Sheet 1'!$B78,'Sheet 1'!$E78,IF($B30='Sheet 1'!$B79,'Sheet 1'!$E79,IF($B30='Sheet 1'!$B80,'Sheet 1'!$E80,IF($B30='Sheet 1'!$B81,'Sheet 1'!$E81,IF($B30='Sheet 1'!$B82,'Sheet 1'!$E82))))) -W29</f>
        <v>0</v>
      </c>
      <c r="X30" s="244">
        <f>IF($B30='Sheet 1'!$B78,'Sheet 1'!$E78,IF($B30='Sheet 1'!$B79,'Sheet 1'!$E79,IF($B30='Sheet 1'!$B80,'Sheet 1'!$E80,IF($B30='Sheet 1'!$B81,'Sheet 1'!$E81,IF($B30='Sheet 1'!$B82,'Sheet 1'!$E82))))) -X29</f>
        <v>0</v>
      </c>
      <c r="Y30" s="244">
        <f>IF($B30='Sheet 1'!$B78,'Sheet 1'!$E78,IF($B30='Sheet 1'!$B79,'Sheet 1'!$E79,IF($B30='Sheet 1'!$B80,'Sheet 1'!$E80,IF($B30='Sheet 1'!$B81,'Sheet 1'!$E81,IF($B30='Sheet 1'!$B82,'Sheet 1'!$E82))))) -Y29</f>
        <v>0</v>
      </c>
    </row>
    <row r="31">
      <c r="A31" s="241" t="s">
        <v>171</v>
      </c>
      <c r="B31" s="246" t="b">
        <f>IF(B$1="CHOOSE SPELL",FALSE,IF('Sheet 1'!B$58=A31,TRUE,FALSE))</f>
        <v>0</v>
      </c>
      <c r="C31" s="247">
        <f>if(B31,0.25,1)</f>
        <v>1</v>
      </c>
      <c r="D31" s="244">
        <f t="shared" ref="D31:Y31" si="26">int(D30*$C$31)</f>
        <v>0</v>
      </c>
      <c r="E31" s="244">
        <f t="shared" si="26"/>
        <v>0</v>
      </c>
      <c r="F31" s="244">
        <f t="shared" si="26"/>
        <v>0</v>
      </c>
      <c r="G31" s="244">
        <f t="shared" si="26"/>
        <v>0</v>
      </c>
      <c r="H31" s="244">
        <f t="shared" si="26"/>
        <v>0</v>
      </c>
      <c r="I31" s="244">
        <f t="shared" si="26"/>
        <v>0</v>
      </c>
      <c r="J31" s="244">
        <f t="shared" si="26"/>
        <v>0</v>
      </c>
      <c r="K31" s="244">
        <f t="shared" si="26"/>
        <v>0</v>
      </c>
      <c r="L31" s="244">
        <f t="shared" si="26"/>
        <v>0</v>
      </c>
      <c r="M31" s="244">
        <f t="shared" si="26"/>
        <v>0</v>
      </c>
      <c r="N31" s="244">
        <f t="shared" si="26"/>
        <v>0</v>
      </c>
      <c r="O31" s="244">
        <f t="shared" si="26"/>
        <v>0</v>
      </c>
      <c r="P31" s="244">
        <f t="shared" si="26"/>
        <v>0</v>
      </c>
      <c r="Q31" s="244">
        <f t="shared" si="26"/>
        <v>0</v>
      </c>
      <c r="R31" s="244">
        <f t="shared" si="26"/>
        <v>0</v>
      </c>
      <c r="S31" s="244">
        <f t="shared" si="26"/>
        <v>0</v>
      </c>
      <c r="T31" s="244">
        <f t="shared" si="26"/>
        <v>0</v>
      </c>
      <c r="U31" s="244">
        <f t="shared" si="26"/>
        <v>0</v>
      </c>
      <c r="V31" s="244">
        <f t="shared" si="26"/>
        <v>0</v>
      </c>
      <c r="W31" s="244">
        <f t="shared" si="26"/>
        <v>0</v>
      </c>
      <c r="X31" s="244">
        <f t="shared" si="26"/>
        <v>0</v>
      </c>
      <c r="Y31" s="244">
        <f t="shared" si="26"/>
        <v>0</v>
      </c>
    </row>
    <row r="32">
      <c r="A32" s="248" t="s">
        <v>172</v>
      </c>
      <c r="B32" s="246"/>
      <c r="C32" s="246"/>
      <c r="D32" s="244" t="str">
        <f t="shared" ref="D32:Y32" si="27">IF($C30,, IF($B176,D176, IF(D28&gt;D31,1-(D31+2)/(2*(D28+1)),D28/(2*(D31+1)))))</f>
        <v/>
      </c>
      <c r="E32" s="244" t="str">
        <f t="shared" si="27"/>
        <v/>
      </c>
      <c r="F32" s="244" t="str">
        <f t="shared" si="27"/>
        <v/>
      </c>
      <c r="G32" s="244" t="str">
        <f t="shared" si="27"/>
        <v/>
      </c>
      <c r="H32" s="244" t="str">
        <f t="shared" si="27"/>
        <v/>
      </c>
      <c r="I32" s="244" t="str">
        <f t="shared" si="27"/>
        <v/>
      </c>
      <c r="J32" s="244" t="str">
        <f t="shared" si="27"/>
        <v/>
      </c>
      <c r="K32" s="244" t="str">
        <f t="shared" si="27"/>
        <v/>
      </c>
      <c r="L32" s="244" t="str">
        <f t="shared" si="27"/>
        <v/>
      </c>
      <c r="M32" s="244" t="str">
        <f t="shared" si="27"/>
        <v/>
      </c>
      <c r="N32" s="244" t="str">
        <f t="shared" si="27"/>
        <v/>
      </c>
      <c r="O32" s="244" t="str">
        <f t="shared" si="27"/>
        <v/>
      </c>
      <c r="P32" s="244" t="str">
        <f t="shared" si="27"/>
        <v/>
      </c>
      <c r="Q32" s="244" t="str">
        <f t="shared" si="27"/>
        <v/>
      </c>
      <c r="R32" s="244" t="str">
        <f t="shared" si="27"/>
        <v/>
      </c>
      <c r="S32" s="244" t="str">
        <f t="shared" si="27"/>
        <v/>
      </c>
      <c r="T32" s="244" t="str">
        <f t="shared" si="27"/>
        <v/>
      </c>
      <c r="U32" s="244" t="str">
        <f t="shared" si="27"/>
        <v/>
      </c>
      <c r="V32" s="244" t="str">
        <f t="shared" si="27"/>
        <v/>
      </c>
      <c r="W32" s="244" t="str">
        <f t="shared" si="27"/>
        <v/>
      </c>
      <c r="X32" s="244" t="str">
        <f t="shared" si="27"/>
        <v/>
      </c>
      <c r="Y32" s="244" t="str">
        <f t="shared" si="27"/>
        <v/>
      </c>
    </row>
    <row r="33">
      <c r="A33" s="244"/>
      <c r="B33" s="244"/>
      <c r="C33" s="243"/>
      <c r="D33" s="244"/>
      <c r="E33" s="244"/>
      <c r="F33" s="244"/>
      <c r="G33" s="244"/>
      <c r="H33" s="244"/>
      <c r="I33" s="244"/>
      <c r="J33" s="244"/>
      <c r="K33" s="244"/>
      <c r="L33" s="244"/>
      <c r="M33" s="244"/>
      <c r="N33" s="244"/>
      <c r="O33" s="244"/>
      <c r="P33" s="244"/>
      <c r="Q33" s="244"/>
      <c r="R33" s="244"/>
      <c r="S33" s="244"/>
      <c r="T33" s="244"/>
      <c r="U33" s="244"/>
      <c r="V33" s="244"/>
      <c r="W33" s="244"/>
      <c r="X33" s="244"/>
      <c r="Y33" s="244"/>
    </row>
    <row r="34">
      <c r="A34" s="244"/>
      <c r="B34" s="244"/>
      <c r="C34" s="243"/>
      <c r="D34" s="244"/>
      <c r="E34" s="244"/>
      <c r="F34" s="244"/>
      <c r="G34" s="244"/>
      <c r="H34" s="244"/>
      <c r="I34" s="244"/>
      <c r="J34" s="244"/>
      <c r="K34" s="244"/>
      <c r="L34" s="244"/>
      <c r="M34" s="244"/>
      <c r="N34" s="244"/>
      <c r="O34" s="244"/>
      <c r="P34" s="244"/>
      <c r="Q34" s="244"/>
      <c r="R34" s="244"/>
      <c r="S34" s="244"/>
      <c r="T34" s="244"/>
      <c r="U34" s="244"/>
      <c r="V34" s="244"/>
      <c r="W34" s="244"/>
      <c r="X34" s="244"/>
      <c r="Y34" s="244"/>
    </row>
    <row r="35">
      <c r="A35" s="244"/>
      <c r="B35" s="244"/>
      <c r="C35" s="243" t="str">
        <f>IF(C1="MAGIC","Magic",IF(C1="RANGED","Ranged","Strength"))</f>
        <v>Strength</v>
      </c>
      <c r="D35" s="244" t="str">
        <f t="shared" ref="D35:Y35" si="28">D36&amp;"/"&amp;$C36</f>
        <v>118/99</v>
      </c>
      <c r="E35" s="244" t="str">
        <f t="shared" si="28"/>
        <v>117/99</v>
      </c>
      <c r="F35" s="244" t="str">
        <f t="shared" si="28"/>
        <v>116/99</v>
      </c>
      <c r="G35" s="244" t="str">
        <f t="shared" si="28"/>
        <v>115/99</v>
      </c>
      <c r="H35" s="244" t="str">
        <f t="shared" si="28"/>
        <v>114/99</v>
      </c>
      <c r="I35" s="244" t="str">
        <f t="shared" si="28"/>
        <v>113/99</v>
      </c>
      <c r="J35" s="244" t="str">
        <f t="shared" si="28"/>
        <v>112/99</v>
      </c>
      <c r="K35" s="244" t="str">
        <f t="shared" si="28"/>
        <v>111/99</v>
      </c>
      <c r="L35" s="244" t="str">
        <f t="shared" si="28"/>
        <v>110/99</v>
      </c>
      <c r="M35" s="244" t="str">
        <f t="shared" si="28"/>
        <v>109/99</v>
      </c>
      <c r="N35" s="244" t="str">
        <f t="shared" si="28"/>
        <v>108/99</v>
      </c>
      <c r="O35" s="244" t="str">
        <f t="shared" si="28"/>
        <v>107/99</v>
      </c>
      <c r="P35" s="244" t="str">
        <f t="shared" si="28"/>
        <v>106/99</v>
      </c>
      <c r="Q35" s="244" t="str">
        <f t="shared" si="28"/>
        <v>105/99</v>
      </c>
      <c r="R35" s="244" t="str">
        <f t="shared" si="28"/>
        <v>104/99</v>
      </c>
      <c r="S35" s="244" t="str">
        <f t="shared" si="28"/>
        <v>103/99</v>
      </c>
      <c r="T35" s="244" t="str">
        <f t="shared" si="28"/>
        <v>102/99</v>
      </c>
      <c r="U35" s="244" t="str">
        <f t="shared" si="28"/>
        <v>101/99</v>
      </c>
      <c r="V35" s="244" t="str">
        <f t="shared" si="28"/>
        <v>100/99</v>
      </c>
      <c r="W35" s="244" t="str">
        <f t="shared" si="28"/>
        <v>99/99</v>
      </c>
      <c r="X35" s="244" t="str">
        <f t="shared" si="28"/>
        <v>99/99</v>
      </c>
      <c r="Y35" s="244" t="str">
        <f t="shared" si="28"/>
        <v>99/99</v>
      </c>
    </row>
    <row r="36">
      <c r="A36" s="241" t="s">
        <v>27</v>
      </c>
      <c r="B36" s="244"/>
      <c r="C36" s="243">
        <f>IF(C1="MAGIC",'Sheet 1'!D9,IF(C1="RANGED",'Sheet 1'!D10,'Sheet 1'!D7))</f>
        <v>99</v>
      </c>
      <c r="D36" s="244">
        <f>IF(C1="MAGIC",'Sheet 1'!I9,IF(C1="RANGED",'Sheet 1'!I10,'Sheet 1'!I7))</f>
        <v>118</v>
      </c>
      <c r="E36" s="244">
        <f t="shared" ref="E36:Y36" si="29">MAX($C36,D36-1)</f>
        <v>117</v>
      </c>
      <c r="F36" s="244">
        <f t="shared" si="29"/>
        <v>116</v>
      </c>
      <c r="G36" s="244">
        <f t="shared" si="29"/>
        <v>115</v>
      </c>
      <c r="H36" s="244">
        <f t="shared" si="29"/>
        <v>114</v>
      </c>
      <c r="I36" s="244">
        <f t="shared" si="29"/>
        <v>113</v>
      </c>
      <c r="J36" s="244">
        <f t="shared" si="29"/>
        <v>112</v>
      </c>
      <c r="K36" s="244">
        <f t="shared" si="29"/>
        <v>111</v>
      </c>
      <c r="L36" s="244">
        <f t="shared" si="29"/>
        <v>110</v>
      </c>
      <c r="M36" s="244">
        <f t="shared" si="29"/>
        <v>109</v>
      </c>
      <c r="N36" s="244">
        <f t="shared" si="29"/>
        <v>108</v>
      </c>
      <c r="O36" s="244">
        <f t="shared" si="29"/>
        <v>107</v>
      </c>
      <c r="P36" s="244">
        <f t="shared" si="29"/>
        <v>106</v>
      </c>
      <c r="Q36" s="244">
        <f t="shared" si="29"/>
        <v>105</v>
      </c>
      <c r="R36" s="244">
        <f t="shared" si="29"/>
        <v>104</v>
      </c>
      <c r="S36" s="244">
        <f t="shared" si="29"/>
        <v>103</v>
      </c>
      <c r="T36" s="244">
        <f t="shared" si="29"/>
        <v>102</v>
      </c>
      <c r="U36" s="244">
        <f t="shared" si="29"/>
        <v>101</v>
      </c>
      <c r="V36" s="244">
        <f t="shared" si="29"/>
        <v>100</v>
      </c>
      <c r="W36" s="244">
        <f t="shared" si="29"/>
        <v>99</v>
      </c>
      <c r="X36" s="244">
        <f t="shared" si="29"/>
        <v>99</v>
      </c>
      <c r="Y36" s="244">
        <f t="shared" si="29"/>
        <v>99</v>
      </c>
    </row>
    <row r="37">
      <c r="A37" s="241" t="s">
        <v>49</v>
      </c>
      <c r="B37" s="244"/>
      <c r="C37" s="243">
        <f>1+IF($C$1="MAGIC",0,IF($C$1="RANGED",'Sheet 1'!L11,'Sheet 1'!L7))</f>
        <v>1.23</v>
      </c>
      <c r="D37" s="244">
        <f t="shared" ref="D37:Y37" si="30">INT(D36*$C37)</f>
        <v>145</v>
      </c>
      <c r="E37" s="244">
        <f t="shared" si="30"/>
        <v>143</v>
      </c>
      <c r="F37" s="244">
        <f t="shared" si="30"/>
        <v>142</v>
      </c>
      <c r="G37" s="244">
        <f t="shared" si="30"/>
        <v>141</v>
      </c>
      <c r="H37" s="244">
        <f t="shared" si="30"/>
        <v>140</v>
      </c>
      <c r="I37" s="244">
        <f t="shared" si="30"/>
        <v>138</v>
      </c>
      <c r="J37" s="244">
        <f t="shared" si="30"/>
        <v>137</v>
      </c>
      <c r="K37" s="244">
        <f t="shared" si="30"/>
        <v>136</v>
      </c>
      <c r="L37" s="244">
        <f t="shared" si="30"/>
        <v>135</v>
      </c>
      <c r="M37" s="244">
        <f t="shared" si="30"/>
        <v>134</v>
      </c>
      <c r="N37" s="244">
        <f t="shared" si="30"/>
        <v>132</v>
      </c>
      <c r="O37" s="244">
        <f t="shared" si="30"/>
        <v>131</v>
      </c>
      <c r="P37" s="244">
        <f t="shared" si="30"/>
        <v>130</v>
      </c>
      <c r="Q37" s="244">
        <f t="shared" si="30"/>
        <v>129</v>
      </c>
      <c r="R37" s="244">
        <f t="shared" si="30"/>
        <v>127</v>
      </c>
      <c r="S37" s="244">
        <f t="shared" si="30"/>
        <v>126</v>
      </c>
      <c r="T37" s="244">
        <f t="shared" si="30"/>
        <v>125</v>
      </c>
      <c r="U37" s="244">
        <f t="shared" si="30"/>
        <v>124</v>
      </c>
      <c r="V37" s="244">
        <f t="shared" si="30"/>
        <v>123</v>
      </c>
      <c r="W37" s="244">
        <f t="shared" si="30"/>
        <v>121</v>
      </c>
      <c r="X37" s="244">
        <f t="shared" si="30"/>
        <v>121</v>
      </c>
      <c r="Y37" s="244">
        <f t="shared" si="30"/>
        <v>121</v>
      </c>
    </row>
    <row r="38">
      <c r="A38" s="241" t="s">
        <v>155</v>
      </c>
      <c r="B38" s="244"/>
      <c r="C38" s="243">
        <f>IF($C$1="MAGIC",0,IF($C$1="RANGED",'Sheet 1'!F33,'Sheet 1'!F29))</f>
        <v>8</v>
      </c>
      <c r="D38" s="244">
        <f t="shared" ref="D38:Y38" si="31">INT(D37+$C38)</f>
        <v>153</v>
      </c>
      <c r="E38" s="244">
        <f t="shared" si="31"/>
        <v>151</v>
      </c>
      <c r="F38" s="244">
        <f t="shared" si="31"/>
        <v>150</v>
      </c>
      <c r="G38" s="244">
        <f t="shared" si="31"/>
        <v>149</v>
      </c>
      <c r="H38" s="244">
        <f t="shared" si="31"/>
        <v>148</v>
      </c>
      <c r="I38" s="244">
        <f t="shared" si="31"/>
        <v>146</v>
      </c>
      <c r="J38" s="244">
        <f t="shared" si="31"/>
        <v>145</v>
      </c>
      <c r="K38" s="244">
        <f t="shared" si="31"/>
        <v>144</v>
      </c>
      <c r="L38" s="244">
        <f t="shared" si="31"/>
        <v>143</v>
      </c>
      <c r="M38" s="244">
        <f t="shared" si="31"/>
        <v>142</v>
      </c>
      <c r="N38" s="244">
        <f t="shared" si="31"/>
        <v>140</v>
      </c>
      <c r="O38" s="244">
        <f t="shared" si="31"/>
        <v>139</v>
      </c>
      <c r="P38" s="244">
        <f t="shared" si="31"/>
        <v>138</v>
      </c>
      <c r="Q38" s="244">
        <f t="shared" si="31"/>
        <v>137</v>
      </c>
      <c r="R38" s="244">
        <f t="shared" si="31"/>
        <v>135</v>
      </c>
      <c r="S38" s="244">
        <f t="shared" si="31"/>
        <v>134</v>
      </c>
      <c r="T38" s="244">
        <f t="shared" si="31"/>
        <v>133</v>
      </c>
      <c r="U38" s="244">
        <f t="shared" si="31"/>
        <v>132</v>
      </c>
      <c r="V38" s="244">
        <f t="shared" si="31"/>
        <v>131</v>
      </c>
      <c r="W38" s="244">
        <f t="shared" si="31"/>
        <v>129</v>
      </c>
      <c r="X38" s="244">
        <f t="shared" si="31"/>
        <v>129</v>
      </c>
      <c r="Y38" s="244">
        <f t="shared" si="31"/>
        <v>129</v>
      </c>
    </row>
    <row r="39">
      <c r="A39" s="241" t="s">
        <v>156</v>
      </c>
      <c r="B39" s="244" t="b">
        <f>AND('Sheet 1'!$B$61=Items!$A$208,OR('Sheet 1'!$B$64=Items!$A$289,'Sheet 1'!$B$64=Items!$A$290),OR('Sheet 1'!$B$65=Items!$A$333,'Sheet 1'!$B$65=Items!$A$334),'Sheet 1'!$B$67=Items!$A$417)</f>
        <v>0</v>
      </c>
      <c r="C39" s="243">
        <f>1+IF(B39,IF($C$1="MAGIC",0,0.1),0) + IF(B40,0.025,0)</f>
        <v>1</v>
      </c>
      <c r="D39" s="244">
        <f t="shared" ref="D39:Y39" si="32">INT(D38*$C39)</f>
        <v>153</v>
      </c>
      <c r="E39" s="244">
        <f t="shared" si="32"/>
        <v>151</v>
      </c>
      <c r="F39" s="244">
        <f t="shared" si="32"/>
        <v>150</v>
      </c>
      <c r="G39" s="244">
        <f t="shared" si="32"/>
        <v>149</v>
      </c>
      <c r="H39" s="244">
        <f t="shared" si="32"/>
        <v>148</v>
      </c>
      <c r="I39" s="244">
        <f t="shared" si="32"/>
        <v>146</v>
      </c>
      <c r="J39" s="244">
        <f t="shared" si="32"/>
        <v>145</v>
      </c>
      <c r="K39" s="244">
        <f t="shared" si="32"/>
        <v>144</v>
      </c>
      <c r="L39" s="244">
        <f t="shared" si="32"/>
        <v>143</v>
      </c>
      <c r="M39" s="244">
        <f t="shared" si="32"/>
        <v>142</v>
      </c>
      <c r="N39" s="244">
        <f t="shared" si="32"/>
        <v>140</v>
      </c>
      <c r="O39" s="244">
        <f t="shared" si="32"/>
        <v>139</v>
      </c>
      <c r="P39" s="244">
        <f t="shared" si="32"/>
        <v>138</v>
      </c>
      <c r="Q39" s="244">
        <f t="shared" si="32"/>
        <v>137</v>
      </c>
      <c r="R39" s="244">
        <f t="shared" si="32"/>
        <v>135</v>
      </c>
      <c r="S39" s="244">
        <f t="shared" si="32"/>
        <v>134</v>
      </c>
      <c r="T39" s="244">
        <f t="shared" si="32"/>
        <v>133</v>
      </c>
      <c r="U39" s="244">
        <f t="shared" si="32"/>
        <v>132</v>
      </c>
      <c r="V39" s="244">
        <f t="shared" si="32"/>
        <v>131</v>
      </c>
      <c r="W39" s="244">
        <f t="shared" si="32"/>
        <v>129</v>
      </c>
      <c r="X39" s="244">
        <f t="shared" si="32"/>
        <v>129</v>
      </c>
      <c r="Y39" s="244">
        <f t="shared" si="32"/>
        <v>129</v>
      </c>
    </row>
    <row r="40">
      <c r="A40" s="241" t="s">
        <v>173</v>
      </c>
      <c r="B40" s="244" t="b">
        <f>AND(C1="RANGED",B39=TRUE,'Sheet 1'!$B$64=Items!$A$290,'Sheet 1'!$B$65=Items!$A$334)</f>
        <v>0</v>
      </c>
      <c r="C40" s="243">
        <f>1+IF(B40,0,0)</f>
        <v>1</v>
      </c>
      <c r="D40" s="244">
        <f t="shared" ref="D40:Y40" si="33">INT(D39*$C40)</f>
        <v>153</v>
      </c>
      <c r="E40" s="244">
        <f t="shared" si="33"/>
        <v>151</v>
      </c>
      <c r="F40" s="244">
        <f t="shared" si="33"/>
        <v>150</v>
      </c>
      <c r="G40" s="244">
        <f t="shared" si="33"/>
        <v>149</v>
      </c>
      <c r="H40" s="244">
        <f t="shared" si="33"/>
        <v>148</v>
      </c>
      <c r="I40" s="244">
        <f t="shared" si="33"/>
        <v>146</v>
      </c>
      <c r="J40" s="244">
        <f t="shared" si="33"/>
        <v>145</v>
      </c>
      <c r="K40" s="244">
        <f t="shared" si="33"/>
        <v>144</v>
      </c>
      <c r="L40" s="244">
        <f t="shared" si="33"/>
        <v>143</v>
      </c>
      <c r="M40" s="244">
        <f t="shared" si="33"/>
        <v>142</v>
      </c>
      <c r="N40" s="244">
        <f t="shared" si="33"/>
        <v>140</v>
      </c>
      <c r="O40" s="244">
        <f t="shared" si="33"/>
        <v>139</v>
      </c>
      <c r="P40" s="244">
        <f t="shared" si="33"/>
        <v>138</v>
      </c>
      <c r="Q40" s="244">
        <f t="shared" si="33"/>
        <v>137</v>
      </c>
      <c r="R40" s="244">
        <f t="shared" si="33"/>
        <v>135</v>
      </c>
      <c r="S40" s="244">
        <f t="shared" si="33"/>
        <v>134</v>
      </c>
      <c r="T40" s="244">
        <f t="shared" si="33"/>
        <v>133</v>
      </c>
      <c r="U40" s="244">
        <f t="shared" si="33"/>
        <v>132</v>
      </c>
      <c r="V40" s="244">
        <f t="shared" si="33"/>
        <v>131</v>
      </c>
      <c r="W40" s="244">
        <f t="shared" si="33"/>
        <v>129</v>
      </c>
      <c r="X40" s="244">
        <f t="shared" si="33"/>
        <v>129</v>
      </c>
      <c r="Y40" s="244">
        <f t="shared" si="33"/>
        <v>129</v>
      </c>
    </row>
    <row r="41">
      <c r="A41" s="241" t="s">
        <v>157</v>
      </c>
      <c r="B41" s="244"/>
      <c r="C41" s="243"/>
      <c r="D41" s="244">
        <f t="shared" ref="D41:Y41" si="34">INT(D40)</f>
        <v>153</v>
      </c>
      <c r="E41" s="244">
        <f t="shared" si="34"/>
        <v>151</v>
      </c>
      <c r="F41" s="244">
        <f t="shared" si="34"/>
        <v>150</v>
      </c>
      <c r="G41" s="244">
        <f t="shared" si="34"/>
        <v>149</v>
      </c>
      <c r="H41" s="244">
        <f t="shared" si="34"/>
        <v>148</v>
      </c>
      <c r="I41" s="244">
        <f t="shared" si="34"/>
        <v>146</v>
      </c>
      <c r="J41" s="244">
        <f t="shared" si="34"/>
        <v>145</v>
      </c>
      <c r="K41" s="244">
        <f t="shared" si="34"/>
        <v>144</v>
      </c>
      <c r="L41" s="244">
        <f t="shared" si="34"/>
        <v>143</v>
      </c>
      <c r="M41" s="244">
        <f t="shared" si="34"/>
        <v>142</v>
      </c>
      <c r="N41" s="244">
        <f t="shared" si="34"/>
        <v>140</v>
      </c>
      <c r="O41" s="244">
        <f t="shared" si="34"/>
        <v>139</v>
      </c>
      <c r="P41" s="244">
        <f t="shared" si="34"/>
        <v>138</v>
      </c>
      <c r="Q41" s="244">
        <f t="shared" si="34"/>
        <v>137</v>
      </c>
      <c r="R41" s="244">
        <f t="shared" si="34"/>
        <v>135</v>
      </c>
      <c r="S41" s="244">
        <f t="shared" si="34"/>
        <v>134</v>
      </c>
      <c r="T41" s="244">
        <f t="shared" si="34"/>
        <v>133</v>
      </c>
      <c r="U41" s="244">
        <f t="shared" si="34"/>
        <v>132</v>
      </c>
      <c r="V41" s="244">
        <f t="shared" si="34"/>
        <v>131</v>
      </c>
      <c r="W41" s="244">
        <f t="shared" si="34"/>
        <v>129</v>
      </c>
      <c r="X41" s="244">
        <f t="shared" si="34"/>
        <v>129</v>
      </c>
      <c r="Y41" s="244">
        <f t="shared" si="34"/>
        <v>129</v>
      </c>
    </row>
    <row r="42">
      <c r="A42" s="241" t="s">
        <v>158</v>
      </c>
      <c r="B42" s="244"/>
      <c r="C42" s="243">
        <f>IF($C$1="RANGED",'Sheet 1'!N71,'Sheet 1'!M71)</f>
        <v>0</v>
      </c>
      <c r="D42" s="244">
        <f t="shared" ref="D42:Y42" si="35">INT(0.5+D41*(64+$C42)/640)</f>
        <v>15</v>
      </c>
      <c r="E42" s="244">
        <f t="shared" si="35"/>
        <v>15</v>
      </c>
      <c r="F42" s="244">
        <f t="shared" si="35"/>
        <v>15</v>
      </c>
      <c r="G42" s="244">
        <f t="shared" si="35"/>
        <v>15</v>
      </c>
      <c r="H42" s="244">
        <f t="shared" si="35"/>
        <v>15</v>
      </c>
      <c r="I42" s="244">
        <f t="shared" si="35"/>
        <v>15</v>
      </c>
      <c r="J42" s="244">
        <f t="shared" si="35"/>
        <v>15</v>
      </c>
      <c r="K42" s="244">
        <f t="shared" si="35"/>
        <v>14</v>
      </c>
      <c r="L42" s="244">
        <f t="shared" si="35"/>
        <v>14</v>
      </c>
      <c r="M42" s="244">
        <f t="shared" si="35"/>
        <v>14</v>
      </c>
      <c r="N42" s="244">
        <f t="shared" si="35"/>
        <v>14</v>
      </c>
      <c r="O42" s="244">
        <f t="shared" si="35"/>
        <v>14</v>
      </c>
      <c r="P42" s="244">
        <f t="shared" si="35"/>
        <v>14</v>
      </c>
      <c r="Q42" s="244">
        <f t="shared" si="35"/>
        <v>14</v>
      </c>
      <c r="R42" s="244">
        <f t="shared" si="35"/>
        <v>14</v>
      </c>
      <c r="S42" s="244">
        <f t="shared" si="35"/>
        <v>13</v>
      </c>
      <c r="T42" s="244">
        <f t="shared" si="35"/>
        <v>13</v>
      </c>
      <c r="U42" s="244">
        <f t="shared" si="35"/>
        <v>13</v>
      </c>
      <c r="V42" s="244">
        <f t="shared" si="35"/>
        <v>13</v>
      </c>
      <c r="W42" s="244">
        <f t="shared" si="35"/>
        <v>13</v>
      </c>
      <c r="X42" s="244">
        <f t="shared" si="35"/>
        <v>13</v>
      </c>
      <c r="Y42" s="244">
        <f t="shared" si="35"/>
        <v>13</v>
      </c>
    </row>
    <row r="43">
      <c r="A43" s="241"/>
      <c r="B43" s="244"/>
      <c r="C43" s="243"/>
      <c r="D43" s="244"/>
      <c r="E43" s="244"/>
      <c r="F43" s="244"/>
      <c r="G43" s="244"/>
      <c r="H43" s="244"/>
      <c r="I43" s="244"/>
      <c r="J43" s="244"/>
      <c r="K43" s="244"/>
      <c r="L43" s="244"/>
      <c r="M43" s="244"/>
      <c r="N43" s="244"/>
      <c r="O43" s="244"/>
      <c r="P43" s="244"/>
      <c r="Q43" s="244"/>
      <c r="R43" s="244"/>
      <c r="S43" s="244"/>
      <c r="T43" s="244"/>
      <c r="U43" s="244"/>
      <c r="V43" s="244"/>
      <c r="W43" s="244"/>
      <c r="X43" s="244"/>
      <c r="Y43" s="244"/>
    </row>
    <row r="44">
      <c r="A44" s="241" t="s">
        <v>174</v>
      </c>
      <c r="B44" s="244" t="b">
        <f>B1="CHOOSE SPELL"</f>
        <v>0</v>
      </c>
      <c r="C44" s="243" t="b">
        <f>IF(B44,'Sheet 1'!B59)</f>
        <v>0</v>
      </c>
      <c r="D44" s="244"/>
      <c r="E44" s="244"/>
      <c r="F44" s="244"/>
      <c r="G44" s="244"/>
      <c r="H44" s="244"/>
      <c r="I44" s="244"/>
      <c r="J44" s="244"/>
      <c r="K44" s="244"/>
      <c r="L44" s="244"/>
      <c r="M44" s="244"/>
      <c r="N44" s="244"/>
      <c r="O44" s="244"/>
      <c r="P44" s="244"/>
      <c r="Q44" s="244"/>
      <c r="R44" s="244"/>
      <c r="S44" s="244"/>
      <c r="T44" s="244"/>
      <c r="U44" s="244"/>
      <c r="V44" s="244"/>
      <c r="W44" s="244"/>
      <c r="X44" s="244"/>
      <c r="Y44" s="244"/>
    </row>
    <row r="45">
      <c r="A45" s="241" t="s">
        <v>175</v>
      </c>
      <c r="B45" s="244" t="b">
        <f>iferror(or(C45="barrage",C45="blitz",C45="burst",C45="rush"),false)</f>
        <v>0</v>
      </c>
      <c r="C45" s="243" t="str">
        <f>IFERROR(__xludf.DUMMYFUNCTION("index(split(C44,"" ""),1,2)"),"#REF!")</f>
        <v>#REF!</v>
      </c>
      <c r="D45" s="244"/>
      <c r="E45" s="244"/>
      <c r="F45" s="244"/>
      <c r="G45" s="244"/>
      <c r="H45" s="244"/>
      <c r="I45" s="244"/>
      <c r="J45" s="244"/>
      <c r="K45" s="244"/>
      <c r="L45" s="244"/>
      <c r="M45" s="244"/>
      <c r="N45" s="244"/>
      <c r="O45" s="244"/>
      <c r="P45" s="244"/>
      <c r="Q45" s="244"/>
      <c r="R45" s="244"/>
      <c r="S45" s="244"/>
      <c r="T45" s="244"/>
      <c r="U45" s="244"/>
      <c r="V45" s="244"/>
      <c r="W45" s="244"/>
      <c r="X45" s="244"/>
      <c r="Y45" s="244"/>
    </row>
    <row r="46">
      <c r="A46" s="241" t="s">
        <v>176</v>
      </c>
      <c r="B46" s="244" t="b">
        <f>C44=A46</f>
        <v>0</v>
      </c>
      <c r="C46" s="243" t="str">
        <f t="array" ref="C46">INDEX(Items!$A$1:$V$698,MATCH(C44,Items!$A$1:$A$698,0),MATCH(Items!$T$1,Items!$A$1:$V$1,0))</f>
        <v>#N/A</v>
      </c>
      <c r="D46" s="244" t="str">
        <f t="shared" ref="D46:Y46" si="36">IF($B46,INT(10+D41/10),$C46)</f>
        <v>#N/A</v>
      </c>
      <c r="E46" s="244" t="str">
        <f t="shared" si="36"/>
        <v>#N/A</v>
      </c>
      <c r="F46" s="244" t="str">
        <f t="shared" si="36"/>
        <v>#N/A</v>
      </c>
      <c r="G46" s="244" t="str">
        <f t="shared" si="36"/>
        <v>#N/A</v>
      </c>
      <c r="H46" s="244" t="str">
        <f t="shared" si="36"/>
        <v>#N/A</v>
      </c>
      <c r="I46" s="244" t="str">
        <f t="shared" si="36"/>
        <v>#N/A</v>
      </c>
      <c r="J46" s="244" t="str">
        <f t="shared" si="36"/>
        <v>#N/A</v>
      </c>
      <c r="K46" s="244" t="str">
        <f t="shared" si="36"/>
        <v>#N/A</v>
      </c>
      <c r="L46" s="244" t="str">
        <f t="shared" si="36"/>
        <v>#N/A</v>
      </c>
      <c r="M46" s="244" t="str">
        <f t="shared" si="36"/>
        <v>#N/A</v>
      </c>
      <c r="N46" s="244" t="str">
        <f t="shared" si="36"/>
        <v>#N/A</v>
      </c>
      <c r="O46" s="244" t="str">
        <f t="shared" si="36"/>
        <v>#N/A</v>
      </c>
      <c r="P46" s="244" t="str">
        <f t="shared" si="36"/>
        <v>#N/A</v>
      </c>
      <c r="Q46" s="244" t="str">
        <f t="shared" si="36"/>
        <v>#N/A</v>
      </c>
      <c r="R46" s="244" t="str">
        <f t="shared" si="36"/>
        <v>#N/A</v>
      </c>
      <c r="S46" s="244" t="str">
        <f t="shared" si="36"/>
        <v>#N/A</v>
      </c>
      <c r="T46" s="244" t="str">
        <f t="shared" si="36"/>
        <v>#N/A</v>
      </c>
      <c r="U46" s="244" t="str">
        <f t="shared" si="36"/>
        <v>#N/A</v>
      </c>
      <c r="V46" s="244" t="str">
        <f t="shared" si="36"/>
        <v>#N/A</v>
      </c>
      <c r="W46" s="244" t="str">
        <f t="shared" si="36"/>
        <v>#N/A</v>
      </c>
      <c r="X46" s="244" t="str">
        <f t="shared" si="36"/>
        <v>#N/A</v>
      </c>
      <c r="Y46" s="244" t="str">
        <f t="shared" si="36"/>
        <v>#N/A</v>
      </c>
    </row>
    <row r="47">
      <c r="A47" s="241" t="str">
        <f>Items!A94</f>
        <v>Enchanted slayer's staff</v>
      </c>
      <c r="B47" s="244" t="b">
        <f>AND('Sheet 1'!B$58=Items!A94,B46)</f>
        <v>0</v>
      </c>
      <c r="C47" s="243"/>
      <c r="D47" s="244" t="str">
        <f t="shared" ref="D47:Y47" si="37">IF($B47,INT(13+D41/6),D46)</f>
        <v>#N/A</v>
      </c>
      <c r="E47" s="244" t="str">
        <f t="shared" si="37"/>
        <v>#N/A</v>
      </c>
      <c r="F47" s="244" t="str">
        <f t="shared" si="37"/>
        <v>#N/A</v>
      </c>
      <c r="G47" s="244" t="str">
        <f t="shared" si="37"/>
        <v>#N/A</v>
      </c>
      <c r="H47" s="244" t="str">
        <f t="shared" si="37"/>
        <v>#N/A</v>
      </c>
      <c r="I47" s="244" t="str">
        <f t="shared" si="37"/>
        <v>#N/A</v>
      </c>
      <c r="J47" s="244" t="str">
        <f t="shared" si="37"/>
        <v>#N/A</v>
      </c>
      <c r="K47" s="244" t="str">
        <f t="shared" si="37"/>
        <v>#N/A</v>
      </c>
      <c r="L47" s="244" t="str">
        <f t="shared" si="37"/>
        <v>#N/A</v>
      </c>
      <c r="M47" s="244" t="str">
        <f t="shared" si="37"/>
        <v>#N/A</v>
      </c>
      <c r="N47" s="244" t="str">
        <f t="shared" si="37"/>
        <v>#N/A</v>
      </c>
      <c r="O47" s="244" t="str">
        <f t="shared" si="37"/>
        <v>#N/A</v>
      </c>
      <c r="P47" s="244" t="str">
        <f t="shared" si="37"/>
        <v>#N/A</v>
      </c>
      <c r="Q47" s="244" t="str">
        <f t="shared" si="37"/>
        <v>#N/A</v>
      </c>
      <c r="R47" s="244" t="str">
        <f t="shared" si="37"/>
        <v>#N/A</v>
      </c>
      <c r="S47" s="244" t="str">
        <f t="shared" si="37"/>
        <v>#N/A</v>
      </c>
      <c r="T47" s="244" t="str">
        <f t="shared" si="37"/>
        <v>#N/A</v>
      </c>
      <c r="U47" s="244" t="str">
        <f t="shared" si="37"/>
        <v>#N/A</v>
      </c>
      <c r="V47" s="244" t="str">
        <f t="shared" si="37"/>
        <v>#N/A</v>
      </c>
      <c r="W47" s="244" t="str">
        <f t="shared" si="37"/>
        <v>#N/A</v>
      </c>
      <c r="X47" s="244" t="str">
        <f t="shared" si="37"/>
        <v>#N/A</v>
      </c>
      <c r="Y47" s="244" t="str">
        <f t="shared" si="37"/>
        <v>#N/A</v>
      </c>
    </row>
    <row r="48">
      <c r="A48" s="241" t="str">
        <f>Items!A431</f>
        <v>Chaos gauntlets</v>
      </c>
      <c r="B48" s="244" t="b">
        <f>AND('Sheet 1'!B67=A48,OR(C44=Items!A574,C44=Items!A579,C44=Items!A584,C44=Items!A589))</f>
        <v>0</v>
      </c>
      <c r="C48" s="243">
        <f>IF(B48,3,0)</f>
        <v>0</v>
      </c>
      <c r="D48" s="244" t="str">
        <f t="shared" ref="D48:Y48" si="38">INT(D47+$C48)</f>
        <v>#N/A</v>
      </c>
      <c r="E48" s="244" t="str">
        <f t="shared" si="38"/>
        <v>#N/A</v>
      </c>
      <c r="F48" s="244" t="str">
        <f t="shared" si="38"/>
        <v>#N/A</v>
      </c>
      <c r="G48" s="244" t="str">
        <f t="shared" si="38"/>
        <v>#N/A</v>
      </c>
      <c r="H48" s="244" t="str">
        <f t="shared" si="38"/>
        <v>#N/A</v>
      </c>
      <c r="I48" s="244" t="str">
        <f t="shared" si="38"/>
        <v>#N/A</v>
      </c>
      <c r="J48" s="244" t="str">
        <f t="shared" si="38"/>
        <v>#N/A</v>
      </c>
      <c r="K48" s="244" t="str">
        <f t="shared" si="38"/>
        <v>#N/A</v>
      </c>
      <c r="L48" s="244" t="str">
        <f t="shared" si="38"/>
        <v>#N/A</v>
      </c>
      <c r="M48" s="244" t="str">
        <f t="shared" si="38"/>
        <v>#N/A</v>
      </c>
      <c r="N48" s="244" t="str">
        <f t="shared" si="38"/>
        <v>#N/A</v>
      </c>
      <c r="O48" s="244" t="str">
        <f t="shared" si="38"/>
        <v>#N/A</v>
      </c>
      <c r="P48" s="244" t="str">
        <f t="shared" si="38"/>
        <v>#N/A</v>
      </c>
      <c r="Q48" s="244" t="str">
        <f t="shared" si="38"/>
        <v>#N/A</v>
      </c>
      <c r="R48" s="244" t="str">
        <f t="shared" si="38"/>
        <v>#N/A</v>
      </c>
      <c r="S48" s="244" t="str">
        <f t="shared" si="38"/>
        <v>#N/A</v>
      </c>
      <c r="T48" s="244" t="str">
        <f t="shared" si="38"/>
        <v>#N/A</v>
      </c>
      <c r="U48" s="244" t="str">
        <f t="shared" si="38"/>
        <v>#N/A</v>
      </c>
      <c r="V48" s="244" t="str">
        <f t="shared" si="38"/>
        <v>#N/A</v>
      </c>
      <c r="W48" s="244" t="str">
        <f t="shared" si="38"/>
        <v>#N/A</v>
      </c>
      <c r="X48" s="244" t="str">
        <f t="shared" si="38"/>
        <v>#N/A</v>
      </c>
      <c r="Y48" s="244" t="str">
        <f t="shared" si="38"/>
        <v>#N/A</v>
      </c>
    </row>
    <row r="49">
      <c r="A49" s="241" t="str">
        <f>Items!A172</f>
        <v>Trident of the seas</v>
      </c>
      <c r="B49" s="244" t="b">
        <f>AND('Sheet 1'!B$58=A49,C$1="MAGIC")</f>
        <v>0</v>
      </c>
      <c r="C49" s="243"/>
      <c r="D49" s="244">
        <f t="shared" ref="D49:Y49" si="39">INT(D41/3-5)</f>
        <v>46</v>
      </c>
      <c r="E49" s="244">
        <f t="shared" si="39"/>
        <v>45</v>
      </c>
      <c r="F49" s="244">
        <f t="shared" si="39"/>
        <v>45</v>
      </c>
      <c r="G49" s="244">
        <f t="shared" si="39"/>
        <v>44</v>
      </c>
      <c r="H49" s="244">
        <f t="shared" si="39"/>
        <v>44</v>
      </c>
      <c r="I49" s="244">
        <f t="shared" si="39"/>
        <v>43</v>
      </c>
      <c r="J49" s="244">
        <f t="shared" si="39"/>
        <v>43</v>
      </c>
      <c r="K49" s="244">
        <f t="shared" si="39"/>
        <v>43</v>
      </c>
      <c r="L49" s="244">
        <f t="shared" si="39"/>
        <v>42</v>
      </c>
      <c r="M49" s="244">
        <f t="shared" si="39"/>
        <v>42</v>
      </c>
      <c r="N49" s="244">
        <f t="shared" si="39"/>
        <v>41</v>
      </c>
      <c r="O49" s="244">
        <f t="shared" si="39"/>
        <v>41</v>
      </c>
      <c r="P49" s="244">
        <f t="shared" si="39"/>
        <v>41</v>
      </c>
      <c r="Q49" s="244">
        <f t="shared" si="39"/>
        <v>40</v>
      </c>
      <c r="R49" s="244">
        <f t="shared" si="39"/>
        <v>40</v>
      </c>
      <c r="S49" s="244">
        <f t="shared" si="39"/>
        <v>39</v>
      </c>
      <c r="T49" s="244">
        <f t="shared" si="39"/>
        <v>39</v>
      </c>
      <c r="U49" s="244">
        <f t="shared" si="39"/>
        <v>39</v>
      </c>
      <c r="V49" s="244">
        <f t="shared" si="39"/>
        <v>38</v>
      </c>
      <c r="W49" s="244">
        <f t="shared" si="39"/>
        <v>38</v>
      </c>
      <c r="X49" s="244">
        <f t="shared" si="39"/>
        <v>38</v>
      </c>
      <c r="Y49" s="244">
        <f t="shared" si="39"/>
        <v>38</v>
      </c>
    </row>
    <row r="50">
      <c r="A50" s="241" t="str">
        <f>Items!A173</f>
        <v>Trident of the swamp</v>
      </c>
      <c r="B50" s="244" t="b">
        <f>AND('Sheet 1'!B$58=A50,C$1="MAGIC")</f>
        <v>0</v>
      </c>
      <c r="C50" s="243"/>
      <c r="D50" s="244">
        <f t="shared" ref="D50:Y50" si="40">INT(D41/3-2)</f>
        <v>49</v>
      </c>
      <c r="E50" s="244">
        <f t="shared" si="40"/>
        <v>48</v>
      </c>
      <c r="F50" s="244">
        <f t="shared" si="40"/>
        <v>48</v>
      </c>
      <c r="G50" s="244">
        <f t="shared" si="40"/>
        <v>47</v>
      </c>
      <c r="H50" s="244">
        <f t="shared" si="40"/>
        <v>47</v>
      </c>
      <c r="I50" s="244">
        <f t="shared" si="40"/>
        <v>46</v>
      </c>
      <c r="J50" s="244">
        <f t="shared" si="40"/>
        <v>46</v>
      </c>
      <c r="K50" s="244">
        <f t="shared" si="40"/>
        <v>46</v>
      </c>
      <c r="L50" s="244">
        <f t="shared" si="40"/>
        <v>45</v>
      </c>
      <c r="M50" s="244">
        <f t="shared" si="40"/>
        <v>45</v>
      </c>
      <c r="N50" s="244">
        <f t="shared" si="40"/>
        <v>44</v>
      </c>
      <c r="O50" s="244">
        <f t="shared" si="40"/>
        <v>44</v>
      </c>
      <c r="P50" s="244">
        <f t="shared" si="40"/>
        <v>44</v>
      </c>
      <c r="Q50" s="244">
        <f t="shared" si="40"/>
        <v>43</v>
      </c>
      <c r="R50" s="244">
        <f t="shared" si="40"/>
        <v>43</v>
      </c>
      <c r="S50" s="244">
        <f t="shared" si="40"/>
        <v>42</v>
      </c>
      <c r="T50" s="244">
        <f t="shared" si="40"/>
        <v>42</v>
      </c>
      <c r="U50" s="244">
        <f t="shared" si="40"/>
        <v>42</v>
      </c>
      <c r="V50" s="244">
        <f t="shared" si="40"/>
        <v>41</v>
      </c>
      <c r="W50" s="244">
        <f t="shared" si="40"/>
        <v>41</v>
      </c>
      <c r="X50" s="244">
        <f t="shared" si="40"/>
        <v>41</v>
      </c>
      <c r="Y50" s="244">
        <f t="shared" si="40"/>
        <v>41</v>
      </c>
    </row>
    <row r="51">
      <c r="A51" s="241" t="str">
        <f>Items!A171</f>
        <v>Sanguinesti staff</v>
      </c>
      <c r="B51" s="244" t="b">
        <f>AND('Sheet 1'!B$58=A51,C$1="MAGIC")</f>
        <v>0</v>
      </c>
      <c r="C51" s="243"/>
      <c r="D51" s="244">
        <f t="shared" ref="D51:Y51" si="41">INT(D41/3-1)</f>
        <v>50</v>
      </c>
      <c r="E51" s="244">
        <f t="shared" si="41"/>
        <v>49</v>
      </c>
      <c r="F51" s="244">
        <f t="shared" si="41"/>
        <v>49</v>
      </c>
      <c r="G51" s="244">
        <f t="shared" si="41"/>
        <v>48</v>
      </c>
      <c r="H51" s="244">
        <f t="shared" si="41"/>
        <v>48</v>
      </c>
      <c r="I51" s="244">
        <f t="shared" si="41"/>
        <v>47</v>
      </c>
      <c r="J51" s="244">
        <f t="shared" si="41"/>
        <v>47</v>
      </c>
      <c r="K51" s="244">
        <f t="shared" si="41"/>
        <v>47</v>
      </c>
      <c r="L51" s="244">
        <f t="shared" si="41"/>
        <v>46</v>
      </c>
      <c r="M51" s="244">
        <f t="shared" si="41"/>
        <v>46</v>
      </c>
      <c r="N51" s="244">
        <f t="shared" si="41"/>
        <v>45</v>
      </c>
      <c r="O51" s="244">
        <f t="shared" si="41"/>
        <v>45</v>
      </c>
      <c r="P51" s="244">
        <f t="shared" si="41"/>
        <v>45</v>
      </c>
      <c r="Q51" s="244">
        <f t="shared" si="41"/>
        <v>44</v>
      </c>
      <c r="R51" s="244">
        <f t="shared" si="41"/>
        <v>44</v>
      </c>
      <c r="S51" s="244">
        <f t="shared" si="41"/>
        <v>43</v>
      </c>
      <c r="T51" s="244">
        <f t="shared" si="41"/>
        <v>43</v>
      </c>
      <c r="U51" s="244">
        <f t="shared" si="41"/>
        <v>43</v>
      </c>
      <c r="V51" s="244">
        <f t="shared" si="41"/>
        <v>42</v>
      </c>
      <c r="W51" s="244">
        <f t="shared" si="41"/>
        <v>42</v>
      </c>
      <c r="X51" s="244">
        <f t="shared" si="41"/>
        <v>42</v>
      </c>
      <c r="Y51" s="244">
        <f t="shared" si="41"/>
        <v>42</v>
      </c>
    </row>
    <row r="52">
      <c r="A52" s="241" t="s">
        <v>177</v>
      </c>
      <c r="B52" s="244" t="b">
        <f>or('Sheet 1'!B58=Items!A158,'Sheet 1'!B58=Items!A159,'Sheet 1'!B58=Items!A160)</f>
        <v>0</v>
      </c>
      <c r="C52" s="243" t="str">
        <f>IFERROR(__xludf.DUMMYFUNCTION("substitute(index(split('Sheet 1'!B38,""(""),2),"")"",)"),"#REF!")</f>
        <v>#REF!</v>
      </c>
      <c r="D52" s="244" t="str">
        <f t="shared" ref="D52:Y52" si="42">INT(D41/3+if($C$52="perfected",6,if($C$52="attuned",-9,if($C$52="basic",-15,))))</f>
        <v>#REF!</v>
      </c>
      <c r="E52" s="244" t="str">
        <f t="shared" si="42"/>
        <v>#REF!</v>
      </c>
      <c r="F52" s="244" t="str">
        <f t="shared" si="42"/>
        <v>#REF!</v>
      </c>
      <c r="G52" s="244" t="str">
        <f t="shared" si="42"/>
        <v>#REF!</v>
      </c>
      <c r="H52" s="244" t="str">
        <f t="shared" si="42"/>
        <v>#REF!</v>
      </c>
      <c r="I52" s="244" t="str">
        <f t="shared" si="42"/>
        <v>#REF!</v>
      </c>
      <c r="J52" s="244" t="str">
        <f t="shared" si="42"/>
        <v>#REF!</v>
      </c>
      <c r="K52" s="244" t="str">
        <f t="shared" si="42"/>
        <v>#REF!</v>
      </c>
      <c r="L52" s="244" t="str">
        <f t="shared" si="42"/>
        <v>#REF!</v>
      </c>
      <c r="M52" s="244" t="str">
        <f t="shared" si="42"/>
        <v>#REF!</v>
      </c>
      <c r="N52" s="244" t="str">
        <f t="shared" si="42"/>
        <v>#REF!</v>
      </c>
      <c r="O52" s="244" t="str">
        <f t="shared" si="42"/>
        <v>#REF!</v>
      </c>
      <c r="P52" s="244" t="str">
        <f t="shared" si="42"/>
        <v>#REF!</v>
      </c>
      <c r="Q52" s="244" t="str">
        <f t="shared" si="42"/>
        <v>#REF!</v>
      </c>
      <c r="R52" s="244" t="str">
        <f t="shared" si="42"/>
        <v>#REF!</v>
      </c>
      <c r="S52" s="244" t="str">
        <f t="shared" si="42"/>
        <v>#REF!</v>
      </c>
      <c r="T52" s="244" t="str">
        <f t="shared" si="42"/>
        <v>#REF!</v>
      </c>
      <c r="U52" s="244" t="str">
        <f t="shared" si="42"/>
        <v>#REF!</v>
      </c>
      <c r="V52" s="244" t="str">
        <f t="shared" si="42"/>
        <v>#REF!</v>
      </c>
      <c r="W52" s="244" t="str">
        <f t="shared" si="42"/>
        <v>#REF!</v>
      </c>
      <c r="X52" s="244" t="str">
        <f t="shared" si="42"/>
        <v>#REF!</v>
      </c>
      <c r="Y52" s="244" t="str">
        <f t="shared" si="42"/>
        <v>#REF!</v>
      </c>
    </row>
    <row r="53">
      <c r="A53" s="211" t="s">
        <v>178</v>
      </c>
      <c r="B53" s="244" t="b">
        <f>'Sheet 1'!B58=Items!A161</f>
        <v>0</v>
      </c>
      <c r="C53" s="243"/>
      <c r="D53" s="244">
        <f t="shared" ref="D53:Y53" si="43">int(int(D41*$C$60)/6-1)</f>
        <v>24</v>
      </c>
      <c r="E53" s="244">
        <f t="shared" si="43"/>
        <v>24</v>
      </c>
      <c r="F53" s="244">
        <f t="shared" si="43"/>
        <v>24</v>
      </c>
      <c r="G53" s="244">
        <f t="shared" si="43"/>
        <v>23</v>
      </c>
      <c r="H53" s="244">
        <f t="shared" si="43"/>
        <v>23</v>
      </c>
      <c r="I53" s="244">
        <f t="shared" si="43"/>
        <v>23</v>
      </c>
      <c r="J53" s="244">
        <f t="shared" si="43"/>
        <v>23</v>
      </c>
      <c r="K53" s="244">
        <f t="shared" si="43"/>
        <v>23</v>
      </c>
      <c r="L53" s="244">
        <f t="shared" si="43"/>
        <v>22</v>
      </c>
      <c r="M53" s="244">
        <f t="shared" si="43"/>
        <v>22</v>
      </c>
      <c r="N53" s="244">
        <f t="shared" si="43"/>
        <v>22</v>
      </c>
      <c r="O53" s="244">
        <f t="shared" si="43"/>
        <v>22</v>
      </c>
      <c r="P53" s="244">
        <f t="shared" si="43"/>
        <v>22</v>
      </c>
      <c r="Q53" s="244">
        <f t="shared" si="43"/>
        <v>21</v>
      </c>
      <c r="R53" s="244">
        <f t="shared" si="43"/>
        <v>21</v>
      </c>
      <c r="S53" s="244">
        <f t="shared" si="43"/>
        <v>21</v>
      </c>
      <c r="T53" s="244">
        <f t="shared" si="43"/>
        <v>21</v>
      </c>
      <c r="U53" s="244">
        <f t="shared" si="43"/>
        <v>21</v>
      </c>
      <c r="V53" s="244">
        <f t="shared" si="43"/>
        <v>20</v>
      </c>
      <c r="W53" s="244">
        <f t="shared" si="43"/>
        <v>20</v>
      </c>
      <c r="X53" s="244">
        <f t="shared" si="43"/>
        <v>20</v>
      </c>
      <c r="Y53" s="244">
        <f t="shared" si="43"/>
        <v>20</v>
      </c>
    </row>
    <row r="54">
      <c r="A54" s="241" t="str">
        <f>Items!A157</f>
        <v>Black salamander</v>
      </c>
      <c r="B54" s="244" t="b">
        <f>AND('Sheet 1'!B$58=A54,C$1="MAGIC")</f>
        <v>0</v>
      </c>
      <c r="C54" s="243"/>
      <c r="D54" s="244">
        <f t="shared" ref="D54:Y54" si="44">INT(0.5+D41*(64+92)/640)</f>
        <v>37</v>
      </c>
      <c r="E54" s="244">
        <f t="shared" si="44"/>
        <v>37</v>
      </c>
      <c r="F54" s="244">
        <f t="shared" si="44"/>
        <v>37</v>
      </c>
      <c r="G54" s="244">
        <f t="shared" si="44"/>
        <v>36</v>
      </c>
      <c r="H54" s="244">
        <f t="shared" si="44"/>
        <v>36</v>
      </c>
      <c r="I54" s="244">
        <f t="shared" si="44"/>
        <v>36</v>
      </c>
      <c r="J54" s="244">
        <f t="shared" si="44"/>
        <v>35</v>
      </c>
      <c r="K54" s="244">
        <f t="shared" si="44"/>
        <v>35</v>
      </c>
      <c r="L54" s="244">
        <f t="shared" si="44"/>
        <v>35</v>
      </c>
      <c r="M54" s="244">
        <f t="shared" si="44"/>
        <v>35</v>
      </c>
      <c r="N54" s="244">
        <f t="shared" si="44"/>
        <v>34</v>
      </c>
      <c r="O54" s="244">
        <f t="shared" si="44"/>
        <v>34</v>
      </c>
      <c r="P54" s="244">
        <f t="shared" si="44"/>
        <v>34</v>
      </c>
      <c r="Q54" s="244">
        <f t="shared" si="44"/>
        <v>33</v>
      </c>
      <c r="R54" s="244">
        <f t="shared" si="44"/>
        <v>33</v>
      </c>
      <c r="S54" s="244">
        <f t="shared" si="44"/>
        <v>33</v>
      </c>
      <c r="T54" s="244">
        <f t="shared" si="44"/>
        <v>32</v>
      </c>
      <c r="U54" s="244">
        <f t="shared" si="44"/>
        <v>32</v>
      </c>
      <c r="V54" s="244">
        <f t="shared" si="44"/>
        <v>32</v>
      </c>
      <c r="W54" s="244">
        <f t="shared" si="44"/>
        <v>31</v>
      </c>
      <c r="X54" s="244">
        <f t="shared" si="44"/>
        <v>31</v>
      </c>
      <c r="Y54" s="244">
        <f t="shared" si="44"/>
        <v>31</v>
      </c>
    </row>
    <row r="55">
      <c r="A55" s="241" t="s">
        <v>179</v>
      </c>
      <c r="B55" s="244"/>
      <c r="C55" s="243"/>
      <c r="D55" s="244" t="b">
        <f t="shared" ref="D55:Y55" si="45">IF($B44,D48,IF($B49,D49,IF($B50,D50,IF($B51,D51,IF($B52,D52,if($B54,D54,if($B53,D53)))))))</f>
        <v>0</v>
      </c>
      <c r="E55" s="244" t="b">
        <f t="shared" si="45"/>
        <v>0</v>
      </c>
      <c r="F55" s="244" t="b">
        <f t="shared" si="45"/>
        <v>0</v>
      </c>
      <c r="G55" s="244" t="b">
        <f t="shared" si="45"/>
        <v>0</v>
      </c>
      <c r="H55" s="244" t="b">
        <f t="shared" si="45"/>
        <v>0</v>
      </c>
      <c r="I55" s="244" t="b">
        <f t="shared" si="45"/>
        <v>0</v>
      </c>
      <c r="J55" s="244" t="b">
        <f t="shared" si="45"/>
        <v>0</v>
      </c>
      <c r="K55" s="244" t="b">
        <f t="shared" si="45"/>
        <v>0</v>
      </c>
      <c r="L55" s="244" t="b">
        <f t="shared" si="45"/>
        <v>0</v>
      </c>
      <c r="M55" s="244" t="b">
        <f t="shared" si="45"/>
        <v>0</v>
      </c>
      <c r="N55" s="244" t="b">
        <f t="shared" si="45"/>
        <v>0</v>
      </c>
      <c r="O55" s="244" t="b">
        <f t="shared" si="45"/>
        <v>0</v>
      </c>
      <c r="P55" s="244" t="b">
        <f t="shared" si="45"/>
        <v>0</v>
      </c>
      <c r="Q55" s="244" t="b">
        <f t="shared" si="45"/>
        <v>0</v>
      </c>
      <c r="R55" s="244" t="b">
        <f t="shared" si="45"/>
        <v>0</v>
      </c>
      <c r="S55" s="244" t="b">
        <f t="shared" si="45"/>
        <v>0</v>
      </c>
      <c r="T55" s="244" t="b">
        <f t="shared" si="45"/>
        <v>0</v>
      </c>
      <c r="U55" s="244" t="b">
        <f t="shared" si="45"/>
        <v>0</v>
      </c>
      <c r="V55" s="244" t="b">
        <f t="shared" si="45"/>
        <v>0</v>
      </c>
      <c r="W55" s="244" t="b">
        <f t="shared" si="45"/>
        <v>0</v>
      </c>
      <c r="X55" s="244" t="b">
        <f t="shared" si="45"/>
        <v>0</v>
      </c>
      <c r="Y55" s="244" t="b">
        <f t="shared" si="45"/>
        <v>0</v>
      </c>
    </row>
    <row r="56">
      <c r="A56" s="241" t="s">
        <v>252</v>
      </c>
      <c r="B56" s="244" t="b">
        <f>B9</f>
        <v>0</v>
      </c>
      <c r="C56" s="243">
        <f>IF(B56,0.1,0)</f>
        <v>0</v>
      </c>
      <c r="D56" s="244"/>
      <c r="E56" s="244"/>
      <c r="F56" s="244"/>
      <c r="G56" s="244"/>
      <c r="H56" s="244"/>
      <c r="I56" s="244"/>
      <c r="J56" s="244"/>
      <c r="K56" s="244"/>
      <c r="L56" s="244"/>
      <c r="M56" s="244"/>
      <c r="N56" s="244"/>
      <c r="O56" s="244"/>
      <c r="P56" s="244"/>
      <c r="Q56" s="244"/>
      <c r="R56" s="244"/>
      <c r="S56" s="244"/>
      <c r="T56" s="244"/>
      <c r="U56" s="244"/>
      <c r="V56" s="244"/>
      <c r="W56" s="244"/>
      <c r="X56" s="244"/>
      <c r="Y56" s="244"/>
    </row>
    <row r="57">
      <c r="A57" s="241" t="s">
        <v>180</v>
      </c>
      <c r="B57" s="249" t="b">
        <f>AND(OR('Sheet 1'!$D$75="VORKATH",'Sheet 1'!$D$75="UNDEAD"),OR('Sheet 1'!B63=Items!A273,'Sheet 1'!B63=Items!A274))</f>
        <v>0</v>
      </c>
      <c r="C57" s="243" t="b">
        <f>IF(B57,IF('Sheet 1'!B63=Items!A273,0.15,IF('Sheet 1'!B63=Items!A274,0.2)))</f>
        <v>0</v>
      </c>
      <c r="D57" s="244"/>
      <c r="E57" s="244"/>
      <c r="F57" s="244"/>
      <c r="G57" s="244"/>
      <c r="H57" s="244"/>
      <c r="I57" s="244"/>
      <c r="J57" s="244"/>
      <c r="K57" s="244"/>
      <c r="L57" s="244"/>
      <c r="M57" s="244"/>
      <c r="N57" s="244"/>
      <c r="O57" s="244"/>
      <c r="P57" s="244"/>
      <c r="Q57" s="244"/>
      <c r="R57" s="244"/>
      <c r="S57" s="244"/>
      <c r="T57" s="244"/>
      <c r="U57" s="244"/>
      <c r="V57" s="244"/>
      <c r="W57" s="244"/>
      <c r="X57" s="244"/>
      <c r="Y57" s="244"/>
    </row>
    <row r="58">
      <c r="A58" s="241" t="str">
        <f>Items!A170</f>
        <v>Thammaron's sceptre</v>
      </c>
      <c r="B58" s="249" t="b">
        <f>AND('Sheet 1'!B58=A58,Input!AC12)</f>
        <v>0</v>
      </c>
      <c r="C58" s="243">
        <f>IF(B58,0.25,0)</f>
        <v>0</v>
      </c>
      <c r="D58" s="244"/>
      <c r="E58" s="244"/>
      <c r="F58" s="244"/>
      <c r="G58" s="244"/>
      <c r="H58" s="244"/>
      <c r="I58" s="244"/>
      <c r="J58" s="244"/>
      <c r="K58" s="244"/>
      <c r="L58" s="244"/>
      <c r="M58" s="244"/>
      <c r="N58" s="244"/>
      <c r="O58" s="244"/>
      <c r="P58" s="244"/>
      <c r="Q58" s="244"/>
      <c r="R58" s="244"/>
      <c r="S58" s="244"/>
      <c r="T58" s="244"/>
      <c r="U58" s="244"/>
      <c r="V58" s="244"/>
      <c r="W58" s="244"/>
      <c r="X58" s="244"/>
      <c r="Y58" s="244"/>
    </row>
    <row r="59">
      <c r="A59" s="241" t="s">
        <v>181</v>
      </c>
      <c r="B59" s="249" t="b">
        <f>AND(C1="MAGIC",B39=TRUE,'Sheet 1'!$B$64=Items!$A$290,'Sheet 1'!$B$65=Items!$A$334)</f>
        <v>0</v>
      </c>
      <c r="C59" s="243">
        <f>IF(B59,0.025,0)</f>
        <v>0</v>
      </c>
      <c r="D59" s="244"/>
      <c r="E59" s="244"/>
      <c r="F59" s="244"/>
      <c r="G59" s="244"/>
      <c r="H59" s="244"/>
      <c r="I59" s="244"/>
      <c r="J59" s="244"/>
      <c r="K59" s="244"/>
      <c r="L59" s="244"/>
      <c r="M59" s="244"/>
      <c r="N59" s="244"/>
      <c r="O59" s="244"/>
      <c r="P59" s="244"/>
      <c r="Q59" s="244"/>
      <c r="R59" s="244"/>
      <c r="S59" s="244"/>
      <c r="T59" s="244"/>
      <c r="U59" s="244"/>
      <c r="V59" s="244"/>
      <c r="W59" s="244"/>
      <c r="X59" s="244"/>
      <c r="Y59" s="244"/>
    </row>
    <row r="60">
      <c r="A60" s="241" t="str">
        <f>Items!N1</f>
        <v>Magic damage</v>
      </c>
      <c r="B60" s="244" t="b">
        <f>if(B53,false,true)</f>
        <v>1</v>
      </c>
      <c r="C60" s="243">
        <f>1+'Sheet 1'!O71+C56+C57+C58+C59</f>
        <v>1</v>
      </c>
      <c r="D60" s="244">
        <f t="shared" ref="D60:Y60" si="46">INT(D55*if($B60,$C60,1))</f>
        <v>0</v>
      </c>
      <c r="E60" s="244">
        <f t="shared" si="46"/>
        <v>0</v>
      </c>
      <c r="F60" s="244">
        <f t="shared" si="46"/>
        <v>0</v>
      </c>
      <c r="G60" s="244">
        <f t="shared" si="46"/>
        <v>0</v>
      </c>
      <c r="H60" s="244">
        <f t="shared" si="46"/>
        <v>0</v>
      </c>
      <c r="I60" s="244">
        <f t="shared" si="46"/>
        <v>0</v>
      </c>
      <c r="J60" s="244">
        <f t="shared" si="46"/>
        <v>0</v>
      </c>
      <c r="K60" s="244">
        <f t="shared" si="46"/>
        <v>0</v>
      </c>
      <c r="L60" s="244">
        <f t="shared" si="46"/>
        <v>0</v>
      </c>
      <c r="M60" s="244">
        <f t="shared" si="46"/>
        <v>0</v>
      </c>
      <c r="N60" s="244">
        <f t="shared" si="46"/>
        <v>0</v>
      </c>
      <c r="O60" s="244">
        <f t="shared" si="46"/>
        <v>0</v>
      </c>
      <c r="P60" s="244">
        <f t="shared" si="46"/>
        <v>0</v>
      </c>
      <c r="Q60" s="244">
        <f t="shared" si="46"/>
        <v>0</v>
      </c>
      <c r="R60" s="244">
        <f t="shared" si="46"/>
        <v>0</v>
      </c>
      <c r="S60" s="244">
        <f t="shared" si="46"/>
        <v>0</v>
      </c>
      <c r="T60" s="244">
        <f t="shared" si="46"/>
        <v>0</v>
      </c>
      <c r="U60" s="244">
        <f t="shared" si="46"/>
        <v>0</v>
      </c>
      <c r="V60" s="244">
        <f t="shared" si="46"/>
        <v>0</v>
      </c>
      <c r="W60" s="244">
        <f t="shared" si="46"/>
        <v>0</v>
      </c>
      <c r="X60" s="244">
        <f t="shared" si="46"/>
        <v>0</v>
      </c>
      <c r="Y60" s="244">
        <f t="shared" si="46"/>
        <v>0</v>
      </c>
    </row>
    <row r="61">
      <c r="A61" s="241" t="s">
        <v>182</v>
      </c>
      <c r="B61" s="241" t="b">
        <f>AND('Sheet 1'!E98,'Sheet 1'!B61=Items!A204,B57=FALSE)</f>
        <v>0</v>
      </c>
      <c r="C61" s="243">
        <f>1+IF(B61,0.15,0)</f>
        <v>1</v>
      </c>
      <c r="D61" s="244">
        <f t="shared" ref="D61:Y61" si="47">INT(D60*$C61)</f>
        <v>0</v>
      </c>
      <c r="E61" s="244">
        <f t="shared" si="47"/>
        <v>0</v>
      </c>
      <c r="F61" s="244">
        <f t="shared" si="47"/>
        <v>0</v>
      </c>
      <c r="G61" s="244">
        <f t="shared" si="47"/>
        <v>0</v>
      </c>
      <c r="H61" s="244">
        <f t="shared" si="47"/>
        <v>0</v>
      </c>
      <c r="I61" s="244">
        <f t="shared" si="47"/>
        <v>0</v>
      </c>
      <c r="J61" s="244">
        <f t="shared" si="47"/>
        <v>0</v>
      </c>
      <c r="K61" s="244">
        <f t="shared" si="47"/>
        <v>0</v>
      </c>
      <c r="L61" s="244">
        <f t="shared" si="47"/>
        <v>0</v>
      </c>
      <c r="M61" s="244">
        <f t="shared" si="47"/>
        <v>0</v>
      </c>
      <c r="N61" s="244">
        <f t="shared" si="47"/>
        <v>0</v>
      </c>
      <c r="O61" s="244">
        <f t="shared" si="47"/>
        <v>0</v>
      </c>
      <c r="P61" s="244">
        <f t="shared" si="47"/>
        <v>0</v>
      </c>
      <c r="Q61" s="244">
        <f t="shared" si="47"/>
        <v>0</v>
      </c>
      <c r="R61" s="244">
        <f t="shared" si="47"/>
        <v>0</v>
      </c>
      <c r="S61" s="244">
        <f t="shared" si="47"/>
        <v>0</v>
      </c>
      <c r="T61" s="244">
        <f t="shared" si="47"/>
        <v>0</v>
      </c>
      <c r="U61" s="244">
        <f t="shared" si="47"/>
        <v>0</v>
      </c>
      <c r="V61" s="244">
        <f t="shared" si="47"/>
        <v>0</v>
      </c>
      <c r="W61" s="244">
        <f t="shared" si="47"/>
        <v>0</v>
      </c>
      <c r="X61" s="244">
        <f t="shared" si="47"/>
        <v>0</v>
      </c>
      <c r="Y61" s="244">
        <f t="shared" si="47"/>
        <v>0</v>
      </c>
    </row>
    <row r="62">
      <c r="A62" s="241" t="str">
        <f>Items!A407</f>
        <v>Tome of fire</v>
      </c>
      <c r="B62" s="244" t="b">
        <f>AND('Sheet 1'!B66=A62,OR(C44=Items!A588,C44=Items!A589,C44=Items!A590,C44=Items!A591,C44=Items!A592))</f>
        <v>0</v>
      </c>
      <c r="C62" s="243">
        <f>1+IF(B62,0.5,0)</f>
        <v>1</v>
      </c>
      <c r="D62" s="244">
        <f t="shared" ref="D62:Y62" si="48">INT(D61*$C62)</f>
        <v>0</v>
      </c>
      <c r="E62" s="244">
        <f t="shared" si="48"/>
        <v>0</v>
      </c>
      <c r="F62" s="244">
        <f t="shared" si="48"/>
        <v>0</v>
      </c>
      <c r="G62" s="244">
        <f t="shared" si="48"/>
        <v>0</v>
      </c>
      <c r="H62" s="244">
        <f t="shared" si="48"/>
        <v>0</v>
      </c>
      <c r="I62" s="244">
        <f t="shared" si="48"/>
        <v>0</v>
      </c>
      <c r="J62" s="244">
        <f t="shared" si="48"/>
        <v>0</v>
      </c>
      <c r="K62" s="244">
        <f t="shared" si="48"/>
        <v>0</v>
      </c>
      <c r="L62" s="244">
        <f t="shared" si="48"/>
        <v>0</v>
      </c>
      <c r="M62" s="244">
        <f t="shared" si="48"/>
        <v>0</v>
      </c>
      <c r="N62" s="244">
        <f t="shared" si="48"/>
        <v>0</v>
      </c>
      <c r="O62" s="244">
        <f t="shared" si="48"/>
        <v>0</v>
      </c>
      <c r="P62" s="244">
        <f t="shared" si="48"/>
        <v>0</v>
      </c>
      <c r="Q62" s="244">
        <f t="shared" si="48"/>
        <v>0</v>
      </c>
      <c r="R62" s="244">
        <f t="shared" si="48"/>
        <v>0</v>
      </c>
      <c r="S62" s="244">
        <f t="shared" si="48"/>
        <v>0</v>
      </c>
      <c r="T62" s="244">
        <f t="shared" si="48"/>
        <v>0</v>
      </c>
      <c r="U62" s="244">
        <f t="shared" si="48"/>
        <v>0</v>
      </c>
      <c r="V62" s="244">
        <f t="shared" si="48"/>
        <v>0</v>
      </c>
      <c r="W62" s="244">
        <f t="shared" si="48"/>
        <v>0</v>
      </c>
      <c r="X62" s="244">
        <f t="shared" si="48"/>
        <v>0</v>
      </c>
      <c r="Y62" s="244">
        <f t="shared" si="48"/>
        <v>0</v>
      </c>
    </row>
    <row r="63">
      <c r="A63" s="241" t="s">
        <v>164</v>
      </c>
      <c r="B63" s="244">
        <f>if(or(Input!AG13="",Input!AG13="Off (default)"),0,Input!AG13)</f>
        <v>0</v>
      </c>
      <c r="C63" s="243">
        <f>1+B63</f>
        <v>1</v>
      </c>
      <c r="D63" s="244">
        <f t="shared" ref="D63:Y63" si="49">int(D62*$C$63)</f>
        <v>0</v>
      </c>
      <c r="E63" s="244">
        <f t="shared" si="49"/>
        <v>0</v>
      </c>
      <c r="F63" s="244">
        <f t="shared" si="49"/>
        <v>0</v>
      </c>
      <c r="G63" s="244">
        <f t="shared" si="49"/>
        <v>0</v>
      </c>
      <c r="H63" s="244">
        <f t="shared" si="49"/>
        <v>0</v>
      </c>
      <c r="I63" s="244">
        <f t="shared" si="49"/>
        <v>0</v>
      </c>
      <c r="J63" s="244">
        <f t="shared" si="49"/>
        <v>0</v>
      </c>
      <c r="K63" s="244">
        <f t="shared" si="49"/>
        <v>0</v>
      </c>
      <c r="L63" s="244">
        <f t="shared" si="49"/>
        <v>0</v>
      </c>
      <c r="M63" s="244">
        <f t="shared" si="49"/>
        <v>0</v>
      </c>
      <c r="N63" s="244">
        <f t="shared" si="49"/>
        <v>0</v>
      </c>
      <c r="O63" s="244">
        <f t="shared" si="49"/>
        <v>0</v>
      </c>
      <c r="P63" s="244">
        <f t="shared" si="49"/>
        <v>0</v>
      </c>
      <c r="Q63" s="244">
        <f t="shared" si="49"/>
        <v>0</v>
      </c>
      <c r="R63" s="244">
        <f t="shared" si="49"/>
        <v>0</v>
      </c>
      <c r="S63" s="244">
        <f t="shared" si="49"/>
        <v>0</v>
      </c>
      <c r="T63" s="244">
        <f t="shared" si="49"/>
        <v>0</v>
      </c>
      <c r="U63" s="244">
        <f t="shared" si="49"/>
        <v>0</v>
      </c>
      <c r="V63" s="244">
        <f t="shared" si="49"/>
        <v>0</v>
      </c>
      <c r="W63" s="244">
        <f t="shared" si="49"/>
        <v>0</v>
      </c>
      <c r="X63" s="244">
        <f t="shared" si="49"/>
        <v>0</v>
      </c>
      <c r="Y63" s="244">
        <f t="shared" si="49"/>
        <v>0</v>
      </c>
    </row>
    <row r="64">
      <c r="A64" s="211" t="s">
        <v>183</v>
      </c>
      <c r="B64" s="244" t="b">
        <f>and('Sheet 1'!$B$75='NPC stats'!A525,C1="magic")</f>
        <v>0</v>
      </c>
      <c r="C64" s="243">
        <f>if(B64,2,1)</f>
        <v>1</v>
      </c>
      <c r="D64" s="244">
        <f t="shared" ref="D64:Y64" si="50">D63*$C$64</f>
        <v>0</v>
      </c>
      <c r="E64" s="244">
        <f t="shared" si="50"/>
        <v>0</v>
      </c>
      <c r="F64" s="244">
        <f t="shared" si="50"/>
        <v>0</v>
      </c>
      <c r="G64" s="244">
        <f t="shared" si="50"/>
        <v>0</v>
      </c>
      <c r="H64" s="244">
        <f t="shared" si="50"/>
        <v>0</v>
      </c>
      <c r="I64" s="244">
        <f t="shared" si="50"/>
        <v>0</v>
      </c>
      <c r="J64" s="244">
        <f t="shared" si="50"/>
        <v>0</v>
      </c>
      <c r="K64" s="244">
        <f t="shared" si="50"/>
        <v>0</v>
      </c>
      <c r="L64" s="244">
        <f t="shared" si="50"/>
        <v>0</v>
      </c>
      <c r="M64" s="244">
        <f t="shared" si="50"/>
        <v>0</v>
      </c>
      <c r="N64" s="244">
        <f t="shared" si="50"/>
        <v>0</v>
      </c>
      <c r="O64" s="244">
        <f t="shared" si="50"/>
        <v>0</v>
      </c>
      <c r="P64" s="244">
        <f t="shared" si="50"/>
        <v>0</v>
      </c>
      <c r="Q64" s="244">
        <f t="shared" si="50"/>
        <v>0</v>
      </c>
      <c r="R64" s="244">
        <f t="shared" si="50"/>
        <v>0</v>
      </c>
      <c r="S64" s="244">
        <f t="shared" si="50"/>
        <v>0</v>
      </c>
      <c r="T64" s="244">
        <f t="shared" si="50"/>
        <v>0</v>
      </c>
      <c r="U64" s="244">
        <f t="shared" si="50"/>
        <v>0</v>
      </c>
      <c r="V64" s="244">
        <f t="shared" si="50"/>
        <v>0</v>
      </c>
      <c r="W64" s="244">
        <f t="shared" si="50"/>
        <v>0</v>
      </c>
      <c r="X64" s="244">
        <f t="shared" si="50"/>
        <v>0</v>
      </c>
      <c r="Y64" s="244">
        <f t="shared" si="50"/>
        <v>0</v>
      </c>
    </row>
    <row r="65">
      <c r="A65" s="241" t="s">
        <v>184</v>
      </c>
      <c r="B65" s="244"/>
      <c r="C65" s="243">
        <f>C113</f>
        <v>0.5</v>
      </c>
      <c r="D65" s="244">
        <f t="shared" ref="D65:Y65" si="51">INT(D64*$C65)</f>
        <v>0</v>
      </c>
      <c r="E65" s="244">
        <f t="shared" si="51"/>
        <v>0</v>
      </c>
      <c r="F65" s="244">
        <f t="shared" si="51"/>
        <v>0</v>
      </c>
      <c r="G65" s="244">
        <f t="shared" si="51"/>
        <v>0</v>
      </c>
      <c r="H65" s="244">
        <f t="shared" si="51"/>
        <v>0</v>
      </c>
      <c r="I65" s="244">
        <f t="shared" si="51"/>
        <v>0</v>
      </c>
      <c r="J65" s="244">
        <f t="shared" si="51"/>
        <v>0</v>
      </c>
      <c r="K65" s="244">
        <f t="shared" si="51"/>
        <v>0</v>
      </c>
      <c r="L65" s="244">
        <f t="shared" si="51"/>
        <v>0</v>
      </c>
      <c r="M65" s="244">
        <f t="shared" si="51"/>
        <v>0</v>
      </c>
      <c r="N65" s="244">
        <f t="shared" si="51"/>
        <v>0</v>
      </c>
      <c r="O65" s="244">
        <f t="shared" si="51"/>
        <v>0</v>
      </c>
      <c r="P65" s="244">
        <f t="shared" si="51"/>
        <v>0</v>
      </c>
      <c r="Q65" s="244">
        <f t="shared" si="51"/>
        <v>0</v>
      </c>
      <c r="R65" s="244">
        <f t="shared" si="51"/>
        <v>0</v>
      </c>
      <c r="S65" s="244">
        <f t="shared" si="51"/>
        <v>0</v>
      </c>
      <c r="T65" s="244">
        <f t="shared" si="51"/>
        <v>0</v>
      </c>
      <c r="U65" s="244">
        <f t="shared" si="51"/>
        <v>0</v>
      </c>
      <c r="V65" s="244">
        <f t="shared" si="51"/>
        <v>0</v>
      </c>
      <c r="W65" s="244">
        <f t="shared" si="51"/>
        <v>0</v>
      </c>
      <c r="X65" s="244">
        <f t="shared" si="51"/>
        <v>0</v>
      </c>
      <c r="Y65" s="244">
        <f t="shared" si="51"/>
        <v>0</v>
      </c>
    </row>
    <row r="66">
      <c r="A66" s="241" t="s">
        <v>185</v>
      </c>
      <c r="B66" s="244" t="b">
        <f>AND(C1="MAGIC",'Sheet 1'!B58=Items!A155,'Sheet 1'!B61=Items!A227,'Sheet 1'!B63=Items!A276,'Sheet 1'!B64=Items!A319,'Sheet 1'!B65=Items!A361)</f>
        <v>0</v>
      </c>
      <c r="C66" s="243">
        <f>1+IF(B66,0.3,0)</f>
        <v>1</v>
      </c>
      <c r="D66" s="244">
        <f t="shared" ref="D66:Y66" si="52">INT(D65*$C66)</f>
        <v>0</v>
      </c>
      <c r="E66" s="244">
        <f t="shared" si="52"/>
        <v>0</v>
      </c>
      <c r="F66" s="244">
        <f t="shared" si="52"/>
        <v>0</v>
      </c>
      <c r="G66" s="244">
        <f t="shared" si="52"/>
        <v>0</v>
      </c>
      <c r="H66" s="244">
        <f t="shared" si="52"/>
        <v>0</v>
      </c>
      <c r="I66" s="244">
        <f t="shared" si="52"/>
        <v>0</v>
      </c>
      <c r="J66" s="244">
        <f t="shared" si="52"/>
        <v>0</v>
      </c>
      <c r="K66" s="244">
        <f t="shared" si="52"/>
        <v>0</v>
      </c>
      <c r="L66" s="244">
        <f t="shared" si="52"/>
        <v>0</v>
      </c>
      <c r="M66" s="244">
        <f t="shared" si="52"/>
        <v>0</v>
      </c>
      <c r="N66" s="244">
        <f t="shared" si="52"/>
        <v>0</v>
      </c>
      <c r="O66" s="244">
        <f t="shared" si="52"/>
        <v>0</v>
      </c>
      <c r="P66" s="244">
        <f t="shared" si="52"/>
        <v>0</v>
      </c>
      <c r="Q66" s="244">
        <f t="shared" si="52"/>
        <v>0</v>
      </c>
      <c r="R66" s="244">
        <f t="shared" si="52"/>
        <v>0</v>
      </c>
      <c r="S66" s="244">
        <f t="shared" si="52"/>
        <v>0</v>
      </c>
      <c r="T66" s="244">
        <f t="shared" si="52"/>
        <v>0</v>
      </c>
      <c r="U66" s="244">
        <f t="shared" si="52"/>
        <v>0</v>
      </c>
      <c r="V66" s="244">
        <f t="shared" si="52"/>
        <v>0</v>
      </c>
      <c r="W66" s="244">
        <f t="shared" si="52"/>
        <v>0</v>
      </c>
      <c r="X66" s="244">
        <f t="shared" si="52"/>
        <v>0</v>
      </c>
      <c r="Y66" s="244">
        <f t="shared" si="52"/>
        <v>0</v>
      </c>
    </row>
    <row r="67">
      <c r="A67" s="241" t="s">
        <v>186</v>
      </c>
      <c r="B67" s="250" t="b">
        <f>and('Sheet 1'!$B$58=Items!A166,C1="magic")</f>
        <v>0</v>
      </c>
      <c r="C67" s="243" t="str">
        <f>if(B67,int(44*$C$60),"")</f>
        <v/>
      </c>
      <c r="D67" s="244">
        <f t="shared" ref="D67:Y67" si="53">if($C$67="",D66,int(INT((44-int((99-min(D36,99))/2.27))*$C$61)*$C$60))</f>
        <v>0</v>
      </c>
      <c r="E67" s="244">
        <f t="shared" si="53"/>
        <v>0</v>
      </c>
      <c r="F67" s="244">
        <f t="shared" si="53"/>
        <v>0</v>
      </c>
      <c r="G67" s="244">
        <f t="shared" si="53"/>
        <v>0</v>
      </c>
      <c r="H67" s="244">
        <f t="shared" si="53"/>
        <v>0</v>
      </c>
      <c r="I67" s="244">
        <f t="shared" si="53"/>
        <v>0</v>
      </c>
      <c r="J67" s="244">
        <f t="shared" si="53"/>
        <v>0</v>
      </c>
      <c r="K67" s="244">
        <f t="shared" si="53"/>
        <v>0</v>
      </c>
      <c r="L67" s="244">
        <f t="shared" si="53"/>
        <v>0</v>
      </c>
      <c r="M67" s="244">
        <f t="shared" si="53"/>
        <v>0</v>
      </c>
      <c r="N67" s="244">
        <f t="shared" si="53"/>
        <v>0</v>
      </c>
      <c r="O67" s="244">
        <f t="shared" si="53"/>
        <v>0</v>
      </c>
      <c r="P67" s="244">
        <f t="shared" si="53"/>
        <v>0</v>
      </c>
      <c r="Q67" s="244">
        <f t="shared" si="53"/>
        <v>0</v>
      </c>
      <c r="R67" s="244">
        <f t="shared" si="53"/>
        <v>0</v>
      </c>
      <c r="S67" s="244">
        <f t="shared" si="53"/>
        <v>0</v>
      </c>
      <c r="T67" s="244">
        <f t="shared" si="53"/>
        <v>0</v>
      </c>
      <c r="U67" s="244">
        <f t="shared" si="53"/>
        <v>0</v>
      </c>
      <c r="V67" s="244">
        <f t="shared" si="53"/>
        <v>0</v>
      </c>
      <c r="W67" s="244">
        <f t="shared" si="53"/>
        <v>0</v>
      </c>
      <c r="X67" s="244">
        <f t="shared" si="53"/>
        <v>0</v>
      </c>
      <c r="Y67" s="244">
        <f t="shared" si="53"/>
        <v>0</v>
      </c>
    </row>
    <row r="68">
      <c r="A68" s="241" t="s">
        <v>187</v>
      </c>
      <c r="B68" s="244" t="b">
        <f>and('Sheet 1'!B58=Items!A168,C1="magic")</f>
        <v>0</v>
      </c>
      <c r="C68" s="243" t="str">
        <f>if(B68,int(58*$C$60),"")</f>
        <v/>
      </c>
      <c r="D68" s="244">
        <f>if($C$68="",D67,int(int(int(min(D36,99)*(7/12)+(7/6))*$C$61)*$C$60))</f>
        <v>0</v>
      </c>
      <c r="E68" s="244">
        <f t="shared" ref="E68:Y68" si="54">if($C$68="",E67,int(int(min(E36,99)*(7/12)+(7/6))*$C$60*$C$62))</f>
        <v>0</v>
      </c>
      <c r="F68" s="244">
        <f t="shared" si="54"/>
        <v>0</v>
      </c>
      <c r="G68" s="244">
        <f t="shared" si="54"/>
        <v>0</v>
      </c>
      <c r="H68" s="244">
        <f t="shared" si="54"/>
        <v>0</v>
      </c>
      <c r="I68" s="244">
        <f t="shared" si="54"/>
        <v>0</v>
      </c>
      <c r="J68" s="244">
        <f t="shared" si="54"/>
        <v>0</v>
      </c>
      <c r="K68" s="244">
        <f t="shared" si="54"/>
        <v>0</v>
      </c>
      <c r="L68" s="244">
        <f t="shared" si="54"/>
        <v>0</v>
      </c>
      <c r="M68" s="244">
        <f t="shared" si="54"/>
        <v>0</v>
      </c>
      <c r="N68" s="244">
        <f t="shared" si="54"/>
        <v>0</v>
      </c>
      <c r="O68" s="244">
        <f t="shared" si="54"/>
        <v>0</v>
      </c>
      <c r="P68" s="244">
        <f t="shared" si="54"/>
        <v>0</v>
      </c>
      <c r="Q68" s="244">
        <f t="shared" si="54"/>
        <v>0</v>
      </c>
      <c r="R68" s="244">
        <f t="shared" si="54"/>
        <v>0</v>
      </c>
      <c r="S68" s="244">
        <f t="shared" si="54"/>
        <v>0</v>
      </c>
      <c r="T68" s="244">
        <f t="shared" si="54"/>
        <v>0</v>
      </c>
      <c r="U68" s="244">
        <f t="shared" si="54"/>
        <v>0</v>
      </c>
      <c r="V68" s="244">
        <f t="shared" si="54"/>
        <v>0</v>
      </c>
      <c r="W68" s="244">
        <f t="shared" si="54"/>
        <v>0</v>
      </c>
      <c r="X68" s="244">
        <f t="shared" si="54"/>
        <v>0</v>
      </c>
      <c r="Y68" s="244">
        <f t="shared" si="54"/>
        <v>0</v>
      </c>
    </row>
    <row r="69">
      <c r="A69" s="211" t="s">
        <v>178</v>
      </c>
      <c r="B69" s="244" t="b">
        <f>and('Sheet 1'!B58=Items!A161,C1="magic")</f>
        <v>0</v>
      </c>
      <c r="C69" s="243">
        <f>if(B69,150,0)</f>
        <v>0</v>
      </c>
      <c r="D69" s="244">
        <f t="shared" ref="D69:Y69" si="55">if($B$69,$C$69,D68)</f>
        <v>0</v>
      </c>
      <c r="E69" s="244">
        <f t="shared" si="55"/>
        <v>0</v>
      </c>
      <c r="F69" s="244">
        <f t="shared" si="55"/>
        <v>0</v>
      </c>
      <c r="G69" s="244">
        <f t="shared" si="55"/>
        <v>0</v>
      </c>
      <c r="H69" s="244">
        <f t="shared" si="55"/>
        <v>0</v>
      </c>
      <c r="I69" s="244">
        <f t="shared" si="55"/>
        <v>0</v>
      </c>
      <c r="J69" s="244">
        <f t="shared" si="55"/>
        <v>0</v>
      </c>
      <c r="K69" s="244">
        <f t="shared" si="55"/>
        <v>0</v>
      </c>
      <c r="L69" s="244">
        <f t="shared" si="55"/>
        <v>0</v>
      </c>
      <c r="M69" s="244">
        <f t="shared" si="55"/>
        <v>0</v>
      </c>
      <c r="N69" s="244">
        <f t="shared" si="55"/>
        <v>0</v>
      </c>
      <c r="O69" s="244">
        <f t="shared" si="55"/>
        <v>0</v>
      </c>
      <c r="P69" s="244">
        <f t="shared" si="55"/>
        <v>0</v>
      </c>
      <c r="Q69" s="244">
        <f t="shared" si="55"/>
        <v>0</v>
      </c>
      <c r="R69" s="244">
        <f t="shared" si="55"/>
        <v>0</v>
      </c>
      <c r="S69" s="244">
        <f t="shared" si="55"/>
        <v>0</v>
      </c>
      <c r="T69" s="244">
        <f t="shared" si="55"/>
        <v>0</v>
      </c>
      <c r="U69" s="244">
        <f t="shared" si="55"/>
        <v>0</v>
      </c>
      <c r="V69" s="244">
        <f t="shared" si="55"/>
        <v>0</v>
      </c>
      <c r="W69" s="244">
        <f t="shared" si="55"/>
        <v>0</v>
      </c>
      <c r="X69" s="244">
        <f t="shared" si="55"/>
        <v>0</v>
      </c>
      <c r="Y69" s="244">
        <f t="shared" si="55"/>
        <v>0</v>
      </c>
    </row>
    <row r="70">
      <c r="A70" s="241" t="s">
        <v>188</v>
      </c>
      <c r="B70" s="244" t="b">
        <f>or(B67,B66,B68,B69)</f>
        <v>0</v>
      </c>
      <c r="C70" s="243"/>
      <c r="D70" s="244" t="str">
        <f t="shared" ref="D70:Y70" si="56">if($B$70,D69,"")</f>
        <v/>
      </c>
      <c r="E70" s="244" t="str">
        <f t="shared" si="56"/>
        <v/>
      </c>
      <c r="F70" s="244" t="str">
        <f t="shared" si="56"/>
        <v/>
      </c>
      <c r="G70" s="244" t="str">
        <f t="shared" si="56"/>
        <v/>
      </c>
      <c r="H70" s="244" t="str">
        <f t="shared" si="56"/>
        <v/>
      </c>
      <c r="I70" s="244" t="str">
        <f t="shared" si="56"/>
        <v/>
      </c>
      <c r="J70" s="244" t="str">
        <f t="shared" si="56"/>
        <v/>
      </c>
      <c r="K70" s="244" t="str">
        <f t="shared" si="56"/>
        <v/>
      </c>
      <c r="L70" s="244" t="str">
        <f t="shared" si="56"/>
        <v/>
      </c>
      <c r="M70" s="244" t="str">
        <f t="shared" si="56"/>
        <v/>
      </c>
      <c r="N70" s="244" t="str">
        <f t="shared" si="56"/>
        <v/>
      </c>
      <c r="O70" s="244" t="str">
        <f t="shared" si="56"/>
        <v/>
      </c>
      <c r="P70" s="244" t="str">
        <f t="shared" si="56"/>
        <v/>
      </c>
      <c r="Q70" s="244" t="str">
        <f t="shared" si="56"/>
        <v/>
      </c>
      <c r="R70" s="244" t="str">
        <f t="shared" si="56"/>
        <v/>
      </c>
      <c r="S70" s="244" t="str">
        <f t="shared" si="56"/>
        <v/>
      </c>
      <c r="T70" s="244" t="str">
        <f t="shared" si="56"/>
        <v/>
      </c>
      <c r="U70" s="244" t="str">
        <f t="shared" si="56"/>
        <v/>
      </c>
      <c r="V70" s="244" t="str">
        <f t="shared" si="56"/>
        <v/>
      </c>
      <c r="W70" s="244" t="str">
        <f t="shared" si="56"/>
        <v/>
      </c>
      <c r="X70" s="244" t="str">
        <f t="shared" si="56"/>
        <v/>
      </c>
      <c r="Y70" s="244" t="str">
        <f t="shared" si="56"/>
        <v/>
      </c>
    </row>
    <row r="71">
      <c r="A71" s="241"/>
      <c r="B71" s="244"/>
      <c r="C71" s="243"/>
      <c r="D71" s="244"/>
      <c r="E71" s="244"/>
      <c r="F71" s="244"/>
      <c r="G71" s="244"/>
      <c r="H71" s="244"/>
      <c r="I71" s="244"/>
      <c r="J71" s="244"/>
      <c r="K71" s="244"/>
      <c r="L71" s="244"/>
      <c r="M71" s="244"/>
      <c r="N71" s="244"/>
      <c r="O71" s="244"/>
      <c r="P71" s="244"/>
      <c r="Q71" s="244"/>
      <c r="R71" s="244"/>
      <c r="S71" s="244"/>
      <c r="T71" s="244"/>
      <c r="U71" s="244"/>
      <c r="V71" s="244"/>
      <c r="W71" s="244"/>
      <c r="X71" s="244"/>
      <c r="Y71" s="244"/>
    </row>
    <row r="72">
      <c r="A72" s="241" t="s">
        <v>189</v>
      </c>
      <c r="B72" s="241" t="b">
        <f>AND(OR('Sheet 1'!$D$75="VORKATH",'Sheet 1'!$D$75="UNDEAD"),OR('Sheet 1'!B63=Items!A273,'Sheet 1'!B63=Items!A274))</f>
        <v>0</v>
      </c>
      <c r="C72" s="243">
        <f>1+IF(B72,IF('Sheet 1'!B63=Items!A273,IF(C1="RANGED",0.15,1/6),IF('Sheet 1'!B63=Items!A274,0.2)))</f>
        <v>1</v>
      </c>
      <c r="D72" s="244">
        <f t="shared" ref="D72:Y72" si="57">INT(D42*$C72)</f>
        <v>15</v>
      </c>
      <c r="E72" s="244">
        <f t="shared" si="57"/>
        <v>15</v>
      </c>
      <c r="F72" s="244">
        <f t="shared" si="57"/>
        <v>15</v>
      </c>
      <c r="G72" s="244">
        <f t="shared" si="57"/>
        <v>15</v>
      </c>
      <c r="H72" s="244">
        <f t="shared" si="57"/>
        <v>15</v>
      </c>
      <c r="I72" s="244">
        <f t="shared" si="57"/>
        <v>15</v>
      </c>
      <c r="J72" s="244">
        <f t="shared" si="57"/>
        <v>15</v>
      </c>
      <c r="K72" s="244">
        <f t="shared" si="57"/>
        <v>14</v>
      </c>
      <c r="L72" s="244">
        <f t="shared" si="57"/>
        <v>14</v>
      </c>
      <c r="M72" s="244">
        <f t="shared" si="57"/>
        <v>14</v>
      </c>
      <c r="N72" s="244">
        <f t="shared" si="57"/>
        <v>14</v>
      </c>
      <c r="O72" s="244">
        <f t="shared" si="57"/>
        <v>14</v>
      </c>
      <c r="P72" s="244">
        <f t="shared" si="57"/>
        <v>14</v>
      </c>
      <c r="Q72" s="244">
        <f t="shared" si="57"/>
        <v>14</v>
      </c>
      <c r="R72" s="244">
        <f t="shared" si="57"/>
        <v>14</v>
      </c>
      <c r="S72" s="244">
        <f t="shared" si="57"/>
        <v>13</v>
      </c>
      <c r="T72" s="244">
        <f t="shared" si="57"/>
        <v>13</v>
      </c>
      <c r="U72" s="244">
        <f t="shared" si="57"/>
        <v>13</v>
      </c>
      <c r="V72" s="244">
        <f t="shared" si="57"/>
        <v>13</v>
      </c>
      <c r="W72" s="244">
        <f t="shared" si="57"/>
        <v>13</v>
      </c>
      <c r="X72" s="244">
        <f t="shared" si="57"/>
        <v>13</v>
      </c>
      <c r="Y72" s="244">
        <f t="shared" si="57"/>
        <v>13</v>
      </c>
    </row>
    <row r="73">
      <c r="A73" s="241" t="s">
        <v>190</v>
      </c>
      <c r="B73" s="244" t="b">
        <f>AND('Sheet 1'!E98,'Sheet 1'!B61=Items!A204,B72=FALSE)</f>
        <v>0</v>
      </c>
      <c r="C73" s="243">
        <f>1+IF(B73,IF(C1="RANGED",0.15,1/6))</f>
        <v>1</v>
      </c>
      <c r="D73" s="244">
        <f t="shared" ref="D73:Y73" si="58">INT(D72*$C73)</f>
        <v>15</v>
      </c>
      <c r="E73" s="244">
        <f t="shared" si="58"/>
        <v>15</v>
      </c>
      <c r="F73" s="244">
        <f t="shared" si="58"/>
        <v>15</v>
      </c>
      <c r="G73" s="244">
        <f t="shared" si="58"/>
        <v>15</v>
      </c>
      <c r="H73" s="244">
        <f t="shared" si="58"/>
        <v>15</v>
      </c>
      <c r="I73" s="244">
        <f t="shared" si="58"/>
        <v>15</v>
      </c>
      <c r="J73" s="244">
        <f t="shared" si="58"/>
        <v>15</v>
      </c>
      <c r="K73" s="244">
        <f t="shared" si="58"/>
        <v>14</v>
      </c>
      <c r="L73" s="244">
        <f t="shared" si="58"/>
        <v>14</v>
      </c>
      <c r="M73" s="244">
        <f t="shared" si="58"/>
        <v>14</v>
      </c>
      <c r="N73" s="244">
        <f t="shared" si="58"/>
        <v>14</v>
      </c>
      <c r="O73" s="244">
        <f t="shared" si="58"/>
        <v>14</v>
      </c>
      <c r="P73" s="244">
        <f t="shared" si="58"/>
        <v>14</v>
      </c>
      <c r="Q73" s="244">
        <f t="shared" si="58"/>
        <v>14</v>
      </c>
      <c r="R73" s="244">
        <f t="shared" si="58"/>
        <v>14</v>
      </c>
      <c r="S73" s="244">
        <f t="shared" si="58"/>
        <v>13</v>
      </c>
      <c r="T73" s="244">
        <f t="shared" si="58"/>
        <v>13</v>
      </c>
      <c r="U73" s="244">
        <f t="shared" si="58"/>
        <v>13</v>
      </c>
      <c r="V73" s="244">
        <f t="shared" si="58"/>
        <v>13</v>
      </c>
      <c r="W73" s="244">
        <f t="shared" si="58"/>
        <v>13</v>
      </c>
      <c r="X73" s="244">
        <f t="shared" si="58"/>
        <v>13</v>
      </c>
      <c r="Y73" s="244">
        <f t="shared" si="58"/>
        <v>13</v>
      </c>
    </row>
    <row r="74">
      <c r="A74" s="241" t="str">
        <f>Items!A$11</f>
        <v>Arclight</v>
      </c>
      <c r="B74" s="244" t="b">
        <f>AND(IF(B$1="CHOOSE SPELL",FALSE,IF('Sheet 1'!B$58=A74,TRUE,FALSE)),'Sheet 1'!$D$75="DEMON")</f>
        <v>0</v>
      </c>
      <c r="C74" s="243">
        <f>IF(B74,1.7,1)</f>
        <v>1</v>
      </c>
      <c r="D74" s="244">
        <f t="shared" ref="D74:Y74" si="59">INT(D73*$C74)</f>
        <v>15</v>
      </c>
      <c r="E74" s="244">
        <f t="shared" si="59"/>
        <v>15</v>
      </c>
      <c r="F74" s="244">
        <f t="shared" si="59"/>
        <v>15</v>
      </c>
      <c r="G74" s="244">
        <f t="shared" si="59"/>
        <v>15</v>
      </c>
      <c r="H74" s="244">
        <f t="shared" si="59"/>
        <v>15</v>
      </c>
      <c r="I74" s="244">
        <f t="shared" si="59"/>
        <v>15</v>
      </c>
      <c r="J74" s="244">
        <f t="shared" si="59"/>
        <v>15</v>
      </c>
      <c r="K74" s="244">
        <f t="shared" si="59"/>
        <v>14</v>
      </c>
      <c r="L74" s="244">
        <f t="shared" si="59"/>
        <v>14</v>
      </c>
      <c r="M74" s="244">
        <f t="shared" si="59"/>
        <v>14</v>
      </c>
      <c r="N74" s="244">
        <f t="shared" si="59"/>
        <v>14</v>
      </c>
      <c r="O74" s="244">
        <f t="shared" si="59"/>
        <v>14</v>
      </c>
      <c r="P74" s="244">
        <f t="shared" si="59"/>
        <v>14</v>
      </c>
      <c r="Q74" s="244">
        <f t="shared" si="59"/>
        <v>14</v>
      </c>
      <c r="R74" s="244">
        <f t="shared" si="59"/>
        <v>14</v>
      </c>
      <c r="S74" s="244">
        <f t="shared" si="59"/>
        <v>13</v>
      </c>
      <c r="T74" s="244">
        <f t="shared" si="59"/>
        <v>13</v>
      </c>
      <c r="U74" s="244">
        <f t="shared" si="59"/>
        <v>13</v>
      </c>
      <c r="V74" s="244">
        <f t="shared" si="59"/>
        <v>13</v>
      </c>
      <c r="W74" s="244">
        <f t="shared" si="59"/>
        <v>13</v>
      </c>
      <c r="X74" s="244">
        <f t="shared" si="59"/>
        <v>13</v>
      </c>
      <c r="Y74" s="244">
        <f t="shared" si="59"/>
        <v>13</v>
      </c>
    </row>
    <row r="75">
      <c r="A75" s="241" t="str">
        <f>Items!A$55</f>
        <v>Leaf-bladed battleaxe</v>
      </c>
      <c r="B75" s="244" t="b">
        <f>AND(IF(B$1="CHOOSE SPELL",FALSE,IF('Sheet 1'!B$58=A75,TRUE,FALSE)),'Sheet 1'!$D$75="KURASK")</f>
        <v>0</v>
      </c>
      <c r="C75" s="243">
        <f>IF(B75,1.175,1)</f>
        <v>1</v>
      </c>
      <c r="D75" s="244">
        <f t="shared" ref="D75:Y75" si="60">INT(D74*$C75)</f>
        <v>15</v>
      </c>
      <c r="E75" s="244">
        <f t="shared" si="60"/>
        <v>15</v>
      </c>
      <c r="F75" s="244">
        <f t="shared" si="60"/>
        <v>15</v>
      </c>
      <c r="G75" s="244">
        <f t="shared" si="60"/>
        <v>15</v>
      </c>
      <c r="H75" s="244">
        <f t="shared" si="60"/>
        <v>15</v>
      </c>
      <c r="I75" s="244">
        <f t="shared" si="60"/>
        <v>15</v>
      </c>
      <c r="J75" s="244">
        <f t="shared" si="60"/>
        <v>15</v>
      </c>
      <c r="K75" s="244">
        <f t="shared" si="60"/>
        <v>14</v>
      </c>
      <c r="L75" s="244">
        <f t="shared" si="60"/>
        <v>14</v>
      </c>
      <c r="M75" s="244">
        <f t="shared" si="60"/>
        <v>14</v>
      </c>
      <c r="N75" s="244">
        <f t="shared" si="60"/>
        <v>14</v>
      </c>
      <c r="O75" s="244">
        <f t="shared" si="60"/>
        <v>14</v>
      </c>
      <c r="P75" s="244">
        <f t="shared" si="60"/>
        <v>14</v>
      </c>
      <c r="Q75" s="244">
        <f t="shared" si="60"/>
        <v>14</v>
      </c>
      <c r="R75" s="244">
        <f t="shared" si="60"/>
        <v>14</v>
      </c>
      <c r="S75" s="244">
        <f t="shared" si="60"/>
        <v>13</v>
      </c>
      <c r="T75" s="244">
        <f t="shared" si="60"/>
        <v>13</v>
      </c>
      <c r="U75" s="244">
        <f t="shared" si="60"/>
        <v>13</v>
      </c>
      <c r="V75" s="244">
        <f t="shared" si="60"/>
        <v>13</v>
      </c>
      <c r="W75" s="244">
        <f t="shared" si="60"/>
        <v>13</v>
      </c>
      <c r="X75" s="244">
        <f t="shared" si="60"/>
        <v>13</v>
      </c>
      <c r="Y75" s="244">
        <f t="shared" si="60"/>
        <v>13</v>
      </c>
    </row>
    <row r="76">
      <c r="A76" s="241" t="str">
        <f>Items!A$126</f>
        <v>Dragon hunter crossbow</v>
      </c>
      <c r="B76" s="244" t="b">
        <f>AND(IF(B$1="CHOOSE SPELL",FALSE,IF('Sheet 1'!B$58=A76,TRUE,FALSE)),OR('Sheet 1'!$D$75="VORKATH",'Sheet 1'!$D$75="DRAGON"))</f>
        <v>0</v>
      </c>
      <c r="C76" s="243">
        <f>IF(B76,1.3,1)</f>
        <v>1</v>
      </c>
      <c r="D76" s="244">
        <f t="shared" ref="D76:Y76" si="61">INT(D75*$C76)</f>
        <v>15</v>
      </c>
      <c r="E76" s="244">
        <f t="shared" si="61"/>
        <v>15</v>
      </c>
      <c r="F76" s="244">
        <f t="shared" si="61"/>
        <v>15</v>
      </c>
      <c r="G76" s="244">
        <f t="shared" si="61"/>
        <v>15</v>
      </c>
      <c r="H76" s="244">
        <f t="shared" si="61"/>
        <v>15</v>
      </c>
      <c r="I76" s="244">
        <f t="shared" si="61"/>
        <v>15</v>
      </c>
      <c r="J76" s="244">
        <f t="shared" si="61"/>
        <v>15</v>
      </c>
      <c r="K76" s="244">
        <f t="shared" si="61"/>
        <v>14</v>
      </c>
      <c r="L76" s="244">
        <f t="shared" si="61"/>
        <v>14</v>
      </c>
      <c r="M76" s="244">
        <f t="shared" si="61"/>
        <v>14</v>
      </c>
      <c r="N76" s="244">
        <f t="shared" si="61"/>
        <v>14</v>
      </c>
      <c r="O76" s="244">
        <f t="shared" si="61"/>
        <v>14</v>
      </c>
      <c r="P76" s="244">
        <f t="shared" si="61"/>
        <v>14</v>
      </c>
      <c r="Q76" s="244">
        <f t="shared" si="61"/>
        <v>14</v>
      </c>
      <c r="R76" s="244">
        <f t="shared" si="61"/>
        <v>14</v>
      </c>
      <c r="S76" s="244">
        <f t="shared" si="61"/>
        <v>13</v>
      </c>
      <c r="T76" s="244">
        <f t="shared" si="61"/>
        <v>13</v>
      </c>
      <c r="U76" s="244">
        <f t="shared" si="61"/>
        <v>13</v>
      </c>
      <c r="V76" s="244">
        <f t="shared" si="61"/>
        <v>13</v>
      </c>
      <c r="W76" s="244">
        <f t="shared" si="61"/>
        <v>13</v>
      </c>
      <c r="X76" s="244">
        <f t="shared" si="61"/>
        <v>13</v>
      </c>
      <c r="Y76" s="244">
        <f t="shared" si="61"/>
        <v>13</v>
      </c>
    </row>
    <row r="77">
      <c r="A77" s="241" t="str">
        <f>Items!A33</f>
        <v>Dragon hunter lance</v>
      </c>
      <c r="B77" s="244" t="b">
        <f>AND(IF(B$1="CHOOSE SPELL",FALSE,IF('Sheet 1'!B$58=A77,TRUE,FALSE)),OR('Sheet 1'!$D$75="VORKATH",'Sheet 1'!$D$75="DRAGON"))</f>
        <v>0</v>
      </c>
      <c r="C77" s="243">
        <f>IF(B77,1.2,1)</f>
        <v>1</v>
      </c>
      <c r="D77" s="244">
        <f t="shared" ref="D77:Y77" si="62">INT(D76*$C77)</f>
        <v>15</v>
      </c>
      <c r="E77" s="244">
        <f t="shared" si="62"/>
        <v>15</v>
      </c>
      <c r="F77" s="244">
        <f t="shared" si="62"/>
        <v>15</v>
      </c>
      <c r="G77" s="244">
        <f t="shared" si="62"/>
        <v>15</v>
      </c>
      <c r="H77" s="244">
        <f t="shared" si="62"/>
        <v>15</v>
      </c>
      <c r="I77" s="244">
        <f t="shared" si="62"/>
        <v>15</v>
      </c>
      <c r="J77" s="244">
        <f t="shared" si="62"/>
        <v>15</v>
      </c>
      <c r="K77" s="244">
        <f t="shared" si="62"/>
        <v>14</v>
      </c>
      <c r="L77" s="244">
        <f t="shared" si="62"/>
        <v>14</v>
      </c>
      <c r="M77" s="244">
        <f t="shared" si="62"/>
        <v>14</v>
      </c>
      <c r="N77" s="244">
        <f t="shared" si="62"/>
        <v>14</v>
      </c>
      <c r="O77" s="244">
        <f t="shared" si="62"/>
        <v>14</v>
      </c>
      <c r="P77" s="244">
        <f t="shared" si="62"/>
        <v>14</v>
      </c>
      <c r="Q77" s="244">
        <f t="shared" si="62"/>
        <v>14</v>
      </c>
      <c r="R77" s="244">
        <f t="shared" si="62"/>
        <v>14</v>
      </c>
      <c r="S77" s="244">
        <f t="shared" si="62"/>
        <v>13</v>
      </c>
      <c r="T77" s="244">
        <f t="shared" si="62"/>
        <v>13</v>
      </c>
      <c r="U77" s="244">
        <f t="shared" si="62"/>
        <v>13</v>
      </c>
      <c r="V77" s="244">
        <f t="shared" si="62"/>
        <v>13</v>
      </c>
      <c r="W77" s="244">
        <f t="shared" si="62"/>
        <v>13</v>
      </c>
      <c r="X77" s="244">
        <f t="shared" si="62"/>
        <v>13</v>
      </c>
      <c r="Y77" s="244">
        <f t="shared" si="62"/>
        <v>13</v>
      </c>
    </row>
    <row r="78">
      <c r="A78" s="241" t="s">
        <v>161</v>
      </c>
      <c r="B78" s="244" t="b">
        <f>AND(Input!AC12,OR('Sheet 1'!B58=Items!A101,'Sheet 1'!B58=Items!A121))</f>
        <v>0</v>
      </c>
      <c r="C78" s="243">
        <f>IF(B78,1.5,1)</f>
        <v>1</v>
      </c>
      <c r="D78" s="244">
        <f t="shared" ref="D78:Y78" si="63">INT(D77*$C78)</f>
        <v>15</v>
      </c>
      <c r="E78" s="244">
        <f t="shared" si="63"/>
        <v>15</v>
      </c>
      <c r="F78" s="244">
        <f t="shared" si="63"/>
        <v>15</v>
      </c>
      <c r="G78" s="244">
        <f t="shared" si="63"/>
        <v>15</v>
      </c>
      <c r="H78" s="244">
        <f t="shared" si="63"/>
        <v>15</v>
      </c>
      <c r="I78" s="244">
        <f t="shared" si="63"/>
        <v>15</v>
      </c>
      <c r="J78" s="244">
        <f t="shared" si="63"/>
        <v>15</v>
      </c>
      <c r="K78" s="244">
        <f t="shared" si="63"/>
        <v>14</v>
      </c>
      <c r="L78" s="244">
        <f t="shared" si="63"/>
        <v>14</v>
      </c>
      <c r="M78" s="244">
        <f t="shared" si="63"/>
        <v>14</v>
      </c>
      <c r="N78" s="244">
        <f t="shared" si="63"/>
        <v>14</v>
      </c>
      <c r="O78" s="244">
        <f t="shared" si="63"/>
        <v>14</v>
      </c>
      <c r="P78" s="244">
        <f t="shared" si="63"/>
        <v>14</v>
      </c>
      <c r="Q78" s="244">
        <f t="shared" si="63"/>
        <v>14</v>
      </c>
      <c r="R78" s="244">
        <f t="shared" si="63"/>
        <v>14</v>
      </c>
      <c r="S78" s="244">
        <f t="shared" si="63"/>
        <v>13</v>
      </c>
      <c r="T78" s="244">
        <f t="shared" si="63"/>
        <v>13</v>
      </c>
      <c r="U78" s="244">
        <f t="shared" si="63"/>
        <v>13</v>
      </c>
      <c r="V78" s="244">
        <f t="shared" si="63"/>
        <v>13</v>
      </c>
      <c r="W78" s="244">
        <f t="shared" si="63"/>
        <v>13</v>
      </c>
      <c r="X78" s="244">
        <f t="shared" si="63"/>
        <v>13</v>
      </c>
      <c r="Y78" s="244">
        <f t="shared" si="63"/>
        <v>13</v>
      </c>
    </row>
    <row r="79">
      <c r="A79" s="241" t="str">
        <f>Items!A$153</f>
        <v>Twisted bow</v>
      </c>
      <c r="B79" s="244" t="b">
        <f>IF(B$1="CHOOSE SPELL",FALSE,IF('Sheet 1'!B$58=A79,TRUE,FALSE))</f>
        <v>0</v>
      </c>
      <c r="C79" s="243">
        <f>IF(B79,MIN(250,250+TRUNC((3*MIN(IF('Sheet 1'!E75="RAIDS",MIN(350,MAX('Sheet 1'!$G$81,'Sheet 1'!$H$81)),250),MAX('Sheet 1'!$G$81,'Sheet 1'!$H$81))-14)/100)-TRUNC(((0.3*MIN(IF('Sheet 1'!E75="RAIDS",MIN(350,MAX('Sheet 1'!$G$81,'Sheet 1'!$H$81)),250),MAX('Sheet 1'!$G$81,'Sheet 1'!$H$81))-140)^2)/100))/100,1)</f>
        <v>1</v>
      </c>
      <c r="D79" s="244">
        <f t="shared" ref="D79:Y79" si="64">INT(D78*$C79)</f>
        <v>15</v>
      </c>
      <c r="E79" s="244">
        <f t="shared" si="64"/>
        <v>15</v>
      </c>
      <c r="F79" s="244">
        <f t="shared" si="64"/>
        <v>15</v>
      </c>
      <c r="G79" s="244">
        <f t="shared" si="64"/>
        <v>15</v>
      </c>
      <c r="H79" s="244">
        <f t="shared" si="64"/>
        <v>15</v>
      </c>
      <c r="I79" s="244">
        <f t="shared" si="64"/>
        <v>15</v>
      </c>
      <c r="J79" s="244">
        <f t="shared" si="64"/>
        <v>15</v>
      </c>
      <c r="K79" s="244">
        <f t="shared" si="64"/>
        <v>14</v>
      </c>
      <c r="L79" s="244">
        <f t="shared" si="64"/>
        <v>14</v>
      </c>
      <c r="M79" s="244">
        <f t="shared" si="64"/>
        <v>14</v>
      </c>
      <c r="N79" s="244">
        <f t="shared" si="64"/>
        <v>14</v>
      </c>
      <c r="O79" s="244">
        <f t="shared" si="64"/>
        <v>14</v>
      </c>
      <c r="P79" s="244">
        <f t="shared" si="64"/>
        <v>14</v>
      </c>
      <c r="Q79" s="244">
        <f t="shared" si="64"/>
        <v>14</v>
      </c>
      <c r="R79" s="244">
        <f t="shared" si="64"/>
        <v>14</v>
      </c>
      <c r="S79" s="244">
        <f t="shared" si="64"/>
        <v>13</v>
      </c>
      <c r="T79" s="244">
        <f t="shared" si="64"/>
        <v>13</v>
      </c>
      <c r="U79" s="244">
        <f t="shared" si="64"/>
        <v>13</v>
      </c>
      <c r="V79" s="244">
        <f t="shared" si="64"/>
        <v>13</v>
      </c>
      <c r="W79" s="244">
        <f t="shared" si="64"/>
        <v>13</v>
      </c>
      <c r="X79" s="244">
        <f t="shared" si="64"/>
        <v>13</v>
      </c>
      <c r="Y79" s="244">
        <f t="shared" si="64"/>
        <v>13</v>
      </c>
    </row>
    <row r="80">
      <c r="A80" s="241" t="s">
        <v>162</v>
      </c>
      <c r="B80" s="244" t="b">
        <f>AND('Sheet 1'!B61=Items!A205,'Sheet 1'!B64=Items!A295,'Sheet 1'!B65=Items!A339,OR('Sheet 1'!B58=Items!A61,'Sheet 1'!B58=Items!A71,'Sheet 1'!B58=Items!A60,'Sheet 1'!B58=Items!A59))</f>
        <v>0</v>
      </c>
      <c r="C80" s="243">
        <f>IF(B80,1.1,1)</f>
        <v>1</v>
      </c>
      <c r="D80" s="244">
        <f t="shared" ref="D80:Y80" si="65">INT(D79*$C80)</f>
        <v>15</v>
      </c>
      <c r="E80" s="244">
        <f t="shared" si="65"/>
        <v>15</v>
      </c>
      <c r="F80" s="244">
        <f t="shared" si="65"/>
        <v>15</v>
      </c>
      <c r="G80" s="244">
        <f t="shared" si="65"/>
        <v>15</v>
      </c>
      <c r="H80" s="244">
        <f t="shared" si="65"/>
        <v>15</v>
      </c>
      <c r="I80" s="244">
        <f t="shared" si="65"/>
        <v>15</v>
      </c>
      <c r="J80" s="244">
        <f t="shared" si="65"/>
        <v>15</v>
      </c>
      <c r="K80" s="244">
        <f t="shared" si="65"/>
        <v>14</v>
      </c>
      <c r="L80" s="244">
        <f t="shared" si="65"/>
        <v>14</v>
      </c>
      <c r="M80" s="244">
        <f t="shared" si="65"/>
        <v>14</v>
      </c>
      <c r="N80" s="244">
        <f t="shared" si="65"/>
        <v>14</v>
      </c>
      <c r="O80" s="244">
        <f t="shared" si="65"/>
        <v>14</v>
      </c>
      <c r="P80" s="244">
        <f t="shared" si="65"/>
        <v>14</v>
      </c>
      <c r="Q80" s="244">
        <f t="shared" si="65"/>
        <v>14</v>
      </c>
      <c r="R80" s="244">
        <f t="shared" si="65"/>
        <v>14</v>
      </c>
      <c r="S80" s="244">
        <f t="shared" si="65"/>
        <v>13</v>
      </c>
      <c r="T80" s="244">
        <f t="shared" si="65"/>
        <v>13</v>
      </c>
      <c r="U80" s="244">
        <f t="shared" si="65"/>
        <v>13</v>
      </c>
      <c r="V80" s="244">
        <f t="shared" si="65"/>
        <v>13</v>
      </c>
      <c r="W80" s="244">
        <f t="shared" si="65"/>
        <v>13</v>
      </c>
      <c r="X80" s="244">
        <f t="shared" si="65"/>
        <v>13</v>
      </c>
      <c r="Y80" s="244">
        <f t="shared" si="65"/>
        <v>13</v>
      </c>
    </row>
    <row r="81">
      <c r="A81" s="241" t="s">
        <v>191</v>
      </c>
      <c r="B81" s="244" t="b">
        <f>'Sheet 1'!B58=Items!A117</f>
        <v>0</v>
      </c>
      <c r="C81" s="243">
        <f>1+if(B81,if('Sheet 1'!B61=Items!A218,0.03,0)+if('Sheet 1'!B64=Items!A303,0.03,0)+if('Sheet 1'!B65=Items!A346,0.03,0)+if(and('Sheet 1'!B61=Items!A218,'Sheet 1'!B64=Items!A303,'Sheet 1'!B65=Items!A346),0.06,0),0)</f>
        <v>1</v>
      </c>
      <c r="D81" s="244">
        <f t="shared" ref="D81:Y81" si="66">int(D80*$C$81)</f>
        <v>15</v>
      </c>
      <c r="E81" s="244">
        <f t="shared" si="66"/>
        <v>15</v>
      </c>
      <c r="F81" s="244">
        <f t="shared" si="66"/>
        <v>15</v>
      </c>
      <c r="G81" s="244">
        <f t="shared" si="66"/>
        <v>15</v>
      </c>
      <c r="H81" s="244">
        <f t="shared" si="66"/>
        <v>15</v>
      </c>
      <c r="I81" s="244">
        <f t="shared" si="66"/>
        <v>15</v>
      </c>
      <c r="J81" s="244">
        <f t="shared" si="66"/>
        <v>15</v>
      </c>
      <c r="K81" s="244">
        <f t="shared" si="66"/>
        <v>14</v>
      </c>
      <c r="L81" s="244">
        <f t="shared" si="66"/>
        <v>14</v>
      </c>
      <c r="M81" s="244">
        <f t="shared" si="66"/>
        <v>14</v>
      </c>
      <c r="N81" s="244">
        <f t="shared" si="66"/>
        <v>14</v>
      </c>
      <c r="O81" s="244">
        <f t="shared" si="66"/>
        <v>14</v>
      </c>
      <c r="P81" s="244">
        <f t="shared" si="66"/>
        <v>14</v>
      </c>
      <c r="Q81" s="244">
        <f t="shared" si="66"/>
        <v>14</v>
      </c>
      <c r="R81" s="244">
        <f t="shared" si="66"/>
        <v>14</v>
      </c>
      <c r="S81" s="244">
        <f t="shared" si="66"/>
        <v>13</v>
      </c>
      <c r="T81" s="244">
        <f t="shared" si="66"/>
        <v>13</v>
      </c>
      <c r="U81" s="244">
        <f t="shared" si="66"/>
        <v>13</v>
      </c>
      <c r="V81" s="244">
        <f t="shared" si="66"/>
        <v>13</v>
      </c>
      <c r="W81" s="244">
        <f t="shared" si="66"/>
        <v>13</v>
      </c>
      <c r="X81" s="244">
        <f t="shared" si="66"/>
        <v>13</v>
      </c>
      <c r="Y81" s="244">
        <f t="shared" si="66"/>
        <v>13</v>
      </c>
    </row>
    <row r="82">
      <c r="A82" s="241" t="s">
        <v>164</v>
      </c>
      <c r="B82" s="244">
        <f>if(or(Input!AG13="",Input!AG13="Off (default)"),0,Input!AG13)</f>
        <v>0</v>
      </c>
      <c r="C82" s="243">
        <f>1+B82</f>
        <v>1</v>
      </c>
      <c r="D82" s="244">
        <f t="shared" ref="D82:Y82" si="67">int(D81*$C$82)</f>
        <v>15</v>
      </c>
      <c r="E82" s="244">
        <f t="shared" si="67"/>
        <v>15</v>
      </c>
      <c r="F82" s="244">
        <f t="shared" si="67"/>
        <v>15</v>
      </c>
      <c r="G82" s="244">
        <f t="shared" si="67"/>
        <v>15</v>
      </c>
      <c r="H82" s="244">
        <f t="shared" si="67"/>
        <v>15</v>
      </c>
      <c r="I82" s="244">
        <f t="shared" si="67"/>
        <v>15</v>
      </c>
      <c r="J82" s="244">
        <f t="shared" si="67"/>
        <v>15</v>
      </c>
      <c r="K82" s="244">
        <f t="shared" si="67"/>
        <v>14</v>
      </c>
      <c r="L82" s="244">
        <f t="shared" si="67"/>
        <v>14</v>
      </c>
      <c r="M82" s="244">
        <f t="shared" si="67"/>
        <v>14</v>
      </c>
      <c r="N82" s="244">
        <f t="shared" si="67"/>
        <v>14</v>
      </c>
      <c r="O82" s="244">
        <f t="shared" si="67"/>
        <v>14</v>
      </c>
      <c r="P82" s="244">
        <f t="shared" si="67"/>
        <v>14</v>
      </c>
      <c r="Q82" s="244">
        <f t="shared" si="67"/>
        <v>14</v>
      </c>
      <c r="R82" s="244">
        <f t="shared" si="67"/>
        <v>14</v>
      </c>
      <c r="S82" s="244">
        <f t="shared" si="67"/>
        <v>13</v>
      </c>
      <c r="T82" s="244">
        <f t="shared" si="67"/>
        <v>13</v>
      </c>
      <c r="U82" s="244">
        <f t="shared" si="67"/>
        <v>13</v>
      </c>
      <c r="V82" s="244">
        <f t="shared" si="67"/>
        <v>13</v>
      </c>
      <c r="W82" s="244">
        <f t="shared" si="67"/>
        <v>13</v>
      </c>
      <c r="X82" s="244">
        <f t="shared" si="67"/>
        <v>13</v>
      </c>
      <c r="Y82" s="244">
        <f t="shared" si="67"/>
        <v>13</v>
      </c>
    </row>
    <row r="83">
      <c r="A83" s="211" t="s">
        <v>166</v>
      </c>
      <c r="B83" s="244" t="b">
        <f>C1="crush"</f>
        <v>0</v>
      </c>
      <c r="C83" s="243">
        <f>1 + if(B21=true,if('Sheet 1'!B61=Items!A193,0.005,0) + if('Sheet 1'!B64=Items!A286,0.005,0) + if('Sheet 1'!B65=Items!A331,0.005,0) + if(and('Sheet 1'!B61=Items!A193,'Sheet 1'!B64=Items!A286,'Sheet 1'!B65=Items!A331),0.01,0),0)</f>
        <v>1</v>
      </c>
      <c r="D83" s="244">
        <f t="shared" ref="D83:Y83" si="68">int(D82*$C$83)</f>
        <v>15</v>
      </c>
      <c r="E83" s="244">
        <f t="shared" si="68"/>
        <v>15</v>
      </c>
      <c r="F83" s="244">
        <f t="shared" si="68"/>
        <v>15</v>
      </c>
      <c r="G83" s="244">
        <f t="shared" si="68"/>
        <v>15</v>
      </c>
      <c r="H83" s="244">
        <f t="shared" si="68"/>
        <v>15</v>
      </c>
      <c r="I83" s="244">
        <f t="shared" si="68"/>
        <v>15</v>
      </c>
      <c r="J83" s="244">
        <f t="shared" si="68"/>
        <v>15</v>
      </c>
      <c r="K83" s="244">
        <f t="shared" si="68"/>
        <v>14</v>
      </c>
      <c r="L83" s="244">
        <f t="shared" si="68"/>
        <v>14</v>
      </c>
      <c r="M83" s="244">
        <f t="shared" si="68"/>
        <v>14</v>
      </c>
      <c r="N83" s="244">
        <f t="shared" si="68"/>
        <v>14</v>
      </c>
      <c r="O83" s="244">
        <f t="shared" si="68"/>
        <v>14</v>
      </c>
      <c r="P83" s="244">
        <f t="shared" si="68"/>
        <v>14</v>
      </c>
      <c r="Q83" s="244">
        <f t="shared" si="68"/>
        <v>14</v>
      </c>
      <c r="R83" s="244">
        <f t="shared" si="68"/>
        <v>14</v>
      </c>
      <c r="S83" s="244">
        <f t="shared" si="68"/>
        <v>13</v>
      </c>
      <c r="T83" s="244">
        <f t="shared" si="68"/>
        <v>13</v>
      </c>
      <c r="U83" s="244">
        <f t="shared" si="68"/>
        <v>13</v>
      </c>
      <c r="V83" s="244">
        <f t="shared" si="68"/>
        <v>13</v>
      </c>
      <c r="W83" s="244">
        <f t="shared" si="68"/>
        <v>13</v>
      </c>
      <c r="X83" s="244">
        <f t="shared" si="68"/>
        <v>13</v>
      </c>
      <c r="Y83" s="244">
        <f t="shared" si="68"/>
        <v>13</v>
      </c>
    </row>
    <row r="84">
      <c r="A84" s="241" t="s">
        <v>58</v>
      </c>
      <c r="B84" s="244"/>
      <c r="C84" s="243">
        <f>C113</f>
        <v>0.5</v>
      </c>
      <c r="D84" s="244">
        <f t="shared" ref="D84:Y84" si="69">INT(D83*$C84)</f>
        <v>7</v>
      </c>
      <c r="E84" s="244">
        <f t="shared" si="69"/>
        <v>7</v>
      </c>
      <c r="F84" s="244">
        <f t="shared" si="69"/>
        <v>7</v>
      </c>
      <c r="G84" s="244">
        <f t="shared" si="69"/>
        <v>7</v>
      </c>
      <c r="H84" s="244">
        <f t="shared" si="69"/>
        <v>7</v>
      </c>
      <c r="I84" s="244">
        <f t="shared" si="69"/>
        <v>7</v>
      </c>
      <c r="J84" s="244">
        <f t="shared" si="69"/>
        <v>7</v>
      </c>
      <c r="K84" s="244">
        <f t="shared" si="69"/>
        <v>7</v>
      </c>
      <c r="L84" s="244">
        <f t="shared" si="69"/>
        <v>7</v>
      </c>
      <c r="M84" s="244">
        <f t="shared" si="69"/>
        <v>7</v>
      </c>
      <c r="N84" s="244">
        <f t="shared" si="69"/>
        <v>7</v>
      </c>
      <c r="O84" s="244">
        <f t="shared" si="69"/>
        <v>7</v>
      </c>
      <c r="P84" s="244">
        <f t="shared" si="69"/>
        <v>7</v>
      </c>
      <c r="Q84" s="244">
        <f t="shared" si="69"/>
        <v>7</v>
      </c>
      <c r="R84" s="244">
        <f t="shared" si="69"/>
        <v>7</v>
      </c>
      <c r="S84" s="244">
        <f t="shared" si="69"/>
        <v>6</v>
      </c>
      <c r="T84" s="244">
        <f t="shared" si="69"/>
        <v>6</v>
      </c>
      <c r="U84" s="244">
        <f t="shared" si="69"/>
        <v>6</v>
      </c>
      <c r="V84" s="244">
        <f t="shared" si="69"/>
        <v>6</v>
      </c>
      <c r="W84" s="244">
        <f t="shared" si="69"/>
        <v>6</v>
      </c>
      <c r="X84" s="244">
        <f t="shared" si="69"/>
        <v>6</v>
      </c>
      <c r="Y84" s="244">
        <f t="shared" si="69"/>
        <v>6</v>
      </c>
    </row>
    <row r="85">
      <c r="A85" s="241" t="str">
        <f>Items!Q1</f>
        <v>Special damage 1</v>
      </c>
      <c r="B85" s="244"/>
      <c r="C85" s="242">
        <f t="array" ref="C85">1+INDEX(Items!$A$1:$V$698,MATCH('Sheet 1'!B58,Items!$A$1:$A$698,0),MATCH(A85,Items!$A$1:$V$1,0))</f>
        <v>1</v>
      </c>
      <c r="D85" s="244">
        <f t="shared" ref="D85:Y85" si="70">INT(D84*$C85)</f>
        <v>7</v>
      </c>
      <c r="E85" s="244">
        <f t="shared" si="70"/>
        <v>7</v>
      </c>
      <c r="F85" s="244">
        <f t="shared" si="70"/>
        <v>7</v>
      </c>
      <c r="G85" s="244">
        <f t="shared" si="70"/>
        <v>7</v>
      </c>
      <c r="H85" s="244">
        <f t="shared" si="70"/>
        <v>7</v>
      </c>
      <c r="I85" s="244">
        <f t="shared" si="70"/>
        <v>7</v>
      </c>
      <c r="J85" s="244">
        <f t="shared" si="70"/>
        <v>7</v>
      </c>
      <c r="K85" s="244">
        <f t="shared" si="70"/>
        <v>7</v>
      </c>
      <c r="L85" s="244">
        <f t="shared" si="70"/>
        <v>7</v>
      </c>
      <c r="M85" s="244">
        <f t="shared" si="70"/>
        <v>7</v>
      </c>
      <c r="N85" s="244">
        <f t="shared" si="70"/>
        <v>7</v>
      </c>
      <c r="O85" s="244">
        <f t="shared" si="70"/>
        <v>7</v>
      </c>
      <c r="P85" s="244">
        <f t="shared" si="70"/>
        <v>7</v>
      </c>
      <c r="Q85" s="244">
        <f t="shared" si="70"/>
        <v>7</v>
      </c>
      <c r="R85" s="244">
        <f t="shared" si="70"/>
        <v>7</v>
      </c>
      <c r="S85" s="244">
        <f t="shared" si="70"/>
        <v>6</v>
      </c>
      <c r="T85" s="244">
        <f t="shared" si="70"/>
        <v>6</v>
      </c>
      <c r="U85" s="244">
        <f t="shared" si="70"/>
        <v>6</v>
      </c>
      <c r="V85" s="244">
        <f t="shared" si="70"/>
        <v>6</v>
      </c>
      <c r="W85" s="244">
        <f t="shared" si="70"/>
        <v>6</v>
      </c>
      <c r="X85" s="244">
        <f t="shared" si="70"/>
        <v>6</v>
      </c>
      <c r="Y85" s="244">
        <f t="shared" si="70"/>
        <v>6</v>
      </c>
    </row>
    <row r="86">
      <c r="A86" s="241" t="str">
        <f>Items!R1</f>
        <v>Special damage 2</v>
      </c>
      <c r="B86" s="244"/>
      <c r="C86" s="243">
        <f t="array" ref="C86">1+INDEX(Items!$A$1:$V$698,MATCH('Sheet 1'!B58,Items!$A$1:$A$698,0),MATCH(A86,Items!$A$1:$V$1,0))</f>
        <v>1</v>
      </c>
      <c r="D86" s="244">
        <f t="shared" ref="D86:Y86" si="71">INT(D85*$C86)</f>
        <v>7</v>
      </c>
      <c r="E86" s="244">
        <f t="shared" si="71"/>
        <v>7</v>
      </c>
      <c r="F86" s="244">
        <f t="shared" si="71"/>
        <v>7</v>
      </c>
      <c r="G86" s="244">
        <f t="shared" si="71"/>
        <v>7</v>
      </c>
      <c r="H86" s="244">
        <f t="shared" si="71"/>
        <v>7</v>
      </c>
      <c r="I86" s="244">
        <f t="shared" si="71"/>
        <v>7</v>
      </c>
      <c r="J86" s="244">
        <f t="shared" si="71"/>
        <v>7</v>
      </c>
      <c r="K86" s="244">
        <f t="shared" si="71"/>
        <v>7</v>
      </c>
      <c r="L86" s="244">
        <f t="shared" si="71"/>
        <v>7</v>
      </c>
      <c r="M86" s="244">
        <f t="shared" si="71"/>
        <v>7</v>
      </c>
      <c r="N86" s="244">
        <f t="shared" si="71"/>
        <v>7</v>
      </c>
      <c r="O86" s="244">
        <f t="shared" si="71"/>
        <v>7</v>
      </c>
      <c r="P86" s="244">
        <f t="shared" si="71"/>
        <v>7</v>
      </c>
      <c r="Q86" s="244">
        <f t="shared" si="71"/>
        <v>7</v>
      </c>
      <c r="R86" s="244">
        <f t="shared" si="71"/>
        <v>7</v>
      </c>
      <c r="S86" s="244">
        <f t="shared" si="71"/>
        <v>6</v>
      </c>
      <c r="T86" s="244">
        <f t="shared" si="71"/>
        <v>6</v>
      </c>
      <c r="U86" s="244">
        <f t="shared" si="71"/>
        <v>6</v>
      </c>
      <c r="V86" s="244">
        <f t="shared" si="71"/>
        <v>6</v>
      </c>
      <c r="W86" s="244">
        <f t="shared" si="71"/>
        <v>6</v>
      </c>
      <c r="X86" s="244">
        <f t="shared" si="71"/>
        <v>6</v>
      </c>
      <c r="Y86" s="244">
        <f t="shared" si="71"/>
        <v>6</v>
      </c>
    </row>
    <row r="87">
      <c r="A87" s="241" t="s">
        <v>192</v>
      </c>
      <c r="B87" s="244" t="b">
        <f>AND('Sheet 1'!B63=Items!A275,OR('Sheet 1'!B58=Items!A61,'Sheet 1'!B58=Items!A71,'Sheet 1'!B58=Items!A60,'Sheet 1'!B58=Items!A59))</f>
        <v>0</v>
      </c>
      <c r="C87" s="243">
        <f>1+IF(B87,0.2,0)</f>
        <v>1</v>
      </c>
      <c r="D87" s="244">
        <f t="shared" ref="D87:D89" si="73">INT(D$84*$C87)</f>
        <v>7</v>
      </c>
      <c r="E87" s="244">
        <f t="shared" ref="E87:Y87" si="72">INT(E84*$C87)</f>
        <v>7</v>
      </c>
      <c r="F87" s="244">
        <f t="shared" si="72"/>
        <v>7</v>
      </c>
      <c r="G87" s="244">
        <f t="shared" si="72"/>
        <v>7</v>
      </c>
      <c r="H87" s="244">
        <f t="shared" si="72"/>
        <v>7</v>
      </c>
      <c r="I87" s="244">
        <f t="shared" si="72"/>
        <v>7</v>
      </c>
      <c r="J87" s="244">
        <f t="shared" si="72"/>
        <v>7</v>
      </c>
      <c r="K87" s="244">
        <f t="shared" si="72"/>
        <v>7</v>
      </c>
      <c r="L87" s="244">
        <f t="shared" si="72"/>
        <v>7</v>
      </c>
      <c r="M87" s="244">
        <f t="shared" si="72"/>
        <v>7</v>
      </c>
      <c r="N87" s="244">
        <f t="shared" si="72"/>
        <v>7</v>
      </c>
      <c r="O87" s="244">
        <f t="shared" si="72"/>
        <v>7</v>
      </c>
      <c r="P87" s="244">
        <f t="shared" si="72"/>
        <v>7</v>
      </c>
      <c r="Q87" s="244">
        <f t="shared" si="72"/>
        <v>7</v>
      </c>
      <c r="R87" s="244">
        <f t="shared" si="72"/>
        <v>7</v>
      </c>
      <c r="S87" s="244">
        <f t="shared" si="72"/>
        <v>6</v>
      </c>
      <c r="T87" s="244">
        <f t="shared" si="72"/>
        <v>6</v>
      </c>
      <c r="U87" s="244">
        <f t="shared" si="72"/>
        <v>6</v>
      </c>
      <c r="V87" s="244">
        <f t="shared" si="72"/>
        <v>6</v>
      </c>
      <c r="W87" s="244">
        <f t="shared" si="72"/>
        <v>6</v>
      </c>
      <c r="X87" s="244">
        <f t="shared" si="72"/>
        <v>6</v>
      </c>
      <c r="Y87" s="244">
        <f t="shared" si="72"/>
        <v>6</v>
      </c>
    </row>
    <row r="88">
      <c r="A88" s="241" t="s">
        <v>193</v>
      </c>
      <c r="B88" s="244" t="b">
        <f>'Sheet 1'!B58=Items!A24</f>
        <v>0</v>
      </c>
      <c r="C88" s="243">
        <f>1+IF(B88,0.6,0)</f>
        <v>1</v>
      </c>
      <c r="D88" s="244">
        <f t="shared" si="73"/>
        <v>7</v>
      </c>
      <c r="E88" s="244">
        <f t="shared" ref="E88:Y88" si="74">INT(E$84*$C88)</f>
        <v>7</v>
      </c>
      <c r="F88" s="244">
        <f t="shared" si="74"/>
        <v>7</v>
      </c>
      <c r="G88" s="244">
        <f t="shared" si="74"/>
        <v>7</v>
      </c>
      <c r="H88" s="244">
        <f t="shared" si="74"/>
        <v>7</v>
      </c>
      <c r="I88" s="244">
        <f t="shared" si="74"/>
        <v>7</v>
      </c>
      <c r="J88" s="244">
        <f t="shared" si="74"/>
        <v>7</v>
      </c>
      <c r="K88" s="244">
        <f t="shared" si="74"/>
        <v>7</v>
      </c>
      <c r="L88" s="244">
        <f t="shared" si="74"/>
        <v>7</v>
      </c>
      <c r="M88" s="244">
        <f t="shared" si="74"/>
        <v>7</v>
      </c>
      <c r="N88" s="244">
        <f t="shared" si="74"/>
        <v>7</v>
      </c>
      <c r="O88" s="244">
        <f t="shared" si="74"/>
        <v>7</v>
      </c>
      <c r="P88" s="244">
        <f t="shared" si="74"/>
        <v>7</v>
      </c>
      <c r="Q88" s="244">
        <f t="shared" si="74"/>
        <v>7</v>
      </c>
      <c r="R88" s="244">
        <f t="shared" si="74"/>
        <v>7</v>
      </c>
      <c r="S88" s="244">
        <f t="shared" si="74"/>
        <v>6</v>
      </c>
      <c r="T88" s="244">
        <f t="shared" si="74"/>
        <v>6</v>
      </c>
      <c r="U88" s="244">
        <f t="shared" si="74"/>
        <v>6</v>
      </c>
      <c r="V88" s="244">
        <f t="shared" si="74"/>
        <v>6</v>
      </c>
      <c r="W88" s="244">
        <f t="shared" si="74"/>
        <v>6</v>
      </c>
      <c r="X88" s="244">
        <f t="shared" si="74"/>
        <v>6</v>
      </c>
      <c r="Y88" s="244">
        <f t="shared" si="74"/>
        <v>6</v>
      </c>
    </row>
    <row r="89">
      <c r="A89" s="241" t="s">
        <v>194</v>
      </c>
      <c r="B89" s="244" t="b">
        <f>AND('Sheet 1'!B58=Items!A25,'Sheet 1'!B61=Items!A194,'Sheet 1'!B64=Items!A292,'Sheet 1'!B65=Items!A336)</f>
        <v>0</v>
      </c>
      <c r="C89" s="243">
        <f>1+IF(B89,('Sheet 1'!D12-'Sheet 1'!E96)/100*'Sheet 1'!D12/100,0)</f>
        <v>1</v>
      </c>
      <c r="D89" s="244">
        <f t="shared" si="73"/>
        <v>7</v>
      </c>
      <c r="E89" s="244">
        <f t="shared" ref="E89:Y89" si="75">INT(E$84*$C89)</f>
        <v>7</v>
      </c>
      <c r="F89" s="244">
        <f t="shared" si="75"/>
        <v>7</v>
      </c>
      <c r="G89" s="244">
        <f t="shared" si="75"/>
        <v>7</v>
      </c>
      <c r="H89" s="244">
        <f t="shared" si="75"/>
        <v>7</v>
      </c>
      <c r="I89" s="244">
        <f t="shared" si="75"/>
        <v>7</v>
      </c>
      <c r="J89" s="244">
        <f t="shared" si="75"/>
        <v>7</v>
      </c>
      <c r="K89" s="244">
        <f t="shared" si="75"/>
        <v>7</v>
      </c>
      <c r="L89" s="244">
        <f t="shared" si="75"/>
        <v>7</v>
      </c>
      <c r="M89" s="244">
        <f t="shared" si="75"/>
        <v>7</v>
      </c>
      <c r="N89" s="244">
        <f t="shared" si="75"/>
        <v>7</v>
      </c>
      <c r="O89" s="244">
        <f t="shared" si="75"/>
        <v>7</v>
      </c>
      <c r="P89" s="244">
        <f t="shared" si="75"/>
        <v>7</v>
      </c>
      <c r="Q89" s="244">
        <f t="shared" si="75"/>
        <v>7</v>
      </c>
      <c r="R89" s="244">
        <f t="shared" si="75"/>
        <v>7</v>
      </c>
      <c r="S89" s="244">
        <f t="shared" si="75"/>
        <v>6</v>
      </c>
      <c r="T89" s="244">
        <f t="shared" si="75"/>
        <v>6</v>
      </c>
      <c r="U89" s="244">
        <f t="shared" si="75"/>
        <v>6</v>
      </c>
      <c r="V89" s="244">
        <f t="shared" si="75"/>
        <v>6</v>
      </c>
      <c r="W89" s="244">
        <f t="shared" si="75"/>
        <v>6</v>
      </c>
      <c r="X89" s="244">
        <f t="shared" si="75"/>
        <v>6</v>
      </c>
      <c r="Y89" s="244">
        <f t="shared" si="75"/>
        <v>6</v>
      </c>
    </row>
    <row r="90">
      <c r="A90" s="241" t="s">
        <v>195</v>
      </c>
      <c r="B90" s="244" t="b">
        <f>and('Sheet 1'!D75=A90,or('Sheet 1'!B58=Items!A64,'Sheet 1'!B58=Items!A65,'Sheet 1'!B58=Items!A66,'Sheet 1'!B58=Items!A67,'Sheet 1'!B58=Items!A68,'Sheet 1'!B58=Items!A69,'Sheet 1'!B58=Items!A70,'Sheet 1'!B58=Items!A71,'Sheet 1'!B58=Items!A62))</f>
        <v>0</v>
      </c>
      <c r="C90" s="243">
        <f>IF(B90,(50+MIN(100,'Sheet 1'!M14)+vlookup('Sheet 1'!B58,Items!A:W,23,false))/150,1)</f>
        <v>1</v>
      </c>
      <c r="D90" s="244">
        <f t="shared" ref="D90:Y90" si="76">int(D89*$C$90)</f>
        <v>7</v>
      </c>
      <c r="E90" s="244">
        <f t="shared" si="76"/>
        <v>7</v>
      </c>
      <c r="F90" s="244">
        <f t="shared" si="76"/>
        <v>7</v>
      </c>
      <c r="G90" s="244">
        <f t="shared" si="76"/>
        <v>7</v>
      </c>
      <c r="H90" s="244">
        <f t="shared" si="76"/>
        <v>7</v>
      </c>
      <c r="I90" s="244">
        <f t="shared" si="76"/>
        <v>7</v>
      </c>
      <c r="J90" s="244">
        <f t="shared" si="76"/>
        <v>7</v>
      </c>
      <c r="K90" s="244">
        <f t="shared" si="76"/>
        <v>7</v>
      </c>
      <c r="L90" s="244">
        <f t="shared" si="76"/>
        <v>7</v>
      </c>
      <c r="M90" s="244">
        <f t="shared" si="76"/>
        <v>7</v>
      </c>
      <c r="N90" s="244">
        <f t="shared" si="76"/>
        <v>7</v>
      </c>
      <c r="O90" s="244">
        <f t="shared" si="76"/>
        <v>7</v>
      </c>
      <c r="P90" s="244">
        <f t="shared" si="76"/>
        <v>7</v>
      </c>
      <c r="Q90" s="244">
        <f t="shared" si="76"/>
        <v>7</v>
      </c>
      <c r="R90" s="244">
        <f t="shared" si="76"/>
        <v>7</v>
      </c>
      <c r="S90" s="244">
        <f t="shared" si="76"/>
        <v>6</v>
      </c>
      <c r="T90" s="244">
        <f t="shared" si="76"/>
        <v>6</v>
      </c>
      <c r="U90" s="244">
        <f t="shared" si="76"/>
        <v>6</v>
      </c>
      <c r="V90" s="244">
        <f t="shared" si="76"/>
        <v>6</v>
      </c>
      <c r="W90" s="244">
        <f t="shared" si="76"/>
        <v>6</v>
      </c>
      <c r="X90" s="244">
        <f t="shared" si="76"/>
        <v>6</v>
      </c>
      <c r="Y90" s="244">
        <f t="shared" si="76"/>
        <v>6</v>
      </c>
    </row>
    <row r="91">
      <c r="A91" s="241" t="s">
        <v>196</v>
      </c>
      <c r="B91" s="244" t="b">
        <f>'Sheet 1'!B58=Items!A43</f>
        <v>0</v>
      </c>
      <c r="C91" s="243">
        <f>1+IF(B91,0.25,0)</f>
        <v>1</v>
      </c>
      <c r="D91" s="244">
        <f t="shared" ref="D91:Y91" si="77">INT(D$84*$C91)</f>
        <v>7</v>
      </c>
      <c r="E91" s="244">
        <f t="shared" si="77"/>
        <v>7</v>
      </c>
      <c r="F91" s="244">
        <f t="shared" si="77"/>
        <v>7</v>
      </c>
      <c r="G91" s="244">
        <f t="shared" si="77"/>
        <v>7</v>
      </c>
      <c r="H91" s="244">
        <f t="shared" si="77"/>
        <v>7</v>
      </c>
      <c r="I91" s="244">
        <f t="shared" si="77"/>
        <v>7</v>
      </c>
      <c r="J91" s="244">
        <f t="shared" si="77"/>
        <v>7</v>
      </c>
      <c r="K91" s="244">
        <f t="shared" si="77"/>
        <v>7</v>
      </c>
      <c r="L91" s="244">
        <f t="shared" si="77"/>
        <v>7</v>
      </c>
      <c r="M91" s="244">
        <f t="shared" si="77"/>
        <v>7</v>
      </c>
      <c r="N91" s="244">
        <f t="shared" si="77"/>
        <v>7</v>
      </c>
      <c r="O91" s="244">
        <f t="shared" si="77"/>
        <v>7</v>
      </c>
      <c r="P91" s="244">
        <f t="shared" si="77"/>
        <v>7</v>
      </c>
      <c r="Q91" s="244">
        <f t="shared" si="77"/>
        <v>7</v>
      </c>
      <c r="R91" s="244">
        <f t="shared" si="77"/>
        <v>7</v>
      </c>
      <c r="S91" s="244">
        <f t="shared" si="77"/>
        <v>6</v>
      </c>
      <c r="T91" s="244">
        <f t="shared" si="77"/>
        <v>6</v>
      </c>
      <c r="U91" s="244">
        <f t="shared" si="77"/>
        <v>6</v>
      </c>
      <c r="V91" s="244">
        <f t="shared" si="77"/>
        <v>6</v>
      </c>
      <c r="W91" s="244">
        <f t="shared" si="77"/>
        <v>6</v>
      </c>
      <c r="X91" s="244">
        <f t="shared" si="77"/>
        <v>6</v>
      </c>
      <c r="Y91" s="244">
        <f t="shared" si="77"/>
        <v>6</v>
      </c>
    </row>
    <row r="92">
      <c r="A92" s="241" t="s">
        <v>197</v>
      </c>
      <c r="B92" s="244" t="b">
        <f>AND('Sheet 1'!B58=Items!A52,'Sheet 1'!$D$75="KALPHITE")</f>
        <v>0</v>
      </c>
      <c r="C92" s="243">
        <f>1+IF(B92,1/3,0)</f>
        <v>1</v>
      </c>
      <c r="D92" s="244">
        <f t="shared" ref="D92:Y92" si="78">INT(D$84*$C92)</f>
        <v>7</v>
      </c>
      <c r="E92" s="244">
        <f t="shared" si="78"/>
        <v>7</v>
      </c>
      <c r="F92" s="244">
        <f t="shared" si="78"/>
        <v>7</v>
      </c>
      <c r="G92" s="244">
        <f t="shared" si="78"/>
        <v>7</v>
      </c>
      <c r="H92" s="244">
        <f t="shared" si="78"/>
        <v>7</v>
      </c>
      <c r="I92" s="244">
        <f t="shared" si="78"/>
        <v>7</v>
      </c>
      <c r="J92" s="244">
        <f t="shared" si="78"/>
        <v>7</v>
      </c>
      <c r="K92" s="244">
        <f t="shared" si="78"/>
        <v>7</v>
      </c>
      <c r="L92" s="244">
        <f t="shared" si="78"/>
        <v>7</v>
      </c>
      <c r="M92" s="244">
        <f t="shared" si="78"/>
        <v>7</v>
      </c>
      <c r="N92" s="244">
        <f t="shared" si="78"/>
        <v>7</v>
      </c>
      <c r="O92" s="244">
        <f t="shared" si="78"/>
        <v>7</v>
      </c>
      <c r="P92" s="244">
        <f t="shared" si="78"/>
        <v>7</v>
      </c>
      <c r="Q92" s="244">
        <f t="shared" si="78"/>
        <v>7</v>
      </c>
      <c r="R92" s="244">
        <f t="shared" si="78"/>
        <v>7</v>
      </c>
      <c r="S92" s="244">
        <f t="shared" si="78"/>
        <v>6</v>
      </c>
      <c r="T92" s="244">
        <f t="shared" si="78"/>
        <v>6</v>
      </c>
      <c r="U92" s="244">
        <f t="shared" si="78"/>
        <v>6</v>
      </c>
      <c r="V92" s="244">
        <f t="shared" si="78"/>
        <v>6</v>
      </c>
      <c r="W92" s="244">
        <f t="shared" si="78"/>
        <v>6</v>
      </c>
      <c r="X92" s="244">
        <f t="shared" si="78"/>
        <v>6</v>
      </c>
      <c r="Y92" s="244">
        <f t="shared" si="78"/>
        <v>6</v>
      </c>
    </row>
    <row r="93">
      <c r="A93" s="241" t="s">
        <v>198</v>
      </c>
      <c r="B93" s="244" t="b">
        <f>'Sheet 1'!B58=Items!A43</f>
        <v>0</v>
      </c>
      <c r="C93" s="243">
        <f>1+IF(B93,1,0)</f>
        <v>1</v>
      </c>
      <c r="D93" s="244">
        <f t="shared" ref="D93:Y93" si="79">INT(D$84*$C93)</f>
        <v>7</v>
      </c>
      <c r="E93" s="244">
        <f t="shared" si="79"/>
        <v>7</v>
      </c>
      <c r="F93" s="244">
        <f t="shared" si="79"/>
        <v>7</v>
      </c>
      <c r="G93" s="244">
        <f t="shared" si="79"/>
        <v>7</v>
      </c>
      <c r="H93" s="244">
        <f t="shared" si="79"/>
        <v>7</v>
      </c>
      <c r="I93" s="244">
        <f t="shared" si="79"/>
        <v>7</v>
      </c>
      <c r="J93" s="244">
        <f t="shared" si="79"/>
        <v>7</v>
      </c>
      <c r="K93" s="244">
        <f t="shared" si="79"/>
        <v>7</v>
      </c>
      <c r="L93" s="244">
        <f t="shared" si="79"/>
        <v>7</v>
      </c>
      <c r="M93" s="244">
        <f t="shared" si="79"/>
        <v>7</v>
      </c>
      <c r="N93" s="244">
        <f t="shared" si="79"/>
        <v>7</v>
      </c>
      <c r="O93" s="244">
        <f t="shared" si="79"/>
        <v>7</v>
      </c>
      <c r="P93" s="244">
        <f t="shared" si="79"/>
        <v>7</v>
      </c>
      <c r="Q93" s="244">
        <f t="shared" si="79"/>
        <v>7</v>
      </c>
      <c r="R93" s="244">
        <f t="shared" si="79"/>
        <v>7</v>
      </c>
      <c r="S93" s="244">
        <f t="shared" si="79"/>
        <v>6</v>
      </c>
      <c r="T93" s="244">
        <f t="shared" si="79"/>
        <v>6</v>
      </c>
      <c r="U93" s="244">
        <f t="shared" si="79"/>
        <v>6</v>
      </c>
      <c r="V93" s="244">
        <f t="shared" si="79"/>
        <v>6</v>
      </c>
      <c r="W93" s="244">
        <f t="shared" si="79"/>
        <v>6</v>
      </c>
      <c r="X93" s="244">
        <f t="shared" si="79"/>
        <v>6</v>
      </c>
      <c r="Y93" s="244">
        <f t="shared" si="79"/>
        <v>6</v>
      </c>
    </row>
    <row r="94">
      <c r="A94" s="241" t="s">
        <v>199</v>
      </c>
      <c r="B94" s="244" t="b">
        <f>AND('Sheet 1'!B58=Items!A52,'Sheet 1'!$D$75="KALPHITE")</f>
        <v>0</v>
      </c>
      <c r="C94" s="243">
        <f>1+IF(B94,2,0)</f>
        <v>1</v>
      </c>
      <c r="D94" s="244">
        <f t="shared" ref="D94:Y94" si="80">INT(D$84*$C94)</f>
        <v>7</v>
      </c>
      <c r="E94" s="244">
        <f t="shared" si="80"/>
        <v>7</v>
      </c>
      <c r="F94" s="244">
        <f t="shared" si="80"/>
        <v>7</v>
      </c>
      <c r="G94" s="244">
        <f t="shared" si="80"/>
        <v>7</v>
      </c>
      <c r="H94" s="244">
        <f t="shared" si="80"/>
        <v>7</v>
      </c>
      <c r="I94" s="244">
        <f t="shared" si="80"/>
        <v>7</v>
      </c>
      <c r="J94" s="244">
        <f t="shared" si="80"/>
        <v>7</v>
      </c>
      <c r="K94" s="244">
        <f t="shared" si="80"/>
        <v>7</v>
      </c>
      <c r="L94" s="244">
        <f t="shared" si="80"/>
        <v>7</v>
      </c>
      <c r="M94" s="244">
        <f t="shared" si="80"/>
        <v>7</v>
      </c>
      <c r="N94" s="244">
        <f t="shared" si="80"/>
        <v>7</v>
      </c>
      <c r="O94" s="244">
        <f t="shared" si="80"/>
        <v>7</v>
      </c>
      <c r="P94" s="244">
        <f t="shared" si="80"/>
        <v>7</v>
      </c>
      <c r="Q94" s="244">
        <f t="shared" si="80"/>
        <v>7</v>
      </c>
      <c r="R94" s="244">
        <f t="shared" si="80"/>
        <v>7</v>
      </c>
      <c r="S94" s="244">
        <f t="shared" si="80"/>
        <v>6</v>
      </c>
      <c r="T94" s="244">
        <f t="shared" si="80"/>
        <v>6</v>
      </c>
      <c r="U94" s="244">
        <f t="shared" si="80"/>
        <v>6</v>
      </c>
      <c r="V94" s="244">
        <f t="shared" si="80"/>
        <v>6</v>
      </c>
      <c r="W94" s="244">
        <f t="shared" si="80"/>
        <v>6</v>
      </c>
      <c r="X94" s="244">
        <f t="shared" si="80"/>
        <v>6</v>
      </c>
      <c r="Y94" s="244">
        <f t="shared" si="80"/>
        <v>6</v>
      </c>
    </row>
    <row r="95">
      <c r="A95" s="241" t="str">
        <f>Items!A29</f>
        <v>Dragon claws</v>
      </c>
      <c r="B95" s="244" t="b">
        <f>'Sheet 1'!B58=Items!A29</f>
        <v>0</v>
      </c>
      <c r="C95" s="243" t="str">
        <f>IF(B95,-1,)</f>
        <v/>
      </c>
      <c r="D95" s="244">
        <f t="shared" ref="D95:Y95" si="81">INT(D84+$C95)</f>
        <v>7</v>
      </c>
      <c r="E95" s="244">
        <f t="shared" si="81"/>
        <v>7</v>
      </c>
      <c r="F95" s="244">
        <f t="shared" si="81"/>
        <v>7</v>
      </c>
      <c r="G95" s="244">
        <f t="shared" si="81"/>
        <v>7</v>
      </c>
      <c r="H95" s="244">
        <f t="shared" si="81"/>
        <v>7</v>
      </c>
      <c r="I95" s="244">
        <f t="shared" si="81"/>
        <v>7</v>
      </c>
      <c r="J95" s="244">
        <f t="shared" si="81"/>
        <v>7</v>
      </c>
      <c r="K95" s="244">
        <f t="shared" si="81"/>
        <v>7</v>
      </c>
      <c r="L95" s="244">
        <f t="shared" si="81"/>
        <v>7</v>
      </c>
      <c r="M95" s="244">
        <f t="shared" si="81"/>
        <v>7</v>
      </c>
      <c r="N95" s="244">
        <f t="shared" si="81"/>
        <v>7</v>
      </c>
      <c r="O95" s="244">
        <f t="shared" si="81"/>
        <v>7</v>
      </c>
      <c r="P95" s="244">
        <f t="shared" si="81"/>
        <v>7</v>
      </c>
      <c r="Q95" s="244">
        <f t="shared" si="81"/>
        <v>7</v>
      </c>
      <c r="R95" s="244">
        <f t="shared" si="81"/>
        <v>7</v>
      </c>
      <c r="S95" s="244">
        <f t="shared" si="81"/>
        <v>6</v>
      </c>
      <c r="T95" s="244">
        <f t="shared" si="81"/>
        <v>6</v>
      </c>
      <c r="U95" s="244">
        <f t="shared" si="81"/>
        <v>6</v>
      </c>
      <c r="V95" s="244">
        <f t="shared" si="81"/>
        <v>6</v>
      </c>
      <c r="W95" s="244">
        <f t="shared" si="81"/>
        <v>6</v>
      </c>
      <c r="X95" s="244">
        <f t="shared" si="81"/>
        <v>6</v>
      </c>
      <c r="Y95" s="244">
        <f t="shared" si="81"/>
        <v>6</v>
      </c>
    </row>
    <row r="96">
      <c r="A96" s="241" t="str">
        <f>Items!A46</f>
        <v>Granite hammer</v>
      </c>
      <c r="B96" s="244" t="b">
        <f>'Sheet 1'!B58=Items!A46</f>
        <v>0</v>
      </c>
      <c r="C96" s="243">
        <f>IF(B96,5,0)</f>
        <v>0</v>
      </c>
      <c r="D96" s="244">
        <f t="shared" ref="D96:Y96" si="82">INT(D84+$C96)</f>
        <v>7</v>
      </c>
      <c r="E96" s="244">
        <f t="shared" si="82"/>
        <v>7</v>
      </c>
      <c r="F96" s="244">
        <f t="shared" si="82"/>
        <v>7</v>
      </c>
      <c r="G96" s="244">
        <f t="shared" si="82"/>
        <v>7</v>
      </c>
      <c r="H96" s="244">
        <f t="shared" si="82"/>
        <v>7</v>
      </c>
      <c r="I96" s="244">
        <f t="shared" si="82"/>
        <v>7</v>
      </c>
      <c r="J96" s="244">
        <f t="shared" si="82"/>
        <v>7</v>
      </c>
      <c r="K96" s="244">
        <f t="shared" si="82"/>
        <v>7</v>
      </c>
      <c r="L96" s="244">
        <f t="shared" si="82"/>
        <v>7</v>
      </c>
      <c r="M96" s="244">
        <f t="shared" si="82"/>
        <v>7</v>
      </c>
      <c r="N96" s="244">
        <f t="shared" si="82"/>
        <v>7</v>
      </c>
      <c r="O96" s="244">
        <f t="shared" si="82"/>
        <v>7</v>
      </c>
      <c r="P96" s="244">
        <f t="shared" si="82"/>
        <v>7</v>
      </c>
      <c r="Q96" s="244">
        <f t="shared" si="82"/>
        <v>7</v>
      </c>
      <c r="R96" s="244">
        <f t="shared" si="82"/>
        <v>7</v>
      </c>
      <c r="S96" s="244">
        <f t="shared" si="82"/>
        <v>6</v>
      </c>
      <c r="T96" s="244">
        <f t="shared" si="82"/>
        <v>6</v>
      </c>
      <c r="U96" s="244">
        <f t="shared" si="82"/>
        <v>6</v>
      </c>
      <c r="V96" s="244">
        <f t="shared" si="82"/>
        <v>6</v>
      </c>
      <c r="W96" s="244">
        <f t="shared" si="82"/>
        <v>6</v>
      </c>
      <c r="X96" s="244">
        <f t="shared" si="82"/>
        <v>6</v>
      </c>
      <c r="Y96" s="244">
        <f t="shared" si="82"/>
        <v>6</v>
      </c>
    </row>
    <row r="97">
      <c r="A97" s="241" t="s">
        <v>200</v>
      </c>
      <c r="B97" s="244" t="b">
        <f>AND(C1="RANGED",'Sheet 1'!B58=Items!A138,'Sheet 1'!B61=Items!A215,'Sheet 1'!B63=Items!A276,'Sheet 1'!B64=Items!A304,'Sheet 1'!B65=Items!A347)</f>
        <v>0</v>
      </c>
      <c r="C97" s="243">
        <f>1+IF(B97,0,0)</f>
        <v>1</v>
      </c>
      <c r="D97" s="244">
        <f t="shared" ref="D97:Y97" si="83">INT(D$84*$C97)</f>
        <v>7</v>
      </c>
      <c r="E97" s="244">
        <f t="shared" si="83"/>
        <v>7</v>
      </c>
      <c r="F97" s="244">
        <f t="shared" si="83"/>
        <v>7</v>
      </c>
      <c r="G97" s="244">
        <f t="shared" si="83"/>
        <v>7</v>
      </c>
      <c r="H97" s="244">
        <f t="shared" si="83"/>
        <v>7</v>
      </c>
      <c r="I97" s="244">
        <f t="shared" si="83"/>
        <v>7</v>
      </c>
      <c r="J97" s="244">
        <f t="shared" si="83"/>
        <v>7</v>
      </c>
      <c r="K97" s="244">
        <f t="shared" si="83"/>
        <v>7</v>
      </c>
      <c r="L97" s="244">
        <f t="shared" si="83"/>
        <v>7</v>
      </c>
      <c r="M97" s="244">
        <f t="shared" si="83"/>
        <v>7</v>
      </c>
      <c r="N97" s="244">
        <f t="shared" si="83"/>
        <v>7</v>
      </c>
      <c r="O97" s="244">
        <f t="shared" si="83"/>
        <v>7</v>
      </c>
      <c r="P97" s="244">
        <f t="shared" si="83"/>
        <v>7</v>
      </c>
      <c r="Q97" s="244">
        <f t="shared" si="83"/>
        <v>7</v>
      </c>
      <c r="R97" s="244">
        <f t="shared" si="83"/>
        <v>7</v>
      </c>
      <c r="S97" s="244">
        <f t="shared" si="83"/>
        <v>6</v>
      </c>
      <c r="T97" s="244">
        <f t="shared" si="83"/>
        <v>6</v>
      </c>
      <c r="U97" s="244">
        <f t="shared" si="83"/>
        <v>6</v>
      </c>
      <c r="V97" s="244">
        <f t="shared" si="83"/>
        <v>6</v>
      </c>
      <c r="W97" s="244">
        <f t="shared" si="83"/>
        <v>6</v>
      </c>
      <c r="X97" s="244">
        <f t="shared" si="83"/>
        <v>6</v>
      </c>
      <c r="Y97" s="244">
        <f t="shared" si="83"/>
        <v>6</v>
      </c>
    </row>
    <row r="98">
      <c r="A98" s="241" t="s">
        <v>201</v>
      </c>
      <c r="B98" s="244" t="b">
        <f>AND('Sheet 1'!B58=Items!A99,'Sheet 1'!B61=Items!A207,'Sheet 1'!B64=Items!A291,'Sheet 1'!B65=Items!A335)</f>
        <v>0</v>
      </c>
      <c r="C98" s="243">
        <f>IF(B98,1,0)</f>
        <v>0</v>
      </c>
      <c r="D98" s="244">
        <f t="shared" ref="D98:Y98" si="84">INT(D$84+$C98)</f>
        <v>7</v>
      </c>
      <c r="E98" s="244">
        <f t="shared" si="84"/>
        <v>7</v>
      </c>
      <c r="F98" s="244">
        <f t="shared" si="84"/>
        <v>7</v>
      </c>
      <c r="G98" s="244">
        <f t="shared" si="84"/>
        <v>7</v>
      </c>
      <c r="H98" s="244">
        <f t="shared" si="84"/>
        <v>7</v>
      </c>
      <c r="I98" s="244">
        <f t="shared" si="84"/>
        <v>7</v>
      </c>
      <c r="J98" s="244">
        <f t="shared" si="84"/>
        <v>7</v>
      </c>
      <c r="K98" s="244">
        <f t="shared" si="84"/>
        <v>7</v>
      </c>
      <c r="L98" s="244">
        <f t="shared" si="84"/>
        <v>7</v>
      </c>
      <c r="M98" s="244">
        <f t="shared" si="84"/>
        <v>7</v>
      </c>
      <c r="N98" s="244">
        <f t="shared" si="84"/>
        <v>7</v>
      </c>
      <c r="O98" s="244">
        <f t="shared" si="84"/>
        <v>7</v>
      </c>
      <c r="P98" s="244">
        <f t="shared" si="84"/>
        <v>7</v>
      </c>
      <c r="Q98" s="244">
        <f t="shared" si="84"/>
        <v>7</v>
      </c>
      <c r="R98" s="244">
        <f t="shared" si="84"/>
        <v>7</v>
      </c>
      <c r="S98" s="244">
        <f t="shared" si="84"/>
        <v>6</v>
      </c>
      <c r="T98" s="244">
        <f t="shared" si="84"/>
        <v>6</v>
      </c>
      <c r="U98" s="244">
        <f t="shared" si="84"/>
        <v>6</v>
      </c>
      <c r="V98" s="244">
        <f t="shared" si="84"/>
        <v>6</v>
      </c>
      <c r="W98" s="244">
        <f t="shared" si="84"/>
        <v>6</v>
      </c>
      <c r="X98" s="244">
        <f t="shared" si="84"/>
        <v>6</v>
      </c>
      <c r="Y98" s="244">
        <f t="shared" si="84"/>
        <v>6</v>
      </c>
    </row>
    <row r="99">
      <c r="A99" s="244" t="str">
        <f>Items!A543</f>
        <v>Pearl bolts (e)</v>
      </c>
      <c r="B99" s="244" t="b">
        <f>AND(C$1="RANGED",OR('Sheet 1'!B$60=Items!A543,'Sheet 1'!B$60=Items!A544))</f>
        <v>0</v>
      </c>
      <c r="C99" s="243" t="b">
        <f>AND(B99,OR('Sheet 1'!D75="FIRE",'Sheet 1'!$D$75="VORKATH",'Sheet 1'!D75="DRAGON"))</f>
        <v>0</v>
      </c>
      <c r="D99" s="244">
        <f t="shared" ref="D99:Y99" si="85">INT(D84+D36*IF($C99,1/15,1/20))</f>
        <v>12</v>
      </c>
      <c r="E99" s="244">
        <f t="shared" si="85"/>
        <v>12</v>
      </c>
      <c r="F99" s="244">
        <f t="shared" si="85"/>
        <v>12</v>
      </c>
      <c r="G99" s="244">
        <f t="shared" si="85"/>
        <v>12</v>
      </c>
      <c r="H99" s="244">
        <f t="shared" si="85"/>
        <v>12</v>
      </c>
      <c r="I99" s="244">
        <f t="shared" si="85"/>
        <v>12</v>
      </c>
      <c r="J99" s="244">
        <f t="shared" si="85"/>
        <v>12</v>
      </c>
      <c r="K99" s="244">
        <f t="shared" si="85"/>
        <v>12</v>
      </c>
      <c r="L99" s="244">
        <f t="shared" si="85"/>
        <v>12</v>
      </c>
      <c r="M99" s="244">
        <f t="shared" si="85"/>
        <v>12</v>
      </c>
      <c r="N99" s="244">
        <f t="shared" si="85"/>
        <v>12</v>
      </c>
      <c r="O99" s="244">
        <f t="shared" si="85"/>
        <v>12</v>
      </c>
      <c r="P99" s="244">
        <f t="shared" si="85"/>
        <v>12</v>
      </c>
      <c r="Q99" s="244">
        <f t="shared" si="85"/>
        <v>12</v>
      </c>
      <c r="R99" s="244">
        <f t="shared" si="85"/>
        <v>12</v>
      </c>
      <c r="S99" s="244">
        <f t="shared" si="85"/>
        <v>11</v>
      </c>
      <c r="T99" s="244">
        <f t="shared" si="85"/>
        <v>11</v>
      </c>
      <c r="U99" s="244">
        <f t="shared" si="85"/>
        <v>11</v>
      </c>
      <c r="V99" s="244">
        <f t="shared" si="85"/>
        <v>11</v>
      </c>
      <c r="W99" s="244">
        <f t="shared" si="85"/>
        <v>10</v>
      </c>
      <c r="X99" s="244">
        <f t="shared" si="85"/>
        <v>10</v>
      </c>
      <c r="Y99" s="244">
        <f t="shared" si="85"/>
        <v>10</v>
      </c>
    </row>
    <row r="100">
      <c r="A100" s="241" t="str">
        <f>Items!A551</f>
        <v>Ruby bolts (e)</v>
      </c>
      <c r="B100" s="244" t="b">
        <f>AND(C$1="RANGED",OR('Sheet 1'!B$60=Items!A551,'Sheet 1'!B$60=Items!A552))</f>
        <v>0</v>
      </c>
      <c r="C100" s="243">
        <f>'Sheet 1'!$F$92</f>
        <v>2000</v>
      </c>
      <c r="D100" s="244">
        <f>INT((MIN(MIN(if($B140='NPC stats'!$A$96,100,$C110),100,$C100*0.2))))</f>
        <v>100</v>
      </c>
      <c r="E100" s="244">
        <f>INT((MIN(MIN(if($B140='NPC stats'!$A$96,100,$C110),100,$C100*0.2))))</f>
        <v>100</v>
      </c>
      <c r="F100" s="244">
        <f>INT((MIN(MIN(if($B140='NPC stats'!$A$96,100,$C110),100,$C100*0.2))))</f>
        <v>100</v>
      </c>
      <c r="G100" s="244">
        <f>INT((MIN(MIN(if($B140='NPC stats'!$A$96,100,$C110),100,$C100*0.2))))</f>
        <v>100</v>
      </c>
      <c r="H100" s="244">
        <f>INT((MIN(MIN(if($B140='NPC stats'!$A$96,100,$C110),100,$C100*0.2))))</f>
        <v>100</v>
      </c>
      <c r="I100" s="244">
        <f>INT((MIN(MIN(if($B140='NPC stats'!$A$96,100,$C110),100,$C100*0.2))))</f>
        <v>100</v>
      </c>
      <c r="J100" s="244">
        <f>INT((MIN(MIN(if($B140='NPC stats'!$A$96,100,$C110),100,$C100*0.2))))</f>
        <v>100</v>
      </c>
      <c r="K100" s="244">
        <f>INT((MIN(MIN(if($B140='NPC stats'!$A$96,100,$C110),100,$C100*0.2))))</f>
        <v>100</v>
      </c>
      <c r="L100" s="244">
        <f>INT((MIN(MIN(if($B140='NPC stats'!$A$96,100,$C110),100,$C100*0.2))))</f>
        <v>100</v>
      </c>
      <c r="M100" s="244">
        <f>INT((MIN(MIN(if($B140='NPC stats'!$A$96,100,$C110),100,$C100*0.2))))</f>
        <v>100</v>
      </c>
      <c r="N100" s="244">
        <f>INT((MIN(MIN(if($B140='NPC stats'!$A$96,100,$C110),100,$C100*0.2))))</f>
        <v>100</v>
      </c>
      <c r="O100" s="244">
        <f>INT((MIN(MIN(if($B140='NPC stats'!$A$96,100,$C110),100,$C100*0.2))))</f>
        <v>100</v>
      </c>
      <c r="P100" s="244">
        <f>INT((MIN(MIN(if($B140='NPC stats'!$A$96,100,$C110),100,$C100*0.2))))</f>
        <v>100</v>
      </c>
      <c r="Q100" s="244">
        <f>INT((MIN(MIN(if($B140='NPC stats'!$A$96,100,$C110),100,$C100*0.2))))</f>
        <v>100</v>
      </c>
      <c r="R100" s="244">
        <f>INT((MIN(MIN(if($B140='NPC stats'!$A$96,100,$C110),100,$C100*0.2))))</f>
        <v>100</v>
      </c>
      <c r="S100" s="244">
        <f>INT((MIN(MIN(if($B140='NPC stats'!$A$96,100,$C110),100,$C100*0.2))))</f>
        <v>100</v>
      </c>
      <c r="T100" s="244">
        <f>INT((MIN(MIN(if($B140='NPC stats'!$A$96,100,$C110),100,$C100*0.2))))</f>
        <v>100</v>
      </c>
      <c r="U100" s="244">
        <f>INT((MIN(MIN(if($B140='NPC stats'!$A$96,100,$C110),100,$C100*0.2))))</f>
        <v>100</v>
      </c>
      <c r="V100" s="244">
        <f>INT((MIN(MIN(if($B140='NPC stats'!$A$96,100,$C110),100,$C100*0.2))))</f>
        <v>100</v>
      </c>
      <c r="W100" s="244">
        <f>INT((MIN(MIN(if($B140='NPC stats'!$A$96,100,$C110),100,$C100*0.2))))</f>
        <v>100</v>
      </c>
      <c r="X100" s="244">
        <f>INT((MIN(MIN(if($B140='NPC stats'!$A$96,100,$C110),100,$C100*0.2))))</f>
        <v>100</v>
      </c>
      <c r="Y100" s="244">
        <f>INT((MIN(MIN(if($B140='NPC stats'!$A$96,100,$C110),100,$C100*0.2))))</f>
        <v>100</v>
      </c>
    </row>
    <row r="101">
      <c r="A101" s="241" t="str">
        <f>Items!A553</f>
        <v>Diamond bolts (e)</v>
      </c>
      <c r="B101" s="244" t="b">
        <f>AND(C$1="RANGED",OR('Sheet 1'!B$60=Items!A553,'Sheet 1'!B$60=Items!A554))</f>
        <v>0</v>
      </c>
      <c r="C101" s="243">
        <f>1+IF(B101,0.15,0)</f>
        <v>1</v>
      </c>
      <c r="D101" s="244">
        <f t="shared" ref="D101:Y101" si="86">INT(D$84*$C101)</f>
        <v>7</v>
      </c>
      <c r="E101" s="244">
        <f t="shared" si="86"/>
        <v>7</v>
      </c>
      <c r="F101" s="244">
        <f t="shared" si="86"/>
        <v>7</v>
      </c>
      <c r="G101" s="244">
        <f t="shared" si="86"/>
        <v>7</v>
      </c>
      <c r="H101" s="244">
        <f t="shared" si="86"/>
        <v>7</v>
      </c>
      <c r="I101" s="244">
        <f t="shared" si="86"/>
        <v>7</v>
      </c>
      <c r="J101" s="244">
        <f t="shared" si="86"/>
        <v>7</v>
      </c>
      <c r="K101" s="244">
        <f t="shared" si="86"/>
        <v>7</v>
      </c>
      <c r="L101" s="244">
        <f t="shared" si="86"/>
        <v>7</v>
      </c>
      <c r="M101" s="244">
        <f t="shared" si="86"/>
        <v>7</v>
      </c>
      <c r="N101" s="244">
        <f t="shared" si="86"/>
        <v>7</v>
      </c>
      <c r="O101" s="244">
        <f t="shared" si="86"/>
        <v>7</v>
      </c>
      <c r="P101" s="244">
        <f t="shared" si="86"/>
        <v>7</v>
      </c>
      <c r="Q101" s="244">
        <f t="shared" si="86"/>
        <v>7</v>
      </c>
      <c r="R101" s="244">
        <f t="shared" si="86"/>
        <v>7</v>
      </c>
      <c r="S101" s="244">
        <f t="shared" si="86"/>
        <v>6</v>
      </c>
      <c r="T101" s="244">
        <f t="shared" si="86"/>
        <v>6</v>
      </c>
      <c r="U101" s="244">
        <f t="shared" si="86"/>
        <v>6</v>
      </c>
      <c r="V101" s="244">
        <f t="shared" si="86"/>
        <v>6</v>
      </c>
      <c r="W101" s="244">
        <f t="shared" si="86"/>
        <v>6</v>
      </c>
      <c r="X101" s="244">
        <f t="shared" si="86"/>
        <v>6</v>
      </c>
      <c r="Y101" s="244">
        <f t="shared" si="86"/>
        <v>6</v>
      </c>
    </row>
    <row r="102">
      <c r="A102" s="241" t="str">
        <f>Items!A555</f>
        <v>Dragonstone bolts (e)</v>
      </c>
      <c r="B102" s="244" t="b">
        <f>AND(C$1="RANGED",OR('Sheet 1'!B$60=Items!A555,'Sheet 1'!B$60=Items!A556))</f>
        <v>0</v>
      </c>
      <c r="C102" s="243"/>
      <c r="D102" s="244">
        <f t="shared" ref="D102:Y102" si="87">INT(D84+D36*0.2)</f>
        <v>30</v>
      </c>
      <c r="E102" s="244">
        <f t="shared" si="87"/>
        <v>30</v>
      </c>
      <c r="F102" s="244">
        <f t="shared" si="87"/>
        <v>30</v>
      </c>
      <c r="G102" s="244">
        <f t="shared" si="87"/>
        <v>30</v>
      </c>
      <c r="H102" s="244">
        <f t="shared" si="87"/>
        <v>29</v>
      </c>
      <c r="I102" s="244">
        <f t="shared" si="87"/>
        <v>29</v>
      </c>
      <c r="J102" s="244">
        <f t="shared" si="87"/>
        <v>29</v>
      </c>
      <c r="K102" s="244">
        <f t="shared" si="87"/>
        <v>29</v>
      </c>
      <c r="L102" s="244">
        <f t="shared" si="87"/>
        <v>29</v>
      </c>
      <c r="M102" s="244">
        <f t="shared" si="87"/>
        <v>28</v>
      </c>
      <c r="N102" s="244">
        <f t="shared" si="87"/>
        <v>28</v>
      </c>
      <c r="O102" s="244">
        <f t="shared" si="87"/>
        <v>28</v>
      </c>
      <c r="P102" s="244">
        <f t="shared" si="87"/>
        <v>28</v>
      </c>
      <c r="Q102" s="244">
        <f t="shared" si="87"/>
        <v>28</v>
      </c>
      <c r="R102" s="244">
        <f t="shared" si="87"/>
        <v>27</v>
      </c>
      <c r="S102" s="244">
        <f t="shared" si="87"/>
        <v>26</v>
      </c>
      <c r="T102" s="244">
        <f t="shared" si="87"/>
        <v>26</v>
      </c>
      <c r="U102" s="244">
        <f t="shared" si="87"/>
        <v>26</v>
      </c>
      <c r="V102" s="244">
        <f t="shared" si="87"/>
        <v>26</v>
      </c>
      <c r="W102" s="244">
        <f t="shared" si="87"/>
        <v>25</v>
      </c>
      <c r="X102" s="244">
        <f t="shared" si="87"/>
        <v>25</v>
      </c>
      <c r="Y102" s="244">
        <f t="shared" si="87"/>
        <v>25</v>
      </c>
    </row>
    <row r="103">
      <c r="A103" s="241" t="str">
        <f>Items!A557</f>
        <v>Onyx bolts (e)</v>
      </c>
      <c r="B103" s="244" t="b">
        <f>AND(C$1="RANGED",OR('Sheet 1'!B$60=Items!A557,'Sheet 1'!B$60=Items!A558))</f>
        <v>0</v>
      </c>
      <c r="C103" s="243">
        <f t="shared" ref="C103:C104" si="89">1+IF(B103,0.25,0)</f>
        <v>1</v>
      </c>
      <c r="D103" s="244">
        <f t="shared" ref="D103:Y103" si="88">INT(D$84*$C103)</f>
        <v>7</v>
      </c>
      <c r="E103" s="244">
        <f t="shared" si="88"/>
        <v>7</v>
      </c>
      <c r="F103" s="244">
        <f t="shared" si="88"/>
        <v>7</v>
      </c>
      <c r="G103" s="244">
        <f t="shared" si="88"/>
        <v>7</v>
      </c>
      <c r="H103" s="244">
        <f t="shared" si="88"/>
        <v>7</v>
      </c>
      <c r="I103" s="244">
        <f t="shared" si="88"/>
        <v>7</v>
      </c>
      <c r="J103" s="244">
        <f t="shared" si="88"/>
        <v>7</v>
      </c>
      <c r="K103" s="244">
        <f t="shared" si="88"/>
        <v>7</v>
      </c>
      <c r="L103" s="244">
        <f t="shared" si="88"/>
        <v>7</v>
      </c>
      <c r="M103" s="244">
        <f t="shared" si="88"/>
        <v>7</v>
      </c>
      <c r="N103" s="244">
        <f t="shared" si="88"/>
        <v>7</v>
      </c>
      <c r="O103" s="244">
        <f t="shared" si="88"/>
        <v>7</v>
      </c>
      <c r="P103" s="244">
        <f t="shared" si="88"/>
        <v>7</v>
      </c>
      <c r="Q103" s="244">
        <f t="shared" si="88"/>
        <v>7</v>
      </c>
      <c r="R103" s="244">
        <f t="shared" si="88"/>
        <v>7</v>
      </c>
      <c r="S103" s="244">
        <f t="shared" si="88"/>
        <v>6</v>
      </c>
      <c r="T103" s="244">
        <f t="shared" si="88"/>
        <v>6</v>
      </c>
      <c r="U103" s="244">
        <f t="shared" si="88"/>
        <v>6</v>
      </c>
      <c r="V103" s="244">
        <f t="shared" si="88"/>
        <v>6</v>
      </c>
      <c r="W103" s="244">
        <f t="shared" si="88"/>
        <v>6</v>
      </c>
      <c r="X103" s="244">
        <f t="shared" si="88"/>
        <v>6</v>
      </c>
      <c r="Y103" s="244">
        <f t="shared" si="88"/>
        <v>6</v>
      </c>
    </row>
    <row r="104">
      <c r="A104" s="244" t="str">
        <f>Items!A539</f>
        <v>Opal bolts (e)</v>
      </c>
      <c r="B104" s="244" t="b">
        <f>AND(C$1="RANGED",OR('Sheet 1'!B$60=Items!A539,'Sheet 1'!B$60=Items!A540))</f>
        <v>0</v>
      </c>
      <c r="C104" s="243">
        <f t="shared" si="89"/>
        <v>1</v>
      </c>
      <c r="D104" s="244">
        <f t="shared" ref="D104:Y104" si="90">INT(D84+D36*0.1)</f>
        <v>18</v>
      </c>
      <c r="E104" s="244">
        <f t="shared" si="90"/>
        <v>18</v>
      </c>
      <c r="F104" s="244">
        <f t="shared" si="90"/>
        <v>18</v>
      </c>
      <c r="G104" s="244">
        <f t="shared" si="90"/>
        <v>18</v>
      </c>
      <c r="H104" s="244">
        <f t="shared" si="90"/>
        <v>18</v>
      </c>
      <c r="I104" s="244">
        <f t="shared" si="90"/>
        <v>18</v>
      </c>
      <c r="J104" s="244">
        <f t="shared" si="90"/>
        <v>18</v>
      </c>
      <c r="K104" s="244">
        <f t="shared" si="90"/>
        <v>18</v>
      </c>
      <c r="L104" s="244">
        <f t="shared" si="90"/>
        <v>18</v>
      </c>
      <c r="M104" s="244">
        <f t="shared" si="90"/>
        <v>17</v>
      </c>
      <c r="N104" s="244">
        <f t="shared" si="90"/>
        <v>17</v>
      </c>
      <c r="O104" s="244">
        <f t="shared" si="90"/>
        <v>17</v>
      </c>
      <c r="P104" s="244">
        <f t="shared" si="90"/>
        <v>17</v>
      </c>
      <c r="Q104" s="244">
        <f t="shared" si="90"/>
        <v>17</v>
      </c>
      <c r="R104" s="244">
        <f t="shared" si="90"/>
        <v>17</v>
      </c>
      <c r="S104" s="244">
        <f t="shared" si="90"/>
        <v>16</v>
      </c>
      <c r="T104" s="244">
        <f t="shared" si="90"/>
        <v>16</v>
      </c>
      <c r="U104" s="244">
        <f t="shared" si="90"/>
        <v>16</v>
      </c>
      <c r="V104" s="244">
        <f t="shared" si="90"/>
        <v>16</v>
      </c>
      <c r="W104" s="244">
        <f t="shared" si="90"/>
        <v>15</v>
      </c>
      <c r="X104" s="244">
        <f t="shared" si="90"/>
        <v>15</v>
      </c>
      <c r="Y104" s="244">
        <f t="shared" si="90"/>
        <v>15</v>
      </c>
    </row>
    <row r="105">
      <c r="A105" s="241" t="s">
        <v>202</v>
      </c>
      <c r="B105" s="244" t="b">
        <f>OR('Sheet 1'!B58=Items!A141,'Sheet 1'!B58=Items!A142,'Sheet 1'!B58=Items!A143,'Sheet 1'!B58=Items!A144,'Sheet 1'!B58=Items!A151,'Sheet 1'!B58=Items!A136)</f>
        <v>0</v>
      </c>
      <c r="C105" s="242" t="b">
        <f>'Sheet 1'!B58=Items!A136</f>
        <v>0</v>
      </c>
      <c r="D105" s="244">
        <f t="shared" ref="D105:Y105" si="91">INT(0.5+(D36+10)*(64+$C42)/640) + IF($C105,1,0)</f>
        <v>13</v>
      </c>
      <c r="E105" s="244">
        <f t="shared" si="91"/>
        <v>13</v>
      </c>
      <c r="F105" s="244">
        <f t="shared" si="91"/>
        <v>13</v>
      </c>
      <c r="G105" s="244">
        <f t="shared" si="91"/>
        <v>13</v>
      </c>
      <c r="H105" s="244">
        <f t="shared" si="91"/>
        <v>12</v>
      </c>
      <c r="I105" s="244">
        <f t="shared" si="91"/>
        <v>12</v>
      </c>
      <c r="J105" s="244">
        <f t="shared" si="91"/>
        <v>12</v>
      </c>
      <c r="K105" s="244">
        <f t="shared" si="91"/>
        <v>12</v>
      </c>
      <c r="L105" s="244">
        <f t="shared" si="91"/>
        <v>12</v>
      </c>
      <c r="M105" s="244">
        <f t="shared" si="91"/>
        <v>12</v>
      </c>
      <c r="N105" s="244">
        <f t="shared" si="91"/>
        <v>12</v>
      </c>
      <c r="O105" s="244">
        <f t="shared" si="91"/>
        <v>12</v>
      </c>
      <c r="P105" s="244">
        <f t="shared" si="91"/>
        <v>12</v>
      </c>
      <c r="Q105" s="244">
        <f t="shared" si="91"/>
        <v>12</v>
      </c>
      <c r="R105" s="244">
        <f t="shared" si="91"/>
        <v>11</v>
      </c>
      <c r="S105" s="244">
        <f t="shared" si="91"/>
        <v>11</v>
      </c>
      <c r="T105" s="244">
        <f t="shared" si="91"/>
        <v>11</v>
      </c>
      <c r="U105" s="244">
        <f t="shared" si="91"/>
        <v>11</v>
      </c>
      <c r="V105" s="244">
        <f t="shared" si="91"/>
        <v>11</v>
      </c>
      <c r="W105" s="244">
        <f t="shared" si="91"/>
        <v>11</v>
      </c>
      <c r="X105" s="244">
        <f t="shared" si="91"/>
        <v>11</v>
      </c>
      <c r="Y105" s="244">
        <f t="shared" si="91"/>
        <v>11</v>
      </c>
    </row>
    <row r="106">
      <c r="A106" s="244"/>
      <c r="B106" s="244"/>
      <c r="C106" s="243"/>
      <c r="D106" s="244"/>
      <c r="E106" s="244"/>
      <c r="F106" s="244"/>
      <c r="G106" s="244"/>
      <c r="H106" s="244"/>
      <c r="I106" s="244"/>
      <c r="J106" s="244"/>
      <c r="K106" s="244"/>
      <c r="L106" s="244"/>
      <c r="M106" s="244"/>
      <c r="N106" s="244"/>
      <c r="O106" s="244"/>
      <c r="P106" s="244"/>
      <c r="Q106" s="244"/>
      <c r="R106" s="244"/>
      <c r="S106" s="244"/>
      <c r="T106" s="244"/>
      <c r="U106" s="244"/>
      <c r="V106" s="244"/>
      <c r="W106" s="244"/>
      <c r="X106" s="244"/>
      <c r="Y106" s="244"/>
    </row>
    <row r="107">
      <c r="A107" s="248" t="s">
        <v>203</v>
      </c>
      <c r="B107" s="244"/>
      <c r="C107" s="251" t="s">
        <v>5</v>
      </c>
      <c r="D107" s="244">
        <f t="shared" ref="D107:Y107" si="92">IF($C1="MAGIC",D65,IF(ISERROR(VLOOKUP(TRUE,$B$87:$Y$92,2+D1,FALSE)),D84,VLOOKUP(TRUE,$B$87:$Y$92,2+D1,FALSE)))</f>
        <v>7</v>
      </c>
      <c r="E107" s="244">
        <f t="shared" si="92"/>
        <v>7</v>
      </c>
      <c r="F107" s="244">
        <f t="shared" si="92"/>
        <v>7</v>
      </c>
      <c r="G107" s="244">
        <f t="shared" si="92"/>
        <v>7</v>
      </c>
      <c r="H107" s="244">
        <f t="shared" si="92"/>
        <v>7</v>
      </c>
      <c r="I107" s="244">
        <f t="shared" si="92"/>
        <v>7</v>
      </c>
      <c r="J107" s="244">
        <f t="shared" si="92"/>
        <v>7</v>
      </c>
      <c r="K107" s="244">
        <f t="shared" si="92"/>
        <v>7</v>
      </c>
      <c r="L107" s="244">
        <f t="shared" si="92"/>
        <v>7</v>
      </c>
      <c r="M107" s="244">
        <f t="shared" si="92"/>
        <v>7</v>
      </c>
      <c r="N107" s="244">
        <f t="shared" si="92"/>
        <v>7</v>
      </c>
      <c r="O107" s="244">
        <f t="shared" si="92"/>
        <v>7</v>
      </c>
      <c r="P107" s="244">
        <f t="shared" si="92"/>
        <v>7</v>
      </c>
      <c r="Q107" s="244">
        <f t="shared" si="92"/>
        <v>7</v>
      </c>
      <c r="R107" s="244">
        <f t="shared" si="92"/>
        <v>7</v>
      </c>
      <c r="S107" s="244">
        <f t="shared" si="92"/>
        <v>6</v>
      </c>
      <c r="T107" s="244">
        <f t="shared" si="92"/>
        <v>6</v>
      </c>
      <c r="U107" s="244">
        <f t="shared" si="92"/>
        <v>6</v>
      </c>
      <c r="V107" s="244">
        <f t="shared" si="92"/>
        <v>6</v>
      </c>
      <c r="W107" s="244">
        <f t="shared" si="92"/>
        <v>6</v>
      </c>
      <c r="X107" s="244">
        <f t="shared" si="92"/>
        <v>6</v>
      </c>
      <c r="Y107" s="244">
        <f t="shared" si="92"/>
        <v>6</v>
      </c>
    </row>
    <row r="108">
      <c r="A108" s="248" t="s">
        <v>204</v>
      </c>
      <c r="B108" s="244"/>
      <c r="C108" s="251" t="s">
        <v>205</v>
      </c>
      <c r="D108" s="244" t="str">
        <f t="shared" ref="D108:Y108" si="93">IF($C1="MAGIC",IF($B70=FALSE,,D70),IF(ISERROR(VLOOKUP(TRUE,$B$93:$Y$105,2+D1,FALSE)),IF($C30,,D86),VLOOKUP(TRUE,$B$93:$Y$105,2+D1,FALSE)))</f>
        <v/>
      </c>
      <c r="E108" s="244" t="str">
        <f t="shared" si="93"/>
        <v/>
      </c>
      <c r="F108" s="244" t="str">
        <f t="shared" si="93"/>
        <v/>
      </c>
      <c r="G108" s="244" t="str">
        <f t="shared" si="93"/>
        <v/>
      </c>
      <c r="H108" s="244" t="str">
        <f t="shared" si="93"/>
        <v/>
      </c>
      <c r="I108" s="244" t="str">
        <f t="shared" si="93"/>
        <v/>
      </c>
      <c r="J108" s="244" t="str">
        <f t="shared" si="93"/>
        <v/>
      </c>
      <c r="K108" s="244" t="str">
        <f t="shared" si="93"/>
        <v/>
      </c>
      <c r="L108" s="244" t="str">
        <f t="shared" si="93"/>
        <v/>
      </c>
      <c r="M108" s="244" t="str">
        <f t="shared" si="93"/>
        <v/>
      </c>
      <c r="N108" s="244" t="str">
        <f t="shared" si="93"/>
        <v/>
      </c>
      <c r="O108" s="244" t="str">
        <f t="shared" si="93"/>
        <v/>
      </c>
      <c r="P108" s="244" t="str">
        <f t="shared" si="93"/>
        <v/>
      </c>
      <c r="Q108" s="244" t="str">
        <f t="shared" si="93"/>
        <v/>
      </c>
      <c r="R108" s="244" t="str">
        <f t="shared" si="93"/>
        <v/>
      </c>
      <c r="S108" s="244" t="str">
        <f t="shared" si="93"/>
        <v/>
      </c>
      <c r="T108" s="244" t="str">
        <f t="shared" si="93"/>
        <v/>
      </c>
      <c r="U108" s="244" t="str">
        <f t="shared" si="93"/>
        <v/>
      </c>
      <c r="V108" s="244" t="str">
        <f t="shared" si="93"/>
        <v/>
      </c>
      <c r="W108" s="244" t="str">
        <f t="shared" si="93"/>
        <v/>
      </c>
      <c r="X108" s="244" t="str">
        <f t="shared" si="93"/>
        <v/>
      </c>
      <c r="Y108" s="244" t="str">
        <f t="shared" si="93"/>
        <v/>
      </c>
    </row>
    <row r="109">
      <c r="A109" s="246"/>
      <c r="B109" s="244"/>
      <c r="C109" s="243"/>
      <c r="D109" s="244"/>
      <c r="E109" s="244"/>
      <c r="F109" s="244"/>
      <c r="G109" s="244"/>
      <c r="H109" s="244"/>
      <c r="I109" s="244"/>
      <c r="J109" s="244"/>
      <c r="K109" s="244"/>
      <c r="L109" s="244"/>
      <c r="M109" s="244"/>
      <c r="N109" s="244"/>
      <c r="O109" s="244"/>
      <c r="P109" s="244"/>
      <c r="Q109" s="244"/>
      <c r="R109" s="244"/>
      <c r="S109" s="244"/>
      <c r="T109" s="244"/>
      <c r="U109" s="244"/>
      <c r="V109" s="244"/>
      <c r="W109" s="244"/>
      <c r="X109" s="244"/>
      <c r="Y109" s="244"/>
    </row>
    <row r="110">
      <c r="A110" s="252" t="s">
        <v>206</v>
      </c>
      <c r="B110" s="244" t="b">
        <f>OR(B140='NPC stats'!A451,B140='NPC stats'!A452,B140='NPC stats'!A453,B140='NPC stats'!A96)</f>
        <v>1</v>
      </c>
      <c r="C110" s="243">
        <f>IF(B110,if(B140='NPC stats'!A96,50,47.5),)</f>
        <v>50</v>
      </c>
      <c r="D110" s="244"/>
      <c r="E110" s="244"/>
      <c r="F110" s="244"/>
      <c r="G110" s="244"/>
      <c r="H110" s="244"/>
      <c r="I110" s="244"/>
      <c r="J110" s="244"/>
      <c r="K110" s="244"/>
      <c r="L110" s="244"/>
      <c r="M110" s="244"/>
      <c r="N110" s="244"/>
      <c r="O110" s="244"/>
      <c r="P110" s="244"/>
      <c r="Q110" s="244"/>
      <c r="R110" s="244"/>
      <c r="S110" s="244"/>
      <c r="T110" s="244"/>
      <c r="U110" s="244"/>
      <c r="V110" s="244"/>
      <c r="W110" s="244"/>
      <c r="X110" s="244"/>
      <c r="Y110" s="244"/>
    </row>
    <row r="111">
      <c r="B111" s="253" t="b">
        <f>'Sheet 1'!B58=Items!A122</f>
        <v>0</v>
      </c>
      <c r="C111" s="243" t="str">
        <f>IF(B111,48,)</f>
        <v/>
      </c>
      <c r="D111" s="244"/>
      <c r="E111" s="244"/>
      <c r="F111" s="244"/>
      <c r="G111" s="244"/>
      <c r="H111" s="244"/>
      <c r="I111" s="244"/>
      <c r="J111" s="244"/>
      <c r="K111" s="244"/>
      <c r="L111" s="244"/>
      <c r="M111" s="244"/>
      <c r="N111" s="244"/>
      <c r="O111" s="244"/>
      <c r="P111" s="244"/>
      <c r="Q111" s="244"/>
      <c r="R111" s="244"/>
      <c r="S111" s="244"/>
      <c r="T111" s="244"/>
      <c r="U111" s="244"/>
      <c r="V111" s="244"/>
      <c r="W111" s="244"/>
      <c r="X111" s="244"/>
      <c r="Y111" s="244"/>
    </row>
    <row r="112">
      <c r="B112" s="244" t="b">
        <f>B140='NPC stats'!A96</f>
        <v>1</v>
      </c>
      <c r="C112" s="243">
        <f>IF(B112,IF(OR('Sheet 1'!B58=Items!A102,'Sheet 1'!B58=Items!A19,'Sheet 1'!B58=Items!A31,'Sheet 1'!B58=Items!A49,'Sheet 1'!B58=Items!A81,'Sheet 1'!B58=Items!A37,C1="Magic"),1,0.5),1)</f>
        <v>0.5</v>
      </c>
      <c r="D112" s="244"/>
      <c r="E112" s="244"/>
      <c r="F112" s="244"/>
      <c r="G112" s="244"/>
      <c r="H112" s="244"/>
      <c r="I112" s="244"/>
      <c r="J112" s="244"/>
      <c r="K112" s="244"/>
      <c r="L112" s="244"/>
      <c r="M112" s="244"/>
      <c r="N112" s="244"/>
      <c r="O112" s="244"/>
      <c r="P112" s="244"/>
      <c r="Q112" s="244"/>
      <c r="R112" s="244"/>
      <c r="S112" s="244"/>
      <c r="T112" s="244"/>
      <c r="U112" s="244"/>
      <c r="V112" s="244"/>
      <c r="W112" s="244"/>
      <c r="X112" s="244"/>
      <c r="Y112" s="244"/>
    </row>
    <row r="113">
      <c r="B113" s="244" t="b">
        <f>or(B140='NPC stats'!A487,B140='NPC stats'!A508)</f>
        <v>0</v>
      </c>
      <c r="C113" s="243">
        <f>if(B113,if(OR(C44=Items!A588,C44=Items!A589,C44=Items!A590,C44=Items!A591,C44=Items!A592),1.5,0.35),C112)</f>
        <v>0.5</v>
      </c>
      <c r="D113" s="244"/>
      <c r="E113" s="244"/>
      <c r="F113" s="244"/>
      <c r="G113" s="244"/>
      <c r="H113" s="244"/>
      <c r="I113" s="244"/>
      <c r="J113" s="244"/>
      <c r="K113" s="244"/>
      <c r="L113" s="244"/>
      <c r="M113" s="244"/>
      <c r="N113" s="244"/>
      <c r="O113" s="244"/>
      <c r="P113" s="244"/>
      <c r="Q113" s="244"/>
      <c r="R113" s="244"/>
      <c r="S113" s="244"/>
      <c r="T113" s="244"/>
      <c r="U113" s="244"/>
      <c r="V113" s="244"/>
      <c r="W113" s="244"/>
      <c r="X113" s="244"/>
      <c r="Y113" s="244"/>
    </row>
    <row r="114">
      <c r="A114" s="244"/>
      <c r="B114" s="244"/>
      <c r="C114" s="243"/>
      <c r="D114" s="244"/>
      <c r="E114" s="244"/>
      <c r="F114" s="244"/>
      <c r="G114" s="244"/>
      <c r="H114" s="244"/>
      <c r="I114" s="244"/>
      <c r="J114" s="244"/>
      <c r="K114" s="244"/>
      <c r="L114" s="244"/>
      <c r="M114" s="244"/>
      <c r="N114" s="244"/>
      <c r="O114" s="244"/>
      <c r="P114" s="244"/>
      <c r="Q114" s="244"/>
      <c r="R114" s="244"/>
      <c r="S114" s="244"/>
      <c r="T114" s="244"/>
      <c r="U114" s="244"/>
      <c r="V114" s="244"/>
      <c r="W114" s="244"/>
      <c r="X114" s="244"/>
      <c r="Y114" s="244"/>
    </row>
    <row r="115">
      <c r="A115" s="241" t="s">
        <v>170</v>
      </c>
      <c r="B115" s="244"/>
      <c r="C115" s="243"/>
      <c r="D115" s="244">
        <f t="shared" ref="D115:Y115" si="94">D27</f>
        <v>0.0911367242</v>
      </c>
      <c r="E115" s="244">
        <f t="shared" si="94"/>
        <v>0.09052506833</v>
      </c>
      <c r="F115" s="244">
        <f t="shared" si="94"/>
        <v>0.08991341247</v>
      </c>
      <c r="G115" s="244">
        <f t="shared" si="94"/>
        <v>0.0893017566</v>
      </c>
      <c r="H115" s="244">
        <f t="shared" si="94"/>
        <v>0.08807844486</v>
      </c>
      <c r="I115" s="244">
        <f t="shared" si="94"/>
        <v>0.087466789</v>
      </c>
      <c r="J115" s="244">
        <f t="shared" si="94"/>
        <v>0.08685513313</v>
      </c>
      <c r="K115" s="244">
        <f t="shared" si="94"/>
        <v>0.08624347726</v>
      </c>
      <c r="L115" s="244">
        <f t="shared" si="94"/>
        <v>0.0856318214</v>
      </c>
      <c r="M115" s="244">
        <f t="shared" si="94"/>
        <v>0.08440850966</v>
      </c>
      <c r="N115" s="244">
        <f t="shared" si="94"/>
        <v>0.0837968538</v>
      </c>
      <c r="O115" s="244">
        <f t="shared" si="94"/>
        <v>0.08318519793</v>
      </c>
      <c r="P115" s="244">
        <f t="shared" si="94"/>
        <v>0.08257354206</v>
      </c>
      <c r="Q115" s="244">
        <f t="shared" si="94"/>
        <v>0.08196188619</v>
      </c>
      <c r="R115" s="244">
        <f t="shared" si="94"/>
        <v>0.08073857446</v>
      </c>
      <c r="S115" s="244">
        <f t="shared" si="94"/>
        <v>0.08012691859</v>
      </c>
      <c r="T115" s="244">
        <f t="shared" si="94"/>
        <v>0.07951526273</v>
      </c>
      <c r="U115" s="244">
        <f t="shared" si="94"/>
        <v>0.07890360686</v>
      </c>
      <c r="V115" s="244">
        <f t="shared" si="94"/>
        <v>0.07829195099</v>
      </c>
      <c r="W115" s="244">
        <f t="shared" si="94"/>
        <v>0.07706863926</v>
      </c>
      <c r="X115" s="244">
        <f t="shared" si="94"/>
        <v>0.07706863926</v>
      </c>
      <c r="Y115" s="244">
        <f t="shared" si="94"/>
        <v>0.07706863926</v>
      </c>
    </row>
    <row r="116">
      <c r="A116" s="241" t="s">
        <v>201</v>
      </c>
      <c r="B116" s="244" t="b">
        <f>B98</f>
        <v>0</v>
      </c>
      <c r="C116" s="243" t="b">
        <f>IF(B116,0.25)</f>
        <v>0</v>
      </c>
      <c r="D116" s="244">
        <f>$C116*0.5*D$108 + (1-$C116)*D$115*0.5*D$107</f>
        <v>0.3189785347</v>
      </c>
      <c r="E116" s="244">
        <f t="shared" ref="E116:Y116" si="95">$C116*0.5*E108 + (1-$C116)*E115*0.5*E107</f>
        <v>0.3168377392</v>
      </c>
      <c r="F116" s="244">
        <f t="shared" si="95"/>
        <v>0.3146969436</v>
      </c>
      <c r="G116" s="244">
        <f t="shared" si="95"/>
        <v>0.3125561481</v>
      </c>
      <c r="H116" s="244">
        <f t="shared" si="95"/>
        <v>0.308274557</v>
      </c>
      <c r="I116" s="244">
        <f t="shared" si="95"/>
        <v>0.3061337615</v>
      </c>
      <c r="J116" s="244">
        <f t="shared" si="95"/>
        <v>0.303992966</v>
      </c>
      <c r="K116" s="244">
        <f t="shared" si="95"/>
        <v>0.3018521704</v>
      </c>
      <c r="L116" s="244">
        <f t="shared" si="95"/>
        <v>0.2997113749</v>
      </c>
      <c r="M116" s="244">
        <f t="shared" si="95"/>
        <v>0.2954297838</v>
      </c>
      <c r="N116" s="244">
        <f t="shared" si="95"/>
        <v>0.2932889883</v>
      </c>
      <c r="O116" s="244">
        <f t="shared" si="95"/>
        <v>0.2911481927</v>
      </c>
      <c r="P116" s="244">
        <f t="shared" si="95"/>
        <v>0.2890073972</v>
      </c>
      <c r="Q116" s="244">
        <f t="shared" si="95"/>
        <v>0.2868666017</v>
      </c>
      <c r="R116" s="244">
        <f t="shared" si="95"/>
        <v>0.2825850106</v>
      </c>
      <c r="S116" s="244">
        <f t="shared" si="95"/>
        <v>0.2403807558</v>
      </c>
      <c r="T116" s="244">
        <f t="shared" si="95"/>
        <v>0.2385457882</v>
      </c>
      <c r="U116" s="244">
        <f t="shared" si="95"/>
        <v>0.2367108206</v>
      </c>
      <c r="V116" s="244">
        <f t="shared" si="95"/>
        <v>0.234875853</v>
      </c>
      <c r="W116" s="244">
        <f t="shared" si="95"/>
        <v>0.2312059178</v>
      </c>
      <c r="X116" s="244">
        <f t="shared" si="95"/>
        <v>0.2312059178</v>
      </c>
      <c r="Y116" s="244">
        <f t="shared" si="95"/>
        <v>0.2312059178</v>
      </c>
    </row>
    <row r="117">
      <c r="A117" s="244" t="str">
        <f t="shared" ref="A117:B117" si="96">A99</f>
        <v>Pearl bolts (e)</v>
      </c>
      <c r="B117" s="244" t="b">
        <f t="shared" si="96"/>
        <v>0</v>
      </c>
      <c r="C117" s="243" t="b">
        <f>IF(B117,0.06*IF('Sheet 1'!$E$95=TRUE,1.1,1))</f>
        <v>0</v>
      </c>
      <c r="D117" s="244">
        <f t="shared" ref="D117:Y117" si="97">$C117*(0.5*D$107+INT(D108-D107)) + D$115*(1-$C117)*0.5*D$107</f>
        <v>0.3189785347</v>
      </c>
      <c r="E117" s="244">
        <f t="shared" si="97"/>
        <v>0.3168377392</v>
      </c>
      <c r="F117" s="244">
        <f t="shared" si="97"/>
        <v>0.3146969436</v>
      </c>
      <c r="G117" s="244">
        <f t="shared" si="97"/>
        <v>0.3125561481</v>
      </c>
      <c r="H117" s="244">
        <f t="shared" si="97"/>
        <v>0.308274557</v>
      </c>
      <c r="I117" s="244">
        <f t="shared" si="97"/>
        <v>0.3061337615</v>
      </c>
      <c r="J117" s="244">
        <f t="shared" si="97"/>
        <v>0.303992966</v>
      </c>
      <c r="K117" s="244">
        <f t="shared" si="97"/>
        <v>0.3018521704</v>
      </c>
      <c r="L117" s="244">
        <f t="shared" si="97"/>
        <v>0.2997113749</v>
      </c>
      <c r="M117" s="244">
        <f t="shared" si="97"/>
        <v>0.2954297838</v>
      </c>
      <c r="N117" s="244">
        <f t="shared" si="97"/>
        <v>0.2932889883</v>
      </c>
      <c r="O117" s="244">
        <f t="shared" si="97"/>
        <v>0.2911481927</v>
      </c>
      <c r="P117" s="244">
        <f t="shared" si="97"/>
        <v>0.2890073972</v>
      </c>
      <c r="Q117" s="244">
        <f t="shared" si="97"/>
        <v>0.2868666017</v>
      </c>
      <c r="R117" s="244">
        <f t="shared" si="97"/>
        <v>0.2825850106</v>
      </c>
      <c r="S117" s="244">
        <f t="shared" si="97"/>
        <v>0.2403807558</v>
      </c>
      <c r="T117" s="244">
        <f t="shared" si="97"/>
        <v>0.2385457882</v>
      </c>
      <c r="U117" s="244">
        <f t="shared" si="97"/>
        <v>0.2367108206</v>
      </c>
      <c r="V117" s="244">
        <f t="shared" si="97"/>
        <v>0.234875853</v>
      </c>
      <c r="W117" s="244">
        <f t="shared" si="97"/>
        <v>0.2312059178</v>
      </c>
      <c r="X117" s="244">
        <f t="shared" si="97"/>
        <v>0.2312059178</v>
      </c>
      <c r="Y117" s="244">
        <f t="shared" si="97"/>
        <v>0.2312059178</v>
      </c>
    </row>
    <row r="118">
      <c r="A118" s="244" t="str">
        <f t="shared" ref="A118:B118" si="98">A100</f>
        <v>Ruby bolts (e)</v>
      </c>
      <c r="B118" s="244" t="b">
        <f t="shared" si="98"/>
        <v>0</v>
      </c>
      <c r="C118" s="243" t="b">
        <f>IF(B118,0.06*IF('Sheet 1'!$E$95=TRUE,1.1,1))</f>
        <v>0</v>
      </c>
      <c r="D118" s="244">
        <f t="shared" ref="D118:Y118" si="99">$C118*D$108 + (1-$C118)*D$115*0.5*D$107</f>
        <v>0.3189785347</v>
      </c>
      <c r="E118" s="244">
        <f t="shared" si="99"/>
        <v>0.3168377392</v>
      </c>
      <c r="F118" s="244">
        <f t="shared" si="99"/>
        <v>0.3146969436</v>
      </c>
      <c r="G118" s="244">
        <f t="shared" si="99"/>
        <v>0.3125561481</v>
      </c>
      <c r="H118" s="244">
        <f t="shared" si="99"/>
        <v>0.308274557</v>
      </c>
      <c r="I118" s="244">
        <f t="shared" si="99"/>
        <v>0.3061337615</v>
      </c>
      <c r="J118" s="244">
        <f t="shared" si="99"/>
        <v>0.303992966</v>
      </c>
      <c r="K118" s="244">
        <f t="shared" si="99"/>
        <v>0.3018521704</v>
      </c>
      <c r="L118" s="244">
        <f t="shared" si="99"/>
        <v>0.2997113749</v>
      </c>
      <c r="M118" s="244">
        <f t="shared" si="99"/>
        <v>0.2954297838</v>
      </c>
      <c r="N118" s="244">
        <f t="shared" si="99"/>
        <v>0.2932889883</v>
      </c>
      <c r="O118" s="244">
        <f t="shared" si="99"/>
        <v>0.2911481927</v>
      </c>
      <c r="P118" s="244">
        <f t="shared" si="99"/>
        <v>0.2890073972</v>
      </c>
      <c r="Q118" s="244">
        <f t="shared" si="99"/>
        <v>0.2868666017</v>
      </c>
      <c r="R118" s="244">
        <f t="shared" si="99"/>
        <v>0.2825850106</v>
      </c>
      <c r="S118" s="244">
        <f t="shared" si="99"/>
        <v>0.2403807558</v>
      </c>
      <c r="T118" s="244">
        <f t="shared" si="99"/>
        <v>0.2385457882</v>
      </c>
      <c r="U118" s="244">
        <f t="shared" si="99"/>
        <v>0.2367108206</v>
      </c>
      <c r="V118" s="244">
        <f t="shared" si="99"/>
        <v>0.234875853</v>
      </c>
      <c r="W118" s="244">
        <f t="shared" si="99"/>
        <v>0.2312059178</v>
      </c>
      <c r="X118" s="244">
        <f t="shared" si="99"/>
        <v>0.2312059178</v>
      </c>
      <c r="Y118" s="244">
        <f t="shared" si="99"/>
        <v>0.2312059178</v>
      </c>
    </row>
    <row r="119">
      <c r="A119" s="244" t="str">
        <f t="shared" ref="A119:B119" si="100">A101</f>
        <v>Diamond bolts (e)</v>
      </c>
      <c r="B119" s="244" t="b">
        <f t="shared" si="100"/>
        <v>0</v>
      </c>
      <c r="C119" s="243" t="b">
        <f>IF(B119,0.1*IF('Sheet 1'!$E$95=TRUE,1.1,1))</f>
        <v>0</v>
      </c>
      <c r="D119" s="244">
        <f t="shared" ref="D119:Y119" si="101">$C119*0.5*D$108 + (1-$C119)*D$115*0.5*D$107</f>
        <v>0.3189785347</v>
      </c>
      <c r="E119" s="244">
        <f t="shared" si="101"/>
        <v>0.3168377392</v>
      </c>
      <c r="F119" s="244">
        <f t="shared" si="101"/>
        <v>0.3146969436</v>
      </c>
      <c r="G119" s="244">
        <f t="shared" si="101"/>
        <v>0.3125561481</v>
      </c>
      <c r="H119" s="244">
        <f t="shared" si="101"/>
        <v>0.308274557</v>
      </c>
      <c r="I119" s="244">
        <f t="shared" si="101"/>
        <v>0.3061337615</v>
      </c>
      <c r="J119" s="244">
        <f t="shared" si="101"/>
        <v>0.303992966</v>
      </c>
      <c r="K119" s="244">
        <f t="shared" si="101"/>
        <v>0.3018521704</v>
      </c>
      <c r="L119" s="244">
        <f t="shared" si="101"/>
        <v>0.2997113749</v>
      </c>
      <c r="M119" s="244">
        <f t="shared" si="101"/>
        <v>0.2954297838</v>
      </c>
      <c r="N119" s="244">
        <f t="shared" si="101"/>
        <v>0.2932889883</v>
      </c>
      <c r="O119" s="244">
        <f t="shared" si="101"/>
        <v>0.2911481927</v>
      </c>
      <c r="P119" s="244">
        <f t="shared" si="101"/>
        <v>0.2890073972</v>
      </c>
      <c r="Q119" s="244">
        <f t="shared" si="101"/>
        <v>0.2868666017</v>
      </c>
      <c r="R119" s="244">
        <f t="shared" si="101"/>
        <v>0.2825850106</v>
      </c>
      <c r="S119" s="244">
        <f t="shared" si="101"/>
        <v>0.2403807558</v>
      </c>
      <c r="T119" s="244">
        <f t="shared" si="101"/>
        <v>0.2385457882</v>
      </c>
      <c r="U119" s="244">
        <f t="shared" si="101"/>
        <v>0.2367108206</v>
      </c>
      <c r="V119" s="244">
        <f t="shared" si="101"/>
        <v>0.234875853</v>
      </c>
      <c r="W119" s="244">
        <f t="shared" si="101"/>
        <v>0.2312059178</v>
      </c>
      <c r="X119" s="244">
        <f t="shared" si="101"/>
        <v>0.2312059178</v>
      </c>
      <c r="Y119" s="244">
        <f t="shared" si="101"/>
        <v>0.2312059178</v>
      </c>
    </row>
    <row r="120">
      <c r="A120" s="244" t="str">
        <f t="shared" ref="A120:B120" si="102">A102</f>
        <v>Dragonstone bolts (e)</v>
      </c>
      <c r="B120" s="244" t="b">
        <f t="shared" si="102"/>
        <v>0</v>
      </c>
      <c r="C120" s="243" t="b">
        <f>IF(B120,0.06*IF('Sheet 1'!$E$95=TRUE,1.1,1))</f>
        <v>0</v>
      </c>
      <c r="D120" s="244">
        <f t="shared" ref="D120:Y120" si="103">D$115*$C120*(0.5*D$107+INT(D108-D107)) + D$115*(1-$C120)*0.5*D$107</f>
        <v>0.3189785347</v>
      </c>
      <c r="E120" s="244">
        <f t="shared" si="103"/>
        <v>0.3168377392</v>
      </c>
      <c r="F120" s="244">
        <f t="shared" si="103"/>
        <v>0.3146969436</v>
      </c>
      <c r="G120" s="244">
        <f t="shared" si="103"/>
        <v>0.3125561481</v>
      </c>
      <c r="H120" s="244">
        <f t="shared" si="103"/>
        <v>0.308274557</v>
      </c>
      <c r="I120" s="244">
        <f t="shared" si="103"/>
        <v>0.3061337615</v>
      </c>
      <c r="J120" s="244">
        <f t="shared" si="103"/>
        <v>0.303992966</v>
      </c>
      <c r="K120" s="244">
        <f t="shared" si="103"/>
        <v>0.3018521704</v>
      </c>
      <c r="L120" s="244">
        <f t="shared" si="103"/>
        <v>0.2997113749</v>
      </c>
      <c r="M120" s="244">
        <f t="shared" si="103"/>
        <v>0.2954297838</v>
      </c>
      <c r="N120" s="244">
        <f t="shared" si="103"/>
        <v>0.2932889883</v>
      </c>
      <c r="O120" s="244">
        <f t="shared" si="103"/>
        <v>0.2911481927</v>
      </c>
      <c r="P120" s="244">
        <f t="shared" si="103"/>
        <v>0.2890073972</v>
      </c>
      <c r="Q120" s="244">
        <f t="shared" si="103"/>
        <v>0.2868666017</v>
      </c>
      <c r="R120" s="244">
        <f t="shared" si="103"/>
        <v>0.2825850106</v>
      </c>
      <c r="S120" s="244">
        <f t="shared" si="103"/>
        <v>0.2403807558</v>
      </c>
      <c r="T120" s="244">
        <f t="shared" si="103"/>
        <v>0.2385457882</v>
      </c>
      <c r="U120" s="244">
        <f t="shared" si="103"/>
        <v>0.2367108206</v>
      </c>
      <c r="V120" s="244">
        <f t="shared" si="103"/>
        <v>0.234875853</v>
      </c>
      <c r="W120" s="244">
        <f t="shared" si="103"/>
        <v>0.2312059178</v>
      </c>
      <c r="X120" s="244">
        <f t="shared" si="103"/>
        <v>0.2312059178</v>
      </c>
      <c r="Y120" s="244">
        <f t="shared" si="103"/>
        <v>0.2312059178</v>
      </c>
    </row>
    <row r="121">
      <c r="A121" s="244" t="str">
        <f t="shared" ref="A121:B121" si="104">A103</f>
        <v>Onyx bolts (e)</v>
      </c>
      <c r="B121" s="244" t="b">
        <f t="shared" si="104"/>
        <v>0</v>
      </c>
      <c r="C121" s="243" t="b">
        <f>IF(B121,0.11*IF('Sheet 1'!$E$95=TRUE,1.1,1))</f>
        <v>0</v>
      </c>
      <c r="D121" s="244">
        <f t="shared" ref="D121:Y121" si="105">$C121*D115*0.5*D$108 + (1-$C121)*D$115*0.5*D$107</f>
        <v>0.3189785347</v>
      </c>
      <c r="E121" s="244">
        <f t="shared" si="105"/>
        <v>0.3168377392</v>
      </c>
      <c r="F121" s="244">
        <f t="shared" si="105"/>
        <v>0.3146969436</v>
      </c>
      <c r="G121" s="244">
        <f t="shared" si="105"/>
        <v>0.3125561481</v>
      </c>
      <c r="H121" s="244">
        <f t="shared" si="105"/>
        <v>0.308274557</v>
      </c>
      <c r="I121" s="244">
        <f t="shared" si="105"/>
        <v>0.3061337615</v>
      </c>
      <c r="J121" s="244">
        <f t="shared" si="105"/>
        <v>0.303992966</v>
      </c>
      <c r="K121" s="244">
        <f t="shared" si="105"/>
        <v>0.3018521704</v>
      </c>
      <c r="L121" s="244">
        <f t="shared" si="105"/>
        <v>0.2997113749</v>
      </c>
      <c r="M121" s="244">
        <f t="shared" si="105"/>
        <v>0.2954297838</v>
      </c>
      <c r="N121" s="244">
        <f t="shared" si="105"/>
        <v>0.2932889883</v>
      </c>
      <c r="O121" s="244">
        <f t="shared" si="105"/>
        <v>0.2911481927</v>
      </c>
      <c r="P121" s="244">
        <f t="shared" si="105"/>
        <v>0.2890073972</v>
      </c>
      <c r="Q121" s="244">
        <f t="shared" si="105"/>
        <v>0.2868666017</v>
      </c>
      <c r="R121" s="244">
        <f t="shared" si="105"/>
        <v>0.2825850106</v>
      </c>
      <c r="S121" s="244">
        <f t="shared" si="105"/>
        <v>0.2403807558</v>
      </c>
      <c r="T121" s="244">
        <f t="shared" si="105"/>
        <v>0.2385457882</v>
      </c>
      <c r="U121" s="244">
        <f t="shared" si="105"/>
        <v>0.2367108206</v>
      </c>
      <c r="V121" s="244">
        <f t="shared" si="105"/>
        <v>0.234875853</v>
      </c>
      <c r="W121" s="244">
        <f t="shared" si="105"/>
        <v>0.2312059178</v>
      </c>
      <c r="X121" s="244">
        <f t="shared" si="105"/>
        <v>0.2312059178</v>
      </c>
      <c r="Y121" s="244">
        <f t="shared" si="105"/>
        <v>0.2312059178</v>
      </c>
    </row>
    <row r="122">
      <c r="A122" s="244" t="str">
        <f t="shared" ref="A122:B122" si="106">A104</f>
        <v>Opal bolts (e)</v>
      </c>
      <c r="B122" s="244" t="b">
        <f t="shared" si="106"/>
        <v>0</v>
      </c>
      <c r="C122" s="243" t="b">
        <f>IF(B122,0.05*IF('Sheet 1'!$E$95=TRUE,1.1,1))</f>
        <v>0</v>
      </c>
      <c r="D122" s="244">
        <f t="shared" ref="D122:Y122" si="107">$C122*(0.5*D$107+INT(D108-D107)) + D$115*(1-$C122)*0.5*D$107</f>
        <v>0.3189785347</v>
      </c>
      <c r="E122" s="244">
        <f t="shared" si="107"/>
        <v>0.3168377392</v>
      </c>
      <c r="F122" s="244">
        <f t="shared" si="107"/>
        <v>0.3146969436</v>
      </c>
      <c r="G122" s="244">
        <f t="shared" si="107"/>
        <v>0.3125561481</v>
      </c>
      <c r="H122" s="244">
        <f t="shared" si="107"/>
        <v>0.308274557</v>
      </c>
      <c r="I122" s="244">
        <f t="shared" si="107"/>
        <v>0.3061337615</v>
      </c>
      <c r="J122" s="244">
        <f t="shared" si="107"/>
        <v>0.303992966</v>
      </c>
      <c r="K122" s="244">
        <f t="shared" si="107"/>
        <v>0.3018521704</v>
      </c>
      <c r="L122" s="244">
        <f t="shared" si="107"/>
        <v>0.2997113749</v>
      </c>
      <c r="M122" s="244">
        <f t="shared" si="107"/>
        <v>0.2954297838</v>
      </c>
      <c r="N122" s="244">
        <f t="shared" si="107"/>
        <v>0.2932889883</v>
      </c>
      <c r="O122" s="244">
        <f t="shared" si="107"/>
        <v>0.2911481927</v>
      </c>
      <c r="P122" s="244">
        <f t="shared" si="107"/>
        <v>0.2890073972</v>
      </c>
      <c r="Q122" s="244">
        <f t="shared" si="107"/>
        <v>0.2868666017</v>
      </c>
      <c r="R122" s="244">
        <f t="shared" si="107"/>
        <v>0.2825850106</v>
      </c>
      <c r="S122" s="244">
        <f t="shared" si="107"/>
        <v>0.2403807558</v>
      </c>
      <c r="T122" s="244">
        <f t="shared" si="107"/>
        <v>0.2385457882</v>
      </c>
      <c r="U122" s="244">
        <f t="shared" si="107"/>
        <v>0.2367108206</v>
      </c>
      <c r="V122" s="244">
        <f t="shared" si="107"/>
        <v>0.234875853</v>
      </c>
      <c r="W122" s="244">
        <f t="shared" si="107"/>
        <v>0.2312059178</v>
      </c>
      <c r="X122" s="244">
        <f t="shared" si="107"/>
        <v>0.2312059178</v>
      </c>
      <c r="Y122" s="244">
        <f t="shared" si="107"/>
        <v>0.2312059178</v>
      </c>
    </row>
    <row r="123">
      <c r="A123" s="241" t="s">
        <v>185</v>
      </c>
      <c r="B123" s="244" t="b">
        <f>B66</f>
        <v>0</v>
      </c>
      <c r="C123" s="243" t="b">
        <f>IF(B123,0.25)</f>
        <v>0</v>
      </c>
      <c r="D123" s="244">
        <f t="shared" ref="D123:Y123" si="108">D115*$C123*INT(D131) + D115*(1-$C123)*0.5*INT(D107)</f>
        <v>0.3189785347</v>
      </c>
      <c r="E123" s="244">
        <f t="shared" si="108"/>
        <v>0.3168377392</v>
      </c>
      <c r="F123" s="244">
        <f t="shared" si="108"/>
        <v>0.3146969436</v>
      </c>
      <c r="G123" s="244">
        <f t="shared" si="108"/>
        <v>0.3125561481</v>
      </c>
      <c r="H123" s="244">
        <f t="shared" si="108"/>
        <v>0.308274557</v>
      </c>
      <c r="I123" s="244">
        <f t="shared" si="108"/>
        <v>0.3061337615</v>
      </c>
      <c r="J123" s="244">
        <f t="shared" si="108"/>
        <v>0.303992966</v>
      </c>
      <c r="K123" s="244">
        <f t="shared" si="108"/>
        <v>0.3018521704</v>
      </c>
      <c r="L123" s="244">
        <f t="shared" si="108"/>
        <v>0.2997113749</v>
      </c>
      <c r="M123" s="244">
        <f t="shared" si="108"/>
        <v>0.2954297838</v>
      </c>
      <c r="N123" s="244">
        <f t="shared" si="108"/>
        <v>0.2932889883</v>
      </c>
      <c r="O123" s="244">
        <f t="shared" si="108"/>
        <v>0.2911481927</v>
      </c>
      <c r="P123" s="244">
        <f t="shared" si="108"/>
        <v>0.2890073972</v>
      </c>
      <c r="Q123" s="244">
        <f t="shared" si="108"/>
        <v>0.2868666017</v>
      </c>
      <c r="R123" s="244">
        <f t="shared" si="108"/>
        <v>0.2825850106</v>
      </c>
      <c r="S123" s="244">
        <f t="shared" si="108"/>
        <v>0.2403807558</v>
      </c>
      <c r="T123" s="244">
        <f t="shared" si="108"/>
        <v>0.2385457882</v>
      </c>
      <c r="U123" s="244">
        <f t="shared" si="108"/>
        <v>0.2367108206</v>
      </c>
      <c r="V123" s="244">
        <f t="shared" si="108"/>
        <v>0.234875853</v>
      </c>
      <c r="W123" s="244">
        <f t="shared" si="108"/>
        <v>0.2312059178</v>
      </c>
      <c r="X123" s="244">
        <f t="shared" si="108"/>
        <v>0.2312059178</v>
      </c>
      <c r="Y123" s="244">
        <f t="shared" si="108"/>
        <v>0.2312059178</v>
      </c>
    </row>
    <row r="124">
      <c r="A124" s="211" t="s">
        <v>183</v>
      </c>
      <c r="B124" s="244" t="b">
        <f>and('Sheet 1'!$B$75='NPC stats'!A525,C1="magic")</f>
        <v>0</v>
      </c>
      <c r="C124" s="243" t="b">
        <f>B124</f>
        <v>0</v>
      </c>
      <c r="D124" s="244">
        <f t="shared" ref="D124:Y124" si="109">D107/2+(1/(D107/2+1))</f>
        <v>3.722222222</v>
      </c>
      <c r="E124" s="244">
        <f t="shared" si="109"/>
        <v>3.722222222</v>
      </c>
      <c r="F124" s="244">
        <f t="shared" si="109"/>
        <v>3.722222222</v>
      </c>
      <c r="G124" s="244">
        <f t="shared" si="109"/>
        <v>3.722222222</v>
      </c>
      <c r="H124" s="244">
        <f t="shared" si="109"/>
        <v>3.722222222</v>
      </c>
      <c r="I124" s="244">
        <f t="shared" si="109"/>
        <v>3.722222222</v>
      </c>
      <c r="J124" s="244">
        <f t="shared" si="109"/>
        <v>3.722222222</v>
      </c>
      <c r="K124" s="244">
        <f t="shared" si="109"/>
        <v>3.722222222</v>
      </c>
      <c r="L124" s="244">
        <f t="shared" si="109"/>
        <v>3.722222222</v>
      </c>
      <c r="M124" s="244">
        <f t="shared" si="109"/>
        <v>3.722222222</v>
      </c>
      <c r="N124" s="244">
        <f t="shared" si="109"/>
        <v>3.722222222</v>
      </c>
      <c r="O124" s="244">
        <f t="shared" si="109"/>
        <v>3.722222222</v>
      </c>
      <c r="P124" s="244">
        <f t="shared" si="109"/>
        <v>3.722222222</v>
      </c>
      <c r="Q124" s="244">
        <f t="shared" si="109"/>
        <v>3.722222222</v>
      </c>
      <c r="R124" s="244">
        <f t="shared" si="109"/>
        <v>3.722222222</v>
      </c>
      <c r="S124" s="244">
        <f t="shared" si="109"/>
        <v>3.25</v>
      </c>
      <c r="T124" s="244">
        <f t="shared" si="109"/>
        <v>3.25</v>
      </c>
      <c r="U124" s="244">
        <f t="shared" si="109"/>
        <v>3.25</v>
      </c>
      <c r="V124" s="244">
        <f t="shared" si="109"/>
        <v>3.25</v>
      </c>
      <c r="W124" s="244">
        <f t="shared" si="109"/>
        <v>3.25</v>
      </c>
      <c r="X124" s="244">
        <f t="shared" si="109"/>
        <v>3.25</v>
      </c>
      <c r="Y124" s="244">
        <f t="shared" si="109"/>
        <v>3.25</v>
      </c>
    </row>
    <row r="125">
      <c r="A125" s="241" t="s">
        <v>200</v>
      </c>
      <c r="B125" s="244" t="b">
        <f>B97</f>
        <v>0</v>
      </c>
      <c r="C125" s="243" t="b">
        <f>IF(B125,0.25)</f>
        <v>0</v>
      </c>
      <c r="D125" s="244">
        <f t="shared" ref="D125:Y125" si="110">D115*$C125*0.5*INT(D107*1.5) + D115*(1-$C125)*0.5*INT(D107) </f>
        <v>0.3189785347</v>
      </c>
      <c r="E125" s="244">
        <f t="shared" si="110"/>
        <v>0.3168377392</v>
      </c>
      <c r="F125" s="244">
        <f t="shared" si="110"/>
        <v>0.3146969436</v>
      </c>
      <c r="G125" s="244">
        <f t="shared" si="110"/>
        <v>0.3125561481</v>
      </c>
      <c r="H125" s="244">
        <f t="shared" si="110"/>
        <v>0.308274557</v>
      </c>
      <c r="I125" s="244">
        <f t="shared" si="110"/>
        <v>0.3061337615</v>
      </c>
      <c r="J125" s="244">
        <f t="shared" si="110"/>
        <v>0.303992966</v>
      </c>
      <c r="K125" s="244">
        <f t="shared" si="110"/>
        <v>0.3018521704</v>
      </c>
      <c r="L125" s="244">
        <f t="shared" si="110"/>
        <v>0.2997113749</v>
      </c>
      <c r="M125" s="244">
        <f t="shared" si="110"/>
        <v>0.2954297838</v>
      </c>
      <c r="N125" s="244">
        <f t="shared" si="110"/>
        <v>0.2932889883</v>
      </c>
      <c r="O125" s="244">
        <f t="shared" si="110"/>
        <v>0.2911481927</v>
      </c>
      <c r="P125" s="244">
        <f t="shared" si="110"/>
        <v>0.2890073972</v>
      </c>
      <c r="Q125" s="244">
        <f t="shared" si="110"/>
        <v>0.2868666017</v>
      </c>
      <c r="R125" s="244">
        <f t="shared" si="110"/>
        <v>0.2825850106</v>
      </c>
      <c r="S125" s="244">
        <f t="shared" si="110"/>
        <v>0.2403807558</v>
      </c>
      <c r="T125" s="244">
        <f t="shared" si="110"/>
        <v>0.2385457882</v>
      </c>
      <c r="U125" s="244">
        <f t="shared" si="110"/>
        <v>0.2367108206</v>
      </c>
      <c r="V125" s="244">
        <f t="shared" si="110"/>
        <v>0.234875853</v>
      </c>
      <c r="W125" s="244">
        <f t="shared" si="110"/>
        <v>0.2312059178</v>
      </c>
      <c r="X125" s="244">
        <f t="shared" si="110"/>
        <v>0.2312059178</v>
      </c>
      <c r="Y125" s="244">
        <f t="shared" si="110"/>
        <v>0.2312059178</v>
      </c>
    </row>
    <row r="126">
      <c r="A126" s="241" t="str">
        <f>Items!A89</f>
        <v>Scythe of Vitur</v>
      </c>
      <c r="B126" s="244" t="b">
        <f>and(C126,not('Sheet 1'!B75='NPC stats'!A460))</f>
        <v>0</v>
      </c>
      <c r="C126" s="243" t="b">
        <f>or('Sheet 1'!B58=Items!A88,'Sheet 1'!B58=Items!A89)</f>
        <v>0</v>
      </c>
      <c r="D126" s="244">
        <f>D115*(0.5*int(D107*1)+if(Area2&gt;1,0.5*int(D107*0.5),0)+if(Area2&gt;2,0.5*int(D107*0.25),0))</f>
        <v>0.5012519831</v>
      </c>
      <c r="E126" s="244">
        <f>E115*(0.5*int(E107*1)+if(Area2&gt;1,0.5*int(E107*0.5),0)+if(Area2&gt;2,0.5*int(E107*0.25),0))</f>
        <v>0.4978878758</v>
      </c>
      <c r="F126" s="244">
        <f>F115*(0.5*int(F107*1)+if(Area2&gt;1,0.5*int(F107*0.5),0)+if(Area2&gt;2,0.5*int(F107*0.25),0))</f>
        <v>0.4945237686</v>
      </c>
      <c r="G126" s="244">
        <f>G115*(0.5*int(G107*1)+if(Area2&gt;1,0.5*int(G107*0.5),0)+if(Area2&gt;2,0.5*int(G107*0.25),0))</f>
        <v>0.4911596613</v>
      </c>
      <c r="H126" s="244">
        <f>H115*(0.5*int(H107*1)+if(Area2&gt;1,0.5*int(H107*0.5),0)+if(Area2&gt;2,0.5*int(H107*0.25),0))</f>
        <v>0.4844314468</v>
      </c>
      <c r="I126" s="244">
        <f>I115*(0.5*int(I107*1)+if(Area2&gt;1,0.5*int(I107*0.5),0)+if(Area2&gt;2,0.5*int(I107*0.25),0))</f>
        <v>0.4810673395</v>
      </c>
      <c r="J126" s="244">
        <f>J115*(0.5*int(J107*1)+if(Area2&gt;1,0.5*int(J107*0.5),0)+if(Area2&gt;2,0.5*int(J107*0.25),0))</f>
        <v>0.4777032322</v>
      </c>
      <c r="K126" s="244">
        <f>K115*(0.5*int(K107*1)+if(Area2&gt;1,0.5*int(K107*0.5),0)+if(Area2&gt;2,0.5*int(K107*0.25),0))</f>
        <v>0.4743391249</v>
      </c>
      <c r="L126" s="244">
        <f>L115*(0.5*int(L107*1)+if(Area2&gt;1,0.5*int(L107*0.5),0)+if(Area2&gt;2,0.5*int(L107*0.25),0))</f>
        <v>0.4709750177</v>
      </c>
      <c r="M126" s="244">
        <f>M115*(0.5*int(M107*1)+if(Area2&gt;1,0.5*int(M107*0.5),0)+if(Area2&gt;2,0.5*int(M107*0.25),0))</f>
        <v>0.4642468031</v>
      </c>
      <c r="N126" s="244">
        <f>N115*(0.5*int(N107*1)+if(Area2&gt;1,0.5*int(N107*0.5),0)+if(Area2&gt;2,0.5*int(N107*0.25),0))</f>
        <v>0.4608826959</v>
      </c>
      <c r="O126" s="244">
        <f>O115*(0.5*int(O107*1)+if(Area2&gt;1,0.5*int(O107*0.5),0)+if(Area2&gt;2,0.5*int(O107*0.25),0))</f>
        <v>0.4575185886</v>
      </c>
      <c r="P126" s="244">
        <f>P115*(0.5*int(P107*1)+if(Area2&gt;1,0.5*int(P107*0.5),0)+if(Area2&gt;2,0.5*int(P107*0.25),0))</f>
        <v>0.4541544813</v>
      </c>
      <c r="Q126" s="244">
        <f>Q115*(0.5*int(Q107*1)+if(Area2&gt;1,0.5*int(Q107*0.5),0)+if(Area2&gt;2,0.5*int(Q107*0.25),0))</f>
        <v>0.4507903741</v>
      </c>
      <c r="R126" s="244">
        <f>R115*(0.5*int(R107*1)+if(Area2&gt;1,0.5*int(R107*0.5),0)+if(Area2&gt;2,0.5*int(R107*0.25),0))</f>
        <v>0.4440621595</v>
      </c>
      <c r="S126" s="244">
        <f>S115*(0.5*int(S107*1)+if(Area2&gt;1,0.5*int(S107*0.5),0)+if(Area2&gt;2,0.5*int(S107*0.25),0))</f>
        <v>0.400634593</v>
      </c>
      <c r="T126" s="244">
        <f>T115*(0.5*int(T107*1)+if(Area2&gt;1,0.5*int(T107*0.5),0)+if(Area2&gt;2,0.5*int(T107*0.25),0))</f>
        <v>0.3975763136</v>
      </c>
      <c r="U126" s="244">
        <f>U115*(0.5*int(U107*1)+if(Area2&gt;1,0.5*int(U107*0.5),0)+if(Area2&gt;2,0.5*int(U107*0.25),0))</f>
        <v>0.3945180343</v>
      </c>
      <c r="V126" s="244">
        <f>V115*(0.5*int(V107*1)+if(Area2&gt;1,0.5*int(V107*0.5),0)+if(Area2&gt;2,0.5*int(V107*0.25),0))</f>
        <v>0.391459755</v>
      </c>
      <c r="W126" s="244">
        <f>W115*(0.5*int(W107*1)+if(Area2&gt;1,0.5*int(W107*0.5),0)+if(Area2&gt;2,0.5*int(W107*0.25),0))</f>
        <v>0.3853431963</v>
      </c>
      <c r="X126" s="244">
        <f>X115*(0.5*int(X107*1)+if(Area2&gt;1,0.5*int(X107*0.5),0)+if(Area2&gt;2,0.5*int(X107*0.25),0))</f>
        <v>0.3853431963</v>
      </c>
      <c r="Y126" s="244">
        <f>Y115*(0.5*int(Y107*1)+if(Area2&gt;1,0.5*int(Y107*0.5),0)+if(Area2&gt;2,0.5*int(Y107*0.25),0))</f>
        <v>0.3853431963</v>
      </c>
    </row>
    <row r="127">
      <c r="A127" s="211" t="s">
        <v>207</v>
      </c>
      <c r="B127" s="244" t="b">
        <f>and(C126,'Sheet 1'!B75='NPC stats'!A460)</f>
        <v>0</v>
      </c>
      <c r="C127" s="243"/>
      <c r="D127" s="244">
        <f t="array" ref="D127">D115*(AVERAGE(IF(ROW($1:$149)-1&gt;D107,,IF(COLUMN($A:$K)&gt;ROW($1:$149)-1,ROW($1:$149)-1,COLUMN($A:$K)-1)))+AVERAGE(IF(ROW($1:$149)-1&gt;int(D107/2),,IF(COLUMN($A:$K)&gt;ROW($1:$149)-1,ROW($1:$149)-1,COLUMN($A:$K)-1)))+AVERAGE(IF(ROW($1:$149)-1&gt;int(int(D107/2)/2),,IF(COLUMN($A:$K)&gt;ROW($1:$149)-1,ROW($1:$149)-1,COLUMN($A:$K)-1))))</f>
        <v>0.389402367</v>
      </c>
      <c r="E127" s="244">
        <f t="array" ref="E127">E115*(AVERAGE(IF(ROW($1:$149)-1&gt;E107,,IF(COLUMN($A:$K)&gt;ROW($1:$149)-1,ROW($1:$149)-1,COLUMN($A:$K)-1)))+AVERAGE(IF(ROW($1:$149)-1&gt;int(E107/2),,IF(COLUMN($A:$K)&gt;ROW($1:$149)-1,ROW($1:$149)-1,COLUMN($A:$K)-1)))+AVERAGE(IF(ROW($1:$149)-1&gt;int(int(E107/2)/2),,IF(COLUMN($A:$K)&gt;ROW($1:$149)-1,ROW($1:$149)-1,COLUMN($A:$K)-1))))</f>
        <v>0.3867889283</v>
      </c>
      <c r="F127" s="244">
        <f t="array" ref="F127">F115*(AVERAGE(IF(ROW($1:$149)-1&gt;F107,,IF(COLUMN($A:$K)&gt;ROW($1:$149)-1,ROW($1:$149)-1,COLUMN($A:$K)-1)))+AVERAGE(IF(ROW($1:$149)-1&gt;int(F107/2),,IF(COLUMN($A:$K)&gt;ROW($1:$149)-1,ROW($1:$149)-1,COLUMN($A:$K)-1)))+AVERAGE(IF(ROW($1:$149)-1&gt;int(int(F107/2)/2),,IF(COLUMN($A:$K)&gt;ROW($1:$149)-1,ROW($1:$149)-1,COLUMN($A:$K)-1))))</f>
        <v>0.3841754896</v>
      </c>
      <c r="G127" s="244">
        <f t="array" ref="G127">G115*(AVERAGE(IF(ROW($1:$149)-1&gt;G107,,IF(COLUMN($A:$K)&gt;ROW($1:$149)-1,ROW($1:$149)-1,COLUMN($A:$K)-1)))+AVERAGE(IF(ROW($1:$149)-1&gt;int(G107/2),,IF(COLUMN($A:$K)&gt;ROW($1:$149)-1,ROW($1:$149)-1,COLUMN($A:$K)-1)))+AVERAGE(IF(ROW($1:$149)-1&gt;int(int(G107/2)/2),,IF(COLUMN($A:$K)&gt;ROW($1:$149)-1,ROW($1:$149)-1,COLUMN($A:$K)-1))))</f>
        <v>0.3815620509</v>
      </c>
      <c r="H127" s="244">
        <f t="array" ref="H127">H115*(AVERAGE(IF(ROW($1:$149)-1&gt;H107,,IF(COLUMN($A:$K)&gt;ROW($1:$149)-1,ROW($1:$149)-1,COLUMN($A:$K)-1)))+AVERAGE(IF(ROW($1:$149)-1&gt;int(H107/2),,IF(COLUMN($A:$K)&gt;ROW($1:$149)-1,ROW($1:$149)-1,COLUMN($A:$K)-1)))+AVERAGE(IF(ROW($1:$149)-1&gt;int(int(H107/2)/2),,IF(COLUMN($A:$K)&gt;ROW($1:$149)-1,ROW($1:$149)-1,COLUMN($A:$K)-1))))</f>
        <v>0.3763351735</v>
      </c>
      <c r="I127" s="244">
        <f t="array" ref="I127">I115*(AVERAGE(IF(ROW($1:$149)-1&gt;I107,,IF(COLUMN($A:$K)&gt;ROW($1:$149)-1,ROW($1:$149)-1,COLUMN($A:$K)-1)))+AVERAGE(IF(ROW($1:$149)-1&gt;int(I107/2),,IF(COLUMN($A:$K)&gt;ROW($1:$149)-1,ROW($1:$149)-1,COLUMN($A:$K)-1)))+AVERAGE(IF(ROW($1:$149)-1&gt;int(int(I107/2)/2),,IF(COLUMN($A:$K)&gt;ROW($1:$149)-1,ROW($1:$149)-1,COLUMN($A:$K)-1))))</f>
        <v>0.3737217348</v>
      </c>
      <c r="J127" s="244">
        <f t="array" ref="J127">J115*(AVERAGE(IF(ROW($1:$149)-1&gt;J107,,IF(COLUMN($A:$K)&gt;ROW($1:$149)-1,ROW($1:$149)-1,COLUMN($A:$K)-1)))+AVERAGE(IF(ROW($1:$149)-1&gt;int(J107/2),,IF(COLUMN($A:$K)&gt;ROW($1:$149)-1,ROW($1:$149)-1,COLUMN($A:$K)-1)))+AVERAGE(IF(ROW($1:$149)-1&gt;int(int(J107/2)/2),,IF(COLUMN($A:$K)&gt;ROW($1:$149)-1,ROW($1:$149)-1,COLUMN($A:$K)-1))))</f>
        <v>0.3711082961</v>
      </c>
      <c r="K127" s="244">
        <f t="array" ref="K127">K115*(AVERAGE(IF(ROW($1:$149)-1&gt;K107,,IF(COLUMN($A:$K)&gt;ROW($1:$149)-1,ROW($1:$149)-1,COLUMN($A:$K)-1)))+AVERAGE(IF(ROW($1:$149)-1&gt;int(K107/2),,IF(COLUMN($A:$K)&gt;ROW($1:$149)-1,ROW($1:$149)-1,COLUMN($A:$K)-1)))+AVERAGE(IF(ROW($1:$149)-1&gt;int(int(K107/2)/2),,IF(COLUMN($A:$K)&gt;ROW($1:$149)-1,ROW($1:$149)-1,COLUMN($A:$K)-1))))</f>
        <v>0.3684948574</v>
      </c>
      <c r="L127" s="244">
        <f t="array" ref="L127">L115*(AVERAGE(IF(ROW($1:$149)-1&gt;L107,,IF(COLUMN($A:$K)&gt;ROW($1:$149)-1,ROW($1:$149)-1,COLUMN($A:$K)-1)))+AVERAGE(IF(ROW($1:$149)-1&gt;int(L107/2),,IF(COLUMN($A:$K)&gt;ROW($1:$149)-1,ROW($1:$149)-1,COLUMN($A:$K)-1)))+AVERAGE(IF(ROW($1:$149)-1&gt;int(int(L107/2)/2),,IF(COLUMN($A:$K)&gt;ROW($1:$149)-1,ROW($1:$149)-1,COLUMN($A:$K)-1))))</f>
        <v>0.3658814187</v>
      </c>
      <c r="M127" s="244">
        <f t="array" ref="M127">M115*(AVERAGE(IF(ROW($1:$149)-1&gt;M107,,IF(COLUMN($A:$K)&gt;ROW($1:$149)-1,ROW($1:$149)-1,COLUMN($A:$K)-1)))+AVERAGE(IF(ROW($1:$149)-1&gt;int(M107/2),,IF(COLUMN($A:$K)&gt;ROW($1:$149)-1,ROW($1:$149)-1,COLUMN($A:$K)-1)))+AVERAGE(IF(ROW($1:$149)-1&gt;int(int(M107/2)/2),,IF(COLUMN($A:$K)&gt;ROW($1:$149)-1,ROW($1:$149)-1,COLUMN($A:$K)-1))))</f>
        <v>0.3606545413</v>
      </c>
      <c r="N127" s="244">
        <f t="array" ref="N127">N115*(AVERAGE(IF(ROW($1:$149)-1&gt;N107,,IF(COLUMN($A:$K)&gt;ROW($1:$149)-1,ROW($1:$149)-1,COLUMN($A:$K)-1)))+AVERAGE(IF(ROW($1:$149)-1&gt;int(N107/2),,IF(COLUMN($A:$K)&gt;ROW($1:$149)-1,ROW($1:$149)-1,COLUMN($A:$K)-1)))+AVERAGE(IF(ROW($1:$149)-1&gt;int(int(N107/2)/2),,IF(COLUMN($A:$K)&gt;ROW($1:$149)-1,ROW($1:$149)-1,COLUMN($A:$K)-1))))</f>
        <v>0.3580411026</v>
      </c>
      <c r="O127" s="244">
        <f t="array" ref="O127">O115*(AVERAGE(IF(ROW($1:$149)-1&gt;O107,,IF(COLUMN($A:$K)&gt;ROW($1:$149)-1,ROW($1:$149)-1,COLUMN($A:$K)-1)))+AVERAGE(IF(ROW($1:$149)-1&gt;int(O107/2),,IF(COLUMN($A:$K)&gt;ROW($1:$149)-1,ROW($1:$149)-1,COLUMN($A:$K)-1)))+AVERAGE(IF(ROW($1:$149)-1&gt;int(int(O107/2)/2),,IF(COLUMN($A:$K)&gt;ROW($1:$149)-1,ROW($1:$149)-1,COLUMN($A:$K)-1))))</f>
        <v>0.3554276639</v>
      </c>
      <c r="P127" s="244">
        <f t="array" ref="P127">P115*(AVERAGE(IF(ROW($1:$149)-1&gt;P107,,IF(COLUMN($A:$K)&gt;ROW($1:$149)-1,ROW($1:$149)-1,COLUMN($A:$K)-1)))+AVERAGE(IF(ROW($1:$149)-1&gt;int(P107/2),,IF(COLUMN($A:$K)&gt;ROW($1:$149)-1,ROW($1:$149)-1,COLUMN($A:$K)-1)))+AVERAGE(IF(ROW($1:$149)-1&gt;int(int(P107/2)/2),,IF(COLUMN($A:$K)&gt;ROW($1:$149)-1,ROW($1:$149)-1,COLUMN($A:$K)-1))))</f>
        <v>0.3528142252</v>
      </c>
      <c r="Q127" s="244">
        <f t="array" ref="Q127">Q115*(AVERAGE(IF(ROW($1:$149)-1&gt;Q107,,IF(COLUMN($A:$K)&gt;ROW($1:$149)-1,ROW($1:$149)-1,COLUMN($A:$K)-1)))+AVERAGE(IF(ROW($1:$149)-1&gt;int(Q107/2),,IF(COLUMN($A:$K)&gt;ROW($1:$149)-1,ROW($1:$149)-1,COLUMN($A:$K)-1)))+AVERAGE(IF(ROW($1:$149)-1&gt;int(int(Q107/2)/2),,IF(COLUMN($A:$K)&gt;ROW($1:$149)-1,ROW($1:$149)-1,COLUMN($A:$K)-1))))</f>
        <v>0.3502007865</v>
      </c>
      <c r="R127" s="244">
        <f t="array" ref="R127">R115*(AVERAGE(IF(ROW($1:$149)-1&gt;R107,,IF(COLUMN($A:$K)&gt;ROW($1:$149)-1,ROW($1:$149)-1,COLUMN($A:$K)-1)))+AVERAGE(IF(ROW($1:$149)-1&gt;int(R107/2),,IF(COLUMN($A:$K)&gt;ROW($1:$149)-1,ROW($1:$149)-1,COLUMN($A:$K)-1)))+AVERAGE(IF(ROW($1:$149)-1&gt;int(int(R107/2)/2),,IF(COLUMN($A:$K)&gt;ROW($1:$149)-1,ROW($1:$149)-1,COLUMN($A:$K)-1))))</f>
        <v>0.3449739091</v>
      </c>
      <c r="S127" s="244">
        <f t="array" ref="S127">S115*(AVERAGE(IF(ROW($1:$149)-1&gt;S107,,IF(COLUMN($A:$K)&gt;ROW($1:$149)-1,ROW($1:$149)-1,COLUMN($A:$K)-1)))+AVERAGE(IF(ROW($1:$149)-1&gt;int(S107/2),,IF(COLUMN($A:$K)&gt;ROW($1:$149)-1,ROW($1:$149)-1,COLUMN($A:$K)-1)))+AVERAGE(IF(ROW($1:$149)-1&gt;int(int(S107/2)/2),,IF(COLUMN($A:$K)&gt;ROW($1:$149)-1,ROW($1:$149)-1,COLUMN($A:$K)-1))))</f>
        <v>0.3205076744</v>
      </c>
      <c r="T127" s="244">
        <f t="array" ref="T127">T115*(AVERAGE(IF(ROW($1:$149)-1&gt;T107,,IF(COLUMN($A:$K)&gt;ROW($1:$149)-1,ROW($1:$149)-1,COLUMN($A:$K)-1)))+AVERAGE(IF(ROW($1:$149)-1&gt;int(T107/2),,IF(COLUMN($A:$K)&gt;ROW($1:$149)-1,ROW($1:$149)-1,COLUMN($A:$K)-1)))+AVERAGE(IF(ROW($1:$149)-1&gt;int(int(T107/2)/2),,IF(COLUMN($A:$K)&gt;ROW($1:$149)-1,ROW($1:$149)-1,COLUMN($A:$K)-1))))</f>
        <v>0.3180610509</v>
      </c>
      <c r="U127" s="244">
        <f t="array" ref="U127">U115*(AVERAGE(IF(ROW($1:$149)-1&gt;U107,,IF(COLUMN($A:$K)&gt;ROW($1:$149)-1,ROW($1:$149)-1,COLUMN($A:$K)-1)))+AVERAGE(IF(ROW($1:$149)-1&gt;int(U107/2),,IF(COLUMN($A:$K)&gt;ROW($1:$149)-1,ROW($1:$149)-1,COLUMN($A:$K)-1)))+AVERAGE(IF(ROW($1:$149)-1&gt;int(int(U107/2)/2),,IF(COLUMN($A:$K)&gt;ROW($1:$149)-1,ROW($1:$149)-1,COLUMN($A:$K)-1))))</f>
        <v>0.3156144274</v>
      </c>
      <c r="V127" s="244">
        <f t="array" ref="V127">V115*(AVERAGE(IF(ROW($1:$149)-1&gt;V107,,IF(COLUMN($A:$K)&gt;ROW($1:$149)-1,ROW($1:$149)-1,COLUMN($A:$K)-1)))+AVERAGE(IF(ROW($1:$149)-1&gt;int(V107/2),,IF(COLUMN($A:$K)&gt;ROW($1:$149)-1,ROW($1:$149)-1,COLUMN($A:$K)-1)))+AVERAGE(IF(ROW($1:$149)-1&gt;int(int(V107/2)/2),,IF(COLUMN($A:$K)&gt;ROW($1:$149)-1,ROW($1:$149)-1,COLUMN($A:$K)-1))))</f>
        <v>0.313167804</v>
      </c>
      <c r="W127" s="244">
        <f t="array" ref="W127">W115*(AVERAGE(IF(ROW($1:$149)-1&gt;W107,,IF(COLUMN($A:$K)&gt;ROW($1:$149)-1,ROW($1:$149)-1,COLUMN($A:$K)-1)))+AVERAGE(IF(ROW($1:$149)-1&gt;int(W107/2),,IF(COLUMN($A:$K)&gt;ROW($1:$149)-1,ROW($1:$149)-1,COLUMN($A:$K)-1)))+AVERAGE(IF(ROW($1:$149)-1&gt;int(int(W107/2)/2),,IF(COLUMN($A:$K)&gt;ROW($1:$149)-1,ROW($1:$149)-1,COLUMN($A:$K)-1))))</f>
        <v>0.308274557</v>
      </c>
      <c r="X127" s="244">
        <f t="array" ref="X127">X115*(AVERAGE(IF(ROW($1:$149)-1&gt;X107,,IF(COLUMN($A:$K)&gt;ROW($1:$149)-1,ROW($1:$149)-1,COLUMN($A:$K)-1)))+AVERAGE(IF(ROW($1:$149)-1&gt;int(X107/2),,IF(COLUMN($A:$K)&gt;ROW($1:$149)-1,ROW($1:$149)-1,COLUMN($A:$K)-1)))+AVERAGE(IF(ROW($1:$149)-1&gt;int(int(X107/2)/2),,IF(COLUMN($A:$K)&gt;ROW($1:$149)-1,ROW($1:$149)-1,COLUMN($A:$K)-1))))</f>
        <v>0.308274557</v>
      </c>
      <c r="Y127" s="244">
        <f t="array" ref="Y127">Y115*(AVERAGE(IF(ROW($1:$149)-1&gt;Y107,,IF(COLUMN($A:$K)&gt;ROW($1:$149)-1,ROW($1:$149)-1,COLUMN($A:$K)-1)))+AVERAGE(IF(ROW($1:$149)-1&gt;int(Y107/2),,IF(COLUMN($A:$K)&gt;ROW($1:$149)-1,ROW($1:$149)-1,COLUMN($A:$K)-1)))+AVERAGE(IF(ROW($1:$149)-1&gt;int(int(Y107/2)/2),,IF(COLUMN($A:$K)&gt;ROW($1:$149)-1,ROW($1:$149)-1,COLUMN($A:$K)-1))))</f>
        <v>0.308274557</v>
      </c>
    </row>
    <row r="128">
      <c r="A128" s="211" t="s">
        <v>208</v>
      </c>
      <c r="B128" s="244" t="b">
        <f>and(B127=false,or(C1="slash",C1="stab",C1="crush"),'Sheet 1'!B75='NPC stats'!A460)</f>
        <v>0</v>
      </c>
      <c r="C128" s="243"/>
      <c r="D128" s="244">
        <f t="array" ref="D128">AVERAGE(IF(ROW($1:$149)-1&gt;D107,,IF(COLUMN($A:$K)&gt;ROW($1:$149)-1,ROW($1:$149)-1,COLUMN($A:$K)-1)))*D115</f>
        <v>0.2319843889</v>
      </c>
      <c r="E128" s="244">
        <f t="array" ref="E128">AVERAGE(IF(ROW($1:$149)-1&gt;E107,,IF(COLUMN($A:$K)&gt;ROW($1:$149)-1,ROW($1:$149)-1,COLUMN($A:$K)-1)))*E115</f>
        <v>0.2304274467</v>
      </c>
      <c r="F128" s="244">
        <f t="array" ref="F128">AVERAGE(IF(ROW($1:$149)-1&gt;F107,,IF(COLUMN($A:$K)&gt;ROW($1:$149)-1,ROW($1:$149)-1,COLUMN($A:$K)-1)))*F115</f>
        <v>0.2288705045</v>
      </c>
      <c r="G128" s="244">
        <f t="array" ref="G128">AVERAGE(IF(ROW($1:$149)-1&gt;G107,,IF(COLUMN($A:$K)&gt;ROW($1:$149)-1,ROW($1:$149)-1,COLUMN($A:$K)-1)))*G115</f>
        <v>0.2273135623</v>
      </c>
      <c r="H128" s="244">
        <f t="array" ref="H128">AVERAGE(IF(ROW($1:$149)-1&gt;H107,,IF(COLUMN($A:$K)&gt;ROW($1:$149)-1,ROW($1:$149)-1,COLUMN($A:$K)-1)))*H115</f>
        <v>0.2241996778</v>
      </c>
      <c r="I128" s="244">
        <f t="array" ref="I128">AVERAGE(IF(ROW($1:$149)-1&gt;I107,,IF(COLUMN($A:$K)&gt;ROW($1:$149)-1,ROW($1:$149)-1,COLUMN($A:$K)-1)))*I115</f>
        <v>0.2226427356</v>
      </c>
      <c r="J128" s="244">
        <f t="array" ref="J128">AVERAGE(IF(ROW($1:$149)-1&gt;J107,,IF(COLUMN($A:$K)&gt;ROW($1:$149)-1,ROW($1:$149)-1,COLUMN($A:$K)-1)))*J115</f>
        <v>0.2210857934</v>
      </c>
      <c r="K128" s="244">
        <f t="array" ref="K128">AVERAGE(IF(ROW($1:$149)-1&gt;K107,,IF(COLUMN($A:$K)&gt;ROW($1:$149)-1,ROW($1:$149)-1,COLUMN($A:$K)-1)))*K115</f>
        <v>0.2195288512</v>
      </c>
      <c r="L128" s="244">
        <f t="array" ref="L128">AVERAGE(IF(ROW($1:$149)-1&gt;L107,,IF(COLUMN($A:$K)&gt;ROW($1:$149)-1,ROW($1:$149)-1,COLUMN($A:$K)-1)))*L115</f>
        <v>0.217971909</v>
      </c>
      <c r="M128" s="244">
        <f t="array" ref="M128">AVERAGE(IF(ROW($1:$149)-1&gt;M107,,IF(COLUMN($A:$K)&gt;ROW($1:$149)-1,ROW($1:$149)-1,COLUMN($A:$K)-1)))*M115</f>
        <v>0.2148580246</v>
      </c>
      <c r="N128" s="244">
        <f t="array" ref="N128">AVERAGE(IF(ROW($1:$149)-1&gt;N107,,IF(COLUMN($A:$K)&gt;ROW($1:$149)-1,ROW($1:$149)-1,COLUMN($A:$K)-1)))*N115</f>
        <v>0.2133010824</v>
      </c>
      <c r="O128" s="244">
        <f t="array" ref="O128">AVERAGE(IF(ROW($1:$149)-1&gt;O107,,IF(COLUMN($A:$K)&gt;ROW($1:$149)-1,ROW($1:$149)-1,COLUMN($A:$K)-1)))*O115</f>
        <v>0.2117441402</v>
      </c>
      <c r="P128" s="244">
        <f t="array" ref="P128">AVERAGE(IF(ROW($1:$149)-1&gt;P107,,IF(COLUMN($A:$K)&gt;ROW($1:$149)-1,ROW($1:$149)-1,COLUMN($A:$K)-1)))*P115</f>
        <v>0.210187198</v>
      </c>
      <c r="Q128" s="244">
        <f t="array" ref="Q128">AVERAGE(IF(ROW($1:$149)-1&gt;Q107,,IF(COLUMN($A:$K)&gt;ROW($1:$149)-1,ROW($1:$149)-1,COLUMN($A:$K)-1)))*Q115</f>
        <v>0.2086302558</v>
      </c>
      <c r="R128" s="244">
        <f t="array" ref="R128">AVERAGE(IF(ROW($1:$149)-1&gt;R107,,IF(COLUMN($A:$K)&gt;ROW($1:$149)-1,ROW($1:$149)-1,COLUMN($A:$K)-1)))*R115</f>
        <v>0.2055163714</v>
      </c>
      <c r="S128" s="244">
        <f t="array" ref="S128">AVERAGE(IF(ROW($1:$149)-1&gt;S107,,IF(COLUMN($A:$K)&gt;ROW($1:$149)-1,ROW($1:$149)-1,COLUMN($A:$K)-1)))*S115</f>
        <v>0.1821066332</v>
      </c>
      <c r="T128" s="244">
        <f t="array" ref="T128">AVERAGE(IF(ROW($1:$149)-1&gt;T107,,IF(COLUMN($A:$K)&gt;ROW($1:$149)-1,ROW($1:$149)-1,COLUMN($A:$K)-1)))*T115</f>
        <v>0.1807165062</v>
      </c>
      <c r="U128" s="244">
        <f t="array" ref="U128">AVERAGE(IF(ROW($1:$149)-1&gt;U107,,IF(COLUMN($A:$K)&gt;ROW($1:$149)-1,ROW($1:$149)-1,COLUMN($A:$K)-1)))*U115</f>
        <v>0.1793263792</v>
      </c>
      <c r="V128" s="244">
        <f t="array" ref="V128">AVERAGE(IF(ROW($1:$149)-1&gt;V107,,IF(COLUMN($A:$K)&gt;ROW($1:$149)-1,ROW($1:$149)-1,COLUMN($A:$K)-1)))*V115</f>
        <v>0.1779362523</v>
      </c>
      <c r="W128" s="244">
        <f t="array" ref="W128">AVERAGE(IF(ROW($1:$149)-1&gt;W107,,IF(COLUMN($A:$K)&gt;ROW($1:$149)-1,ROW($1:$149)-1,COLUMN($A:$K)-1)))*W115</f>
        <v>0.1751559983</v>
      </c>
      <c r="X128" s="244">
        <f t="array" ref="X128">AVERAGE(IF(ROW($1:$149)-1&gt;X107,,IF(COLUMN($A:$K)&gt;ROW($1:$149)-1,ROW($1:$149)-1,COLUMN($A:$K)-1)))*X115</f>
        <v>0.1751559983</v>
      </c>
      <c r="Y128" s="244">
        <f t="array" ref="Y128">AVERAGE(IF(ROW($1:$149)-1&gt;Y107,,IF(COLUMN($A:$K)&gt;ROW($1:$149)-1,ROW($1:$149)-1,COLUMN($A:$K)-1)))*Y115</f>
        <v>0.1751559983</v>
      </c>
    </row>
    <row r="129">
      <c r="A129" s="211" t="s">
        <v>209</v>
      </c>
      <c r="B129" s="244" t="b">
        <f>and(or(C1="magic",C1="ranged"),'Sheet 1'!B75='NPC stats'!A460,not('Sheet 1'!B58=Items!A161))</f>
        <v>0</v>
      </c>
      <c r="C129" s="243"/>
      <c r="D129" s="244">
        <f t="array" ref="D129">average(IF(ROW($1:$149)-1&gt;D107,,IF(COLUMN($A:$D)&gt;ROW($1:$149)-1,ROW($1:$149)-1,COLUMN($A:$D)-1)))</f>
        <v>1.1875</v>
      </c>
      <c r="E129" s="244">
        <f t="array" ref="E129">average(IF(ROW($1:$149)-1&gt;E107,,IF(COLUMN($A:$D)&gt;ROW($1:$149)-1,ROW($1:$149)-1,COLUMN($A:$D)-1)))</f>
        <v>1.1875</v>
      </c>
      <c r="F129" s="244">
        <f t="array" ref="F129">average(IF(ROW($1:$149)-1&gt;F107,,IF(COLUMN($A:$D)&gt;ROW($1:$149)-1,ROW($1:$149)-1,COLUMN($A:$D)-1)))</f>
        <v>1.1875</v>
      </c>
      <c r="G129" s="244">
        <f t="array" ref="G129">average(IF(ROW($1:$149)-1&gt;G107,,IF(COLUMN($A:$D)&gt;ROW($1:$149)-1,ROW($1:$149)-1,COLUMN($A:$D)-1)))</f>
        <v>1.1875</v>
      </c>
      <c r="H129" s="244">
        <f t="array" ref="H129">average(IF(ROW($1:$149)-1&gt;H107,,IF(COLUMN($A:$D)&gt;ROW($1:$149)-1,ROW($1:$149)-1,COLUMN($A:$D)-1)))</f>
        <v>1.1875</v>
      </c>
      <c r="I129" s="244">
        <f t="array" ref="I129">average(IF(ROW($1:$149)-1&gt;I107,,IF(COLUMN($A:$D)&gt;ROW($1:$149)-1,ROW($1:$149)-1,COLUMN($A:$D)-1)))</f>
        <v>1.1875</v>
      </c>
      <c r="J129" s="244">
        <f t="array" ref="J129">average(IF(ROW($1:$149)-1&gt;J107,,IF(COLUMN($A:$D)&gt;ROW($1:$149)-1,ROW($1:$149)-1,COLUMN($A:$D)-1)))</f>
        <v>1.1875</v>
      </c>
      <c r="K129" s="244">
        <f t="array" ref="K129">average(IF(ROW($1:$149)-1&gt;K107,,IF(COLUMN($A:$D)&gt;ROW($1:$149)-1,ROW($1:$149)-1,COLUMN($A:$D)-1)))</f>
        <v>1.1875</v>
      </c>
      <c r="L129" s="244">
        <f t="array" ref="L129">average(IF(ROW($1:$149)-1&gt;L107,,IF(COLUMN($A:$D)&gt;ROW($1:$149)-1,ROW($1:$149)-1,COLUMN($A:$D)-1)))</f>
        <v>1.1875</v>
      </c>
      <c r="M129" s="244">
        <f t="array" ref="M129">average(IF(ROW($1:$149)-1&gt;M107,,IF(COLUMN($A:$D)&gt;ROW($1:$149)-1,ROW($1:$149)-1,COLUMN($A:$D)-1)))</f>
        <v>1.1875</v>
      </c>
      <c r="N129" s="244">
        <f t="array" ref="N129">average(IF(ROW($1:$149)-1&gt;N107,,IF(COLUMN($A:$D)&gt;ROW($1:$149)-1,ROW($1:$149)-1,COLUMN($A:$D)-1)))</f>
        <v>1.1875</v>
      </c>
      <c r="O129" s="244">
        <f t="array" ref="O129">average(IF(ROW($1:$149)-1&gt;O107,,IF(COLUMN($A:$D)&gt;ROW($1:$149)-1,ROW($1:$149)-1,COLUMN($A:$D)-1)))</f>
        <v>1.1875</v>
      </c>
      <c r="P129" s="244">
        <f t="array" ref="P129">average(IF(ROW($1:$149)-1&gt;P107,,IF(COLUMN($A:$D)&gt;ROW($1:$149)-1,ROW($1:$149)-1,COLUMN($A:$D)-1)))</f>
        <v>1.1875</v>
      </c>
      <c r="Q129" s="244">
        <f t="array" ref="Q129">average(IF(ROW($1:$149)-1&gt;Q107,,IF(COLUMN($A:$D)&gt;ROW($1:$149)-1,ROW($1:$149)-1,COLUMN($A:$D)-1)))</f>
        <v>1.1875</v>
      </c>
      <c r="R129" s="244">
        <f t="array" ref="R129">average(IF(ROW($1:$149)-1&gt;R107,,IF(COLUMN($A:$D)&gt;ROW($1:$149)-1,ROW($1:$149)-1,COLUMN($A:$D)-1)))</f>
        <v>1.1875</v>
      </c>
      <c r="S129" s="244">
        <f t="array" ref="S129">average(IF(ROW($1:$149)-1&gt;S107,,IF(COLUMN($A:$D)&gt;ROW($1:$149)-1,ROW($1:$149)-1,COLUMN($A:$D)-1)))</f>
        <v>1.142857143</v>
      </c>
      <c r="T129" s="244">
        <f t="array" ref="T129">average(IF(ROW($1:$149)-1&gt;T107,,IF(COLUMN($A:$D)&gt;ROW($1:$149)-1,ROW($1:$149)-1,COLUMN($A:$D)-1)))</f>
        <v>1.142857143</v>
      </c>
      <c r="U129" s="244">
        <f t="array" ref="U129">average(IF(ROW($1:$149)-1&gt;U107,,IF(COLUMN($A:$D)&gt;ROW($1:$149)-1,ROW($1:$149)-1,COLUMN($A:$D)-1)))</f>
        <v>1.142857143</v>
      </c>
      <c r="V129" s="244">
        <f t="array" ref="V129">average(IF(ROW($1:$149)-1&gt;V107,,IF(COLUMN($A:$D)&gt;ROW($1:$149)-1,ROW($1:$149)-1,COLUMN($A:$D)-1)))</f>
        <v>1.142857143</v>
      </c>
      <c r="W129" s="244">
        <f t="array" ref="W129">average(IF(ROW($1:$149)-1&gt;W107,,IF(COLUMN($A:$D)&gt;ROW($1:$149)-1,ROW($1:$149)-1,COLUMN($A:$D)-1)))</f>
        <v>1.142857143</v>
      </c>
      <c r="X129" s="244">
        <f t="array" ref="X129">average(IF(ROW($1:$149)-1&gt;X107,,IF(COLUMN($A:$D)&gt;ROW($1:$149)-1,ROW($1:$149)-1,COLUMN($A:$D)-1)))</f>
        <v>1.142857143</v>
      </c>
      <c r="Y129" s="244">
        <f t="array" ref="Y129">average(IF(ROW($1:$149)-1&gt;Y107,,IF(COLUMN($A:$D)&gt;ROW($1:$149)-1,ROW($1:$149)-1,COLUMN($A:$D)-1)))</f>
        <v>1.142857143</v>
      </c>
    </row>
    <row r="130">
      <c r="A130" s="241"/>
      <c r="B130" s="244"/>
      <c r="C130" s="243"/>
      <c r="D130" s="244"/>
      <c r="E130" s="244"/>
      <c r="F130" s="244"/>
      <c r="G130" s="244"/>
      <c r="H130" s="244"/>
      <c r="I130" s="244"/>
      <c r="J130" s="244"/>
      <c r="K130" s="244"/>
      <c r="L130" s="244"/>
      <c r="M130" s="244"/>
      <c r="N130" s="244"/>
      <c r="O130" s="244"/>
      <c r="P130" s="244"/>
      <c r="Q130" s="244"/>
      <c r="R130" s="244"/>
      <c r="S130" s="244"/>
      <c r="T130" s="244"/>
      <c r="U130" s="244"/>
      <c r="V130" s="244"/>
      <c r="W130" s="244"/>
      <c r="X130" s="244"/>
      <c r="Y130" s="244"/>
    </row>
    <row r="131">
      <c r="A131" s="241" t="s">
        <v>210</v>
      </c>
      <c r="B131" s="244"/>
      <c r="C131" s="243"/>
      <c r="D131" s="244">
        <f t="array" ref="D131:Y131">TRANSPOSE('Avg damage table p2'!C2:C23)</f>
        <v>3.5</v>
      </c>
      <c r="E131" s="244">
        <v>3.5</v>
      </c>
      <c r="F131" s="244">
        <v>3.5</v>
      </c>
      <c r="G131" s="244">
        <v>3.5</v>
      </c>
      <c r="H131" s="244">
        <v>3.5</v>
      </c>
      <c r="I131" s="244">
        <v>3.5</v>
      </c>
      <c r="J131" s="244">
        <v>3.5</v>
      </c>
      <c r="K131" s="244">
        <v>3.5</v>
      </c>
      <c r="L131" s="244">
        <v>3.5</v>
      </c>
      <c r="M131" s="244">
        <v>3.5</v>
      </c>
      <c r="N131" s="244">
        <v>3.5</v>
      </c>
      <c r="O131" s="244">
        <v>3.5</v>
      </c>
      <c r="P131" s="244">
        <v>3.5</v>
      </c>
      <c r="Q131" s="244">
        <v>3.5</v>
      </c>
      <c r="R131" s="244">
        <v>3.5</v>
      </c>
      <c r="S131" s="244">
        <v>3.0</v>
      </c>
      <c r="T131" s="244">
        <v>3.0</v>
      </c>
      <c r="U131" s="244">
        <v>3.0</v>
      </c>
      <c r="V131" s="244">
        <v>3.0</v>
      </c>
      <c r="W131" s="244">
        <v>3.0</v>
      </c>
      <c r="X131" s="244">
        <v>3.0</v>
      </c>
      <c r="Y131" s="244">
        <v>3.0</v>
      </c>
    </row>
    <row r="132">
      <c r="A132" s="241" t="s">
        <v>210</v>
      </c>
      <c r="B132" s="244"/>
      <c r="C132" s="243"/>
      <c r="D132" s="244">
        <f t="shared" ref="D132:Y132" si="111">IF(OR($B116:$B129),VLOOKUP(TRUE,$B$116:$Y$129,COLUMN(D1)-1,FALSE),D115*D131)</f>
        <v>0.3189785347</v>
      </c>
      <c r="E132" s="244">
        <f t="shared" si="111"/>
        <v>0.3168377392</v>
      </c>
      <c r="F132" s="244">
        <f t="shared" si="111"/>
        <v>0.3146969436</v>
      </c>
      <c r="G132" s="244">
        <f t="shared" si="111"/>
        <v>0.3125561481</v>
      </c>
      <c r="H132" s="244">
        <f t="shared" si="111"/>
        <v>0.308274557</v>
      </c>
      <c r="I132" s="244">
        <f t="shared" si="111"/>
        <v>0.3061337615</v>
      </c>
      <c r="J132" s="244">
        <f t="shared" si="111"/>
        <v>0.303992966</v>
      </c>
      <c r="K132" s="244">
        <f t="shared" si="111"/>
        <v>0.3018521704</v>
      </c>
      <c r="L132" s="244">
        <f t="shared" si="111"/>
        <v>0.2997113749</v>
      </c>
      <c r="M132" s="244">
        <f t="shared" si="111"/>
        <v>0.2954297838</v>
      </c>
      <c r="N132" s="244">
        <f t="shared" si="111"/>
        <v>0.2932889883</v>
      </c>
      <c r="O132" s="244">
        <f t="shared" si="111"/>
        <v>0.2911481927</v>
      </c>
      <c r="P132" s="244">
        <f t="shared" si="111"/>
        <v>0.2890073972</v>
      </c>
      <c r="Q132" s="244">
        <f t="shared" si="111"/>
        <v>0.2868666017</v>
      </c>
      <c r="R132" s="244">
        <f t="shared" si="111"/>
        <v>0.2825850106</v>
      </c>
      <c r="S132" s="244">
        <f t="shared" si="111"/>
        <v>0.2403807558</v>
      </c>
      <c r="T132" s="244">
        <f t="shared" si="111"/>
        <v>0.2385457882</v>
      </c>
      <c r="U132" s="244">
        <f t="shared" si="111"/>
        <v>0.2367108206</v>
      </c>
      <c r="V132" s="244">
        <f t="shared" si="111"/>
        <v>0.234875853</v>
      </c>
      <c r="W132" s="244">
        <f t="shared" si="111"/>
        <v>0.2312059178</v>
      </c>
      <c r="X132" s="244">
        <f t="shared" si="111"/>
        <v>0.2312059178</v>
      </c>
      <c r="Y132" s="244">
        <f t="shared" si="111"/>
        <v>0.2312059178</v>
      </c>
    </row>
    <row r="133">
      <c r="A133" s="241" t="str">
        <f>Items!U1</f>
        <v>Attack speed</v>
      </c>
      <c r="B133" s="244" t="b">
        <f>B1="CHOOSE SPELL"</f>
        <v>0</v>
      </c>
      <c r="C133" s="243">
        <f t="array" ref="C133">IF(B133,if(and('Sheet 1'!B58=Items!A167,B45=false),2.4,3),0.6*INDEX(Items!$A$1:$V192,MATCH('Sheet 1'!$B$58,Items!$A$1:$A192,0),MATCH(A133,Items!$A$1:Y$1,0)) - IF(B1="Rapid",0.6,0))</f>
        <v>2.4</v>
      </c>
      <c r="D133" s="244">
        <f t="shared" ref="D133:Y133" si="112">$C133</f>
        <v>2.4</v>
      </c>
      <c r="E133" s="244">
        <f t="shared" si="112"/>
        <v>2.4</v>
      </c>
      <c r="F133" s="244">
        <f t="shared" si="112"/>
        <v>2.4</v>
      </c>
      <c r="G133" s="244">
        <f t="shared" si="112"/>
        <v>2.4</v>
      </c>
      <c r="H133" s="244">
        <f t="shared" si="112"/>
        <v>2.4</v>
      </c>
      <c r="I133" s="244">
        <f t="shared" si="112"/>
        <v>2.4</v>
      </c>
      <c r="J133" s="244">
        <f t="shared" si="112"/>
        <v>2.4</v>
      </c>
      <c r="K133" s="244">
        <f t="shared" si="112"/>
        <v>2.4</v>
      </c>
      <c r="L133" s="244">
        <f t="shared" si="112"/>
        <v>2.4</v>
      </c>
      <c r="M133" s="244">
        <f t="shared" si="112"/>
        <v>2.4</v>
      </c>
      <c r="N133" s="244">
        <f t="shared" si="112"/>
        <v>2.4</v>
      </c>
      <c r="O133" s="244">
        <f t="shared" si="112"/>
        <v>2.4</v>
      </c>
      <c r="P133" s="244">
        <f t="shared" si="112"/>
        <v>2.4</v>
      </c>
      <c r="Q133" s="244">
        <f t="shared" si="112"/>
        <v>2.4</v>
      </c>
      <c r="R133" s="244">
        <f t="shared" si="112"/>
        <v>2.4</v>
      </c>
      <c r="S133" s="244">
        <f t="shared" si="112"/>
        <v>2.4</v>
      </c>
      <c r="T133" s="244">
        <f t="shared" si="112"/>
        <v>2.4</v>
      </c>
      <c r="U133" s="244">
        <f t="shared" si="112"/>
        <v>2.4</v>
      </c>
      <c r="V133" s="244">
        <f t="shared" si="112"/>
        <v>2.4</v>
      </c>
      <c r="W133" s="244">
        <f t="shared" si="112"/>
        <v>2.4</v>
      </c>
      <c r="X133" s="244">
        <f t="shared" si="112"/>
        <v>2.4</v>
      </c>
      <c r="Y133" s="244">
        <f t="shared" si="112"/>
        <v>2.4</v>
      </c>
    </row>
    <row r="134">
      <c r="A134" s="241" t="s">
        <v>211</v>
      </c>
      <c r="B134" s="244" t="b">
        <f>Input!AG14</f>
        <v>0</v>
      </c>
      <c r="C134" s="243">
        <f>C133-if(B134,0.6,0)</f>
        <v>2.4</v>
      </c>
      <c r="D134" s="244">
        <f t="shared" ref="D134:Y134" si="113">$C134</f>
        <v>2.4</v>
      </c>
      <c r="E134" s="244">
        <f t="shared" si="113"/>
        <v>2.4</v>
      </c>
      <c r="F134" s="244">
        <f t="shared" si="113"/>
        <v>2.4</v>
      </c>
      <c r="G134" s="244">
        <f t="shared" si="113"/>
        <v>2.4</v>
      </c>
      <c r="H134" s="244">
        <f t="shared" si="113"/>
        <v>2.4</v>
      </c>
      <c r="I134" s="244">
        <f t="shared" si="113"/>
        <v>2.4</v>
      </c>
      <c r="J134" s="244">
        <f t="shared" si="113"/>
        <v>2.4</v>
      </c>
      <c r="K134" s="244">
        <f t="shared" si="113"/>
        <v>2.4</v>
      </c>
      <c r="L134" s="244">
        <f t="shared" si="113"/>
        <v>2.4</v>
      </c>
      <c r="M134" s="244">
        <f t="shared" si="113"/>
        <v>2.4</v>
      </c>
      <c r="N134" s="244">
        <f t="shared" si="113"/>
        <v>2.4</v>
      </c>
      <c r="O134" s="244">
        <f t="shared" si="113"/>
        <v>2.4</v>
      </c>
      <c r="P134" s="244">
        <f t="shared" si="113"/>
        <v>2.4</v>
      </c>
      <c r="Q134" s="244">
        <f t="shared" si="113"/>
        <v>2.4</v>
      </c>
      <c r="R134" s="244">
        <f t="shared" si="113"/>
        <v>2.4</v>
      </c>
      <c r="S134" s="244">
        <f t="shared" si="113"/>
        <v>2.4</v>
      </c>
      <c r="T134" s="244">
        <f t="shared" si="113"/>
        <v>2.4</v>
      </c>
      <c r="U134" s="244">
        <f t="shared" si="113"/>
        <v>2.4</v>
      </c>
      <c r="V134" s="244">
        <f t="shared" si="113"/>
        <v>2.4</v>
      </c>
      <c r="W134" s="244">
        <f t="shared" si="113"/>
        <v>2.4</v>
      </c>
      <c r="X134" s="244">
        <f t="shared" si="113"/>
        <v>2.4</v>
      </c>
      <c r="Y134" s="244">
        <f t="shared" si="113"/>
        <v>2.4</v>
      </c>
    </row>
    <row r="135">
      <c r="A135" s="248" t="s">
        <v>212</v>
      </c>
      <c r="B135" s="254"/>
      <c r="C135" s="251" t="s">
        <v>213</v>
      </c>
      <c r="D135" s="254">
        <f t="shared" ref="D135:Y135" si="114">D132/D134</f>
        <v>0.1329077228</v>
      </c>
      <c r="E135" s="254">
        <f t="shared" si="114"/>
        <v>0.1320157247</v>
      </c>
      <c r="F135" s="254">
        <f t="shared" si="114"/>
        <v>0.1311237265</v>
      </c>
      <c r="G135" s="254">
        <f t="shared" si="114"/>
        <v>0.1302317284</v>
      </c>
      <c r="H135" s="254">
        <f t="shared" si="114"/>
        <v>0.1284477321</v>
      </c>
      <c r="I135" s="254">
        <f t="shared" si="114"/>
        <v>0.127555734</v>
      </c>
      <c r="J135" s="254">
        <f t="shared" si="114"/>
        <v>0.1266637358</v>
      </c>
      <c r="K135" s="254">
        <f t="shared" si="114"/>
        <v>0.1257717377</v>
      </c>
      <c r="L135" s="254">
        <f t="shared" si="114"/>
        <v>0.1248797395</v>
      </c>
      <c r="M135" s="254">
        <f t="shared" si="114"/>
        <v>0.1230957433</v>
      </c>
      <c r="N135" s="254">
        <f t="shared" si="114"/>
        <v>0.1222037451</v>
      </c>
      <c r="O135" s="254">
        <f t="shared" si="114"/>
        <v>0.121311747</v>
      </c>
      <c r="P135" s="254">
        <f t="shared" si="114"/>
        <v>0.1204197488</v>
      </c>
      <c r="Q135" s="254">
        <f t="shared" si="114"/>
        <v>0.1195277507</v>
      </c>
      <c r="R135" s="254">
        <f t="shared" si="114"/>
        <v>0.1177437544</v>
      </c>
      <c r="S135" s="254">
        <f t="shared" si="114"/>
        <v>0.1001586482</v>
      </c>
      <c r="T135" s="254">
        <f t="shared" si="114"/>
        <v>0.09939407841</v>
      </c>
      <c r="U135" s="254">
        <f t="shared" si="114"/>
        <v>0.09862950857</v>
      </c>
      <c r="V135" s="254">
        <f t="shared" si="114"/>
        <v>0.09786493874</v>
      </c>
      <c r="W135" s="254">
        <f t="shared" si="114"/>
        <v>0.09633579907</v>
      </c>
      <c r="X135" s="254">
        <f t="shared" si="114"/>
        <v>0.09633579907</v>
      </c>
      <c r="Y135" s="254">
        <f t="shared" si="114"/>
        <v>0.09633579907</v>
      </c>
    </row>
    <row r="136">
      <c r="A136" s="248" t="s">
        <v>214</v>
      </c>
      <c r="B136" s="254"/>
      <c r="C136" s="251" t="s">
        <v>215</v>
      </c>
      <c r="D136" s="254">
        <f t="shared" ref="D136:Y136" si="115">AVERAGE($D135:D135)</f>
        <v>0.1329077228</v>
      </c>
      <c r="E136" s="254">
        <f t="shared" si="115"/>
        <v>0.1324617237</v>
      </c>
      <c r="F136" s="254">
        <f t="shared" si="115"/>
        <v>0.1320157247</v>
      </c>
      <c r="G136" s="254">
        <f t="shared" si="115"/>
        <v>0.1315697256</v>
      </c>
      <c r="H136" s="254">
        <f t="shared" si="115"/>
        <v>0.1309453269</v>
      </c>
      <c r="I136" s="254">
        <f t="shared" si="115"/>
        <v>0.1303803947</v>
      </c>
      <c r="J136" s="254">
        <f t="shared" si="115"/>
        <v>0.1298494435</v>
      </c>
      <c r="K136" s="254">
        <f t="shared" si="115"/>
        <v>0.1293397302</v>
      </c>
      <c r="L136" s="254">
        <f t="shared" si="115"/>
        <v>0.1288441757</v>
      </c>
      <c r="M136" s="254">
        <f t="shared" si="115"/>
        <v>0.1282693325</v>
      </c>
      <c r="N136" s="254">
        <f t="shared" si="115"/>
        <v>0.1277179154</v>
      </c>
      <c r="O136" s="254">
        <f t="shared" si="115"/>
        <v>0.1271840681</v>
      </c>
      <c r="P136" s="254">
        <f t="shared" si="115"/>
        <v>0.1266637358</v>
      </c>
      <c r="Q136" s="254">
        <f t="shared" si="115"/>
        <v>0.1261540226</v>
      </c>
      <c r="R136" s="254">
        <f t="shared" si="115"/>
        <v>0.125593338</v>
      </c>
      <c r="S136" s="254">
        <f t="shared" si="115"/>
        <v>0.1240036699</v>
      </c>
      <c r="T136" s="254">
        <f t="shared" si="115"/>
        <v>0.1225560469</v>
      </c>
      <c r="U136" s="254">
        <f t="shared" si="115"/>
        <v>0.1212267948</v>
      </c>
      <c r="V136" s="254">
        <f t="shared" si="115"/>
        <v>0.1199972234</v>
      </c>
      <c r="W136" s="254">
        <f t="shared" si="115"/>
        <v>0.1188141522</v>
      </c>
      <c r="X136" s="254">
        <f t="shared" si="115"/>
        <v>0.1177437544</v>
      </c>
      <c r="Y136" s="254">
        <f t="shared" si="115"/>
        <v>0.1167706655</v>
      </c>
    </row>
    <row r="137">
      <c r="A137" s="241" t="s">
        <v>216</v>
      </c>
      <c r="B137" s="244"/>
      <c r="C137" s="243">
        <f>'Sheet 1'!$F$92</f>
        <v>2000</v>
      </c>
      <c r="D137" s="244">
        <f t="shared" ref="D137:Y137" si="116">D27*MIN(D107,$C137)*(MIN(D107,$C137)+1)*((($C137+D107+1)/($C137*(D107+1)*2))-(2/($C137*(D107+1)*6))*(2*MIN(D107,$C137)+1))</f>
        <v>0.3186595562</v>
      </c>
      <c r="E137" s="244">
        <f t="shared" si="116"/>
        <v>0.3165209014</v>
      </c>
      <c r="F137" s="244">
        <f t="shared" si="116"/>
        <v>0.3143822467</v>
      </c>
      <c r="G137" s="244">
        <f t="shared" si="116"/>
        <v>0.3122435919</v>
      </c>
      <c r="H137" s="244">
        <f t="shared" si="116"/>
        <v>0.3079662825</v>
      </c>
      <c r="I137" s="244">
        <f t="shared" si="116"/>
        <v>0.3058276277</v>
      </c>
      <c r="J137" s="244">
        <f t="shared" si="116"/>
        <v>0.303688973</v>
      </c>
      <c r="K137" s="244">
        <f t="shared" si="116"/>
        <v>0.3015503183</v>
      </c>
      <c r="L137" s="244">
        <f t="shared" si="116"/>
        <v>0.2994116635</v>
      </c>
      <c r="M137" s="244">
        <f t="shared" si="116"/>
        <v>0.295134354</v>
      </c>
      <c r="N137" s="244">
        <f t="shared" si="116"/>
        <v>0.2929956993</v>
      </c>
      <c r="O137" s="244">
        <f t="shared" si="116"/>
        <v>0.2908570446</v>
      </c>
      <c r="P137" s="244">
        <f t="shared" si="116"/>
        <v>0.2887183898</v>
      </c>
      <c r="Q137" s="244">
        <f t="shared" si="116"/>
        <v>0.2865797351</v>
      </c>
      <c r="R137" s="244">
        <f t="shared" si="116"/>
        <v>0.2823024256</v>
      </c>
      <c r="S137" s="244">
        <f t="shared" si="116"/>
        <v>0.2401804385</v>
      </c>
      <c r="T137" s="244">
        <f t="shared" si="116"/>
        <v>0.238347</v>
      </c>
      <c r="U137" s="244">
        <f t="shared" si="116"/>
        <v>0.2365135616</v>
      </c>
      <c r="V137" s="244">
        <f t="shared" si="116"/>
        <v>0.2346801231</v>
      </c>
      <c r="W137" s="244">
        <f t="shared" si="116"/>
        <v>0.2310132462</v>
      </c>
      <c r="X137" s="244">
        <f t="shared" si="116"/>
        <v>0.2310132462</v>
      </c>
      <c r="Y137" s="244">
        <f t="shared" si="116"/>
        <v>0.2310132462</v>
      </c>
    </row>
    <row r="138">
      <c r="A138" s="248" t="s">
        <v>10</v>
      </c>
      <c r="B138" s="254"/>
      <c r="C138" s="251" t="s">
        <v>10</v>
      </c>
      <c r="D138" s="254">
        <f t="shared" ref="D138:Y138" si="117">D137/D133</f>
        <v>0.1327748151</v>
      </c>
      <c r="E138" s="254">
        <f t="shared" si="117"/>
        <v>0.1318837089</v>
      </c>
      <c r="F138" s="254">
        <f t="shared" si="117"/>
        <v>0.1309926028</v>
      </c>
      <c r="G138" s="254">
        <f t="shared" si="117"/>
        <v>0.1301014966</v>
      </c>
      <c r="H138" s="254">
        <f t="shared" si="117"/>
        <v>0.1283192844</v>
      </c>
      <c r="I138" s="254">
        <f t="shared" si="117"/>
        <v>0.1274281782</v>
      </c>
      <c r="J138" s="254">
        <f t="shared" si="117"/>
        <v>0.1265370721</v>
      </c>
      <c r="K138" s="254">
        <f t="shared" si="117"/>
        <v>0.1256459659</v>
      </c>
      <c r="L138" s="254">
        <f t="shared" si="117"/>
        <v>0.1247548598</v>
      </c>
      <c r="M138" s="254">
        <f t="shared" si="117"/>
        <v>0.1229726475</v>
      </c>
      <c r="N138" s="254">
        <f t="shared" si="117"/>
        <v>0.1220815414</v>
      </c>
      <c r="O138" s="254">
        <f t="shared" si="117"/>
        <v>0.1211904352</v>
      </c>
      <c r="P138" s="254">
        <f t="shared" si="117"/>
        <v>0.1202993291</v>
      </c>
      <c r="Q138" s="254">
        <f t="shared" si="117"/>
        <v>0.1194082229</v>
      </c>
      <c r="R138" s="254">
        <f t="shared" si="117"/>
        <v>0.1176260107</v>
      </c>
      <c r="S138" s="254">
        <f t="shared" si="117"/>
        <v>0.1000751827</v>
      </c>
      <c r="T138" s="254">
        <f t="shared" si="117"/>
        <v>0.09931125001</v>
      </c>
      <c r="U138" s="254">
        <f t="shared" si="117"/>
        <v>0.09854731732</v>
      </c>
      <c r="V138" s="254">
        <f t="shared" si="117"/>
        <v>0.09778338462</v>
      </c>
      <c r="W138" s="254">
        <f t="shared" si="117"/>
        <v>0.09625551924</v>
      </c>
      <c r="X138" s="254">
        <f t="shared" si="117"/>
        <v>0.09625551924</v>
      </c>
      <c r="Y138" s="254">
        <f t="shared" si="117"/>
        <v>0.09625551924</v>
      </c>
    </row>
    <row r="139">
      <c r="A139" s="248" t="s">
        <v>217</v>
      </c>
      <c r="B139" s="254"/>
      <c r="C139" s="251" t="s">
        <v>217</v>
      </c>
      <c r="D139" s="254">
        <f t="shared" ref="D139:Y139" si="118">AVERAGE($D138:D138)</f>
        <v>0.1327748151</v>
      </c>
      <c r="E139" s="254">
        <f t="shared" si="118"/>
        <v>0.132329262</v>
      </c>
      <c r="F139" s="254">
        <f t="shared" si="118"/>
        <v>0.1318837089</v>
      </c>
      <c r="G139" s="254">
        <f t="shared" si="118"/>
        <v>0.1314381559</v>
      </c>
      <c r="H139" s="254">
        <f t="shared" si="118"/>
        <v>0.1308143816</v>
      </c>
      <c r="I139" s="254">
        <f t="shared" si="118"/>
        <v>0.1302500143</v>
      </c>
      <c r="J139" s="254">
        <f t="shared" si="118"/>
        <v>0.129719594</v>
      </c>
      <c r="K139" s="254">
        <f t="shared" si="118"/>
        <v>0.1292103905</v>
      </c>
      <c r="L139" s="254">
        <f t="shared" si="118"/>
        <v>0.1287153315</v>
      </c>
      <c r="M139" s="254">
        <f t="shared" si="118"/>
        <v>0.1281410631</v>
      </c>
      <c r="N139" s="254">
        <f t="shared" si="118"/>
        <v>0.1275901975</v>
      </c>
      <c r="O139" s="254">
        <f t="shared" si="118"/>
        <v>0.127056884</v>
      </c>
      <c r="P139" s="254">
        <f t="shared" si="118"/>
        <v>0.1265370721</v>
      </c>
      <c r="Q139" s="254">
        <f t="shared" si="118"/>
        <v>0.1260278686</v>
      </c>
      <c r="R139" s="254">
        <f t="shared" si="118"/>
        <v>0.1254677447</v>
      </c>
      <c r="S139" s="254">
        <f t="shared" si="118"/>
        <v>0.1238807096</v>
      </c>
      <c r="T139" s="254">
        <f t="shared" si="118"/>
        <v>0.1224354473</v>
      </c>
      <c r="U139" s="254">
        <f t="shared" si="118"/>
        <v>0.1211083289</v>
      </c>
      <c r="V139" s="254">
        <f t="shared" si="118"/>
        <v>0.1198807003</v>
      </c>
      <c r="W139" s="254">
        <f t="shared" si="118"/>
        <v>0.1186994412</v>
      </c>
      <c r="X139" s="254">
        <f t="shared" si="118"/>
        <v>0.117630683</v>
      </c>
      <c r="Y139" s="254">
        <f t="shared" si="118"/>
        <v>0.1166590847</v>
      </c>
    </row>
    <row r="140">
      <c r="A140" s="247" t="str">
        <f>'NPC stats'!C2</f>
        <v>Exp bonus</v>
      </c>
      <c r="B140" s="244" t="str">
        <f>'Sheet 1'!B75</f>
        <v>Corporeal beast</v>
      </c>
      <c r="C140" s="255">
        <f t="array" ref="C140">INDEX('NPC stats'!$A$2:$Z192,MATCH(B140,'NPC stats'!$A$2:$A192,0),MATCH(A140,'NPC stats'!$A$2:Y$2,0))</f>
        <v>0.55</v>
      </c>
      <c r="D140" s="246">
        <f t="shared" ref="D140:Y140" si="119">4*(1+$C140)</f>
        <v>6.2</v>
      </c>
      <c r="E140" s="246">
        <f t="shared" si="119"/>
        <v>6.2</v>
      </c>
      <c r="F140" s="246">
        <f t="shared" si="119"/>
        <v>6.2</v>
      </c>
      <c r="G140" s="246">
        <f t="shared" si="119"/>
        <v>6.2</v>
      </c>
      <c r="H140" s="246">
        <f t="shared" si="119"/>
        <v>6.2</v>
      </c>
      <c r="I140" s="246">
        <f t="shared" si="119"/>
        <v>6.2</v>
      </c>
      <c r="J140" s="246">
        <f t="shared" si="119"/>
        <v>6.2</v>
      </c>
      <c r="K140" s="246">
        <f t="shared" si="119"/>
        <v>6.2</v>
      </c>
      <c r="L140" s="246">
        <f t="shared" si="119"/>
        <v>6.2</v>
      </c>
      <c r="M140" s="246">
        <f t="shared" si="119"/>
        <v>6.2</v>
      </c>
      <c r="N140" s="246">
        <f t="shared" si="119"/>
        <v>6.2</v>
      </c>
      <c r="O140" s="246">
        <f t="shared" si="119"/>
        <v>6.2</v>
      </c>
      <c r="P140" s="246">
        <f t="shared" si="119"/>
        <v>6.2</v>
      </c>
      <c r="Q140" s="246">
        <f t="shared" si="119"/>
        <v>6.2</v>
      </c>
      <c r="R140" s="246">
        <f t="shared" si="119"/>
        <v>6.2</v>
      </c>
      <c r="S140" s="246">
        <f t="shared" si="119"/>
        <v>6.2</v>
      </c>
      <c r="T140" s="246">
        <f t="shared" si="119"/>
        <v>6.2</v>
      </c>
      <c r="U140" s="246">
        <f t="shared" si="119"/>
        <v>6.2</v>
      </c>
      <c r="V140" s="246">
        <f t="shared" si="119"/>
        <v>6.2</v>
      </c>
      <c r="W140" s="246">
        <f t="shared" si="119"/>
        <v>6.2</v>
      </c>
      <c r="X140" s="246">
        <f t="shared" si="119"/>
        <v>6.2</v>
      </c>
      <c r="Y140" s="246">
        <f t="shared" si="119"/>
        <v>6.2</v>
      </c>
    </row>
    <row r="141">
      <c r="A141" s="248" t="s">
        <v>218</v>
      </c>
      <c r="B141" s="254"/>
      <c r="C141" s="251" t="s">
        <v>219</v>
      </c>
      <c r="D141" s="256">
        <f t="shared" ref="D141:Y141" si="120">INT(D137*D140/D133*3600)</f>
        <v>2963</v>
      </c>
      <c r="E141" s="256">
        <f t="shared" si="120"/>
        <v>2943</v>
      </c>
      <c r="F141" s="256">
        <f t="shared" si="120"/>
        <v>2923</v>
      </c>
      <c r="G141" s="256">
        <f t="shared" si="120"/>
        <v>2903</v>
      </c>
      <c r="H141" s="256">
        <f t="shared" si="120"/>
        <v>2864</v>
      </c>
      <c r="I141" s="256">
        <f t="shared" si="120"/>
        <v>2844</v>
      </c>
      <c r="J141" s="256">
        <f t="shared" si="120"/>
        <v>2824</v>
      </c>
      <c r="K141" s="256">
        <f t="shared" si="120"/>
        <v>2804</v>
      </c>
      <c r="L141" s="256">
        <f t="shared" si="120"/>
        <v>2784</v>
      </c>
      <c r="M141" s="256">
        <f t="shared" si="120"/>
        <v>2744</v>
      </c>
      <c r="N141" s="256">
        <f t="shared" si="120"/>
        <v>2724</v>
      </c>
      <c r="O141" s="256">
        <f t="shared" si="120"/>
        <v>2704</v>
      </c>
      <c r="P141" s="256">
        <f t="shared" si="120"/>
        <v>2685</v>
      </c>
      <c r="Q141" s="256">
        <f t="shared" si="120"/>
        <v>2665</v>
      </c>
      <c r="R141" s="256">
        <f t="shared" si="120"/>
        <v>2625</v>
      </c>
      <c r="S141" s="256">
        <f t="shared" si="120"/>
        <v>2233</v>
      </c>
      <c r="T141" s="256">
        <f t="shared" si="120"/>
        <v>2216</v>
      </c>
      <c r="U141" s="256">
        <f t="shared" si="120"/>
        <v>2199</v>
      </c>
      <c r="V141" s="256">
        <f t="shared" si="120"/>
        <v>2182</v>
      </c>
      <c r="W141" s="256">
        <f t="shared" si="120"/>
        <v>2148</v>
      </c>
      <c r="X141" s="256">
        <f t="shared" si="120"/>
        <v>2148</v>
      </c>
      <c r="Y141" s="256">
        <f t="shared" si="120"/>
        <v>2148</v>
      </c>
    </row>
    <row r="142">
      <c r="A142" s="248" t="s">
        <v>220</v>
      </c>
      <c r="B142" s="254"/>
      <c r="C142" s="251" t="s">
        <v>221</v>
      </c>
      <c r="D142" s="256">
        <f t="shared" ref="D142:Y142" si="121">INT(AVERAGE($D141:D141))</f>
        <v>2963</v>
      </c>
      <c r="E142" s="256">
        <f t="shared" si="121"/>
        <v>2953</v>
      </c>
      <c r="F142" s="256">
        <f t="shared" si="121"/>
        <v>2943</v>
      </c>
      <c r="G142" s="256">
        <f t="shared" si="121"/>
        <v>2933</v>
      </c>
      <c r="H142" s="256">
        <f t="shared" si="121"/>
        <v>2919</v>
      </c>
      <c r="I142" s="256">
        <f t="shared" si="121"/>
        <v>2906</v>
      </c>
      <c r="J142" s="256">
        <f t="shared" si="121"/>
        <v>2894</v>
      </c>
      <c r="K142" s="256">
        <f t="shared" si="121"/>
        <v>2883</v>
      </c>
      <c r="L142" s="256">
        <f t="shared" si="121"/>
        <v>2872</v>
      </c>
      <c r="M142" s="256">
        <f t="shared" si="121"/>
        <v>2859</v>
      </c>
      <c r="N142" s="256">
        <f t="shared" si="121"/>
        <v>2847</v>
      </c>
      <c r="O142" s="256">
        <f t="shared" si="121"/>
        <v>2835</v>
      </c>
      <c r="P142" s="256">
        <f t="shared" si="121"/>
        <v>2823</v>
      </c>
      <c r="Q142" s="256">
        <f t="shared" si="121"/>
        <v>2812</v>
      </c>
      <c r="R142" s="256">
        <f t="shared" si="121"/>
        <v>2799</v>
      </c>
      <c r="S142" s="256">
        <f t="shared" si="121"/>
        <v>2764</v>
      </c>
      <c r="T142" s="256">
        <f t="shared" si="121"/>
        <v>2732</v>
      </c>
      <c r="U142" s="256">
        <f t="shared" si="121"/>
        <v>2702</v>
      </c>
      <c r="V142" s="256">
        <f t="shared" si="121"/>
        <v>2675</v>
      </c>
      <c r="W142" s="256">
        <f t="shared" si="121"/>
        <v>2648</v>
      </c>
      <c r="X142" s="256">
        <f t="shared" si="121"/>
        <v>2625</v>
      </c>
      <c r="Y142" s="256">
        <f t="shared" si="121"/>
        <v>2603</v>
      </c>
    </row>
    <row r="143">
      <c r="A143" s="244"/>
      <c r="B143" s="244"/>
      <c r="C143" s="243"/>
      <c r="D143" s="244"/>
      <c r="E143" s="244"/>
      <c r="F143" s="244"/>
      <c r="G143" s="244"/>
      <c r="H143" s="244"/>
      <c r="I143" s="244"/>
      <c r="J143" s="244"/>
      <c r="K143" s="244"/>
      <c r="L143" s="244"/>
      <c r="M143" s="244"/>
      <c r="N143" s="244"/>
      <c r="O143" s="244"/>
      <c r="P143" s="244"/>
      <c r="Q143" s="244"/>
      <c r="R143" s="244"/>
      <c r="S143" s="244"/>
      <c r="T143" s="244"/>
      <c r="U143" s="244"/>
      <c r="V143" s="244"/>
      <c r="W143" s="244"/>
      <c r="X143" s="244"/>
      <c r="Y143" s="244"/>
    </row>
    <row r="144">
      <c r="A144" s="229" t="s">
        <v>222</v>
      </c>
      <c r="B144" s="244"/>
      <c r="C144" s="243">
        <f>'Sheet 1'!D6</f>
        <v>99</v>
      </c>
      <c r="D144" s="244">
        <f>'Sheet 1'!I6</f>
        <v>118</v>
      </c>
      <c r="E144" s="244">
        <f t="shared" ref="E144:Y144" si="122">MAX($C144,D144-1)</f>
        <v>117</v>
      </c>
      <c r="F144" s="244">
        <f t="shared" si="122"/>
        <v>116</v>
      </c>
      <c r="G144" s="244">
        <f t="shared" si="122"/>
        <v>115</v>
      </c>
      <c r="H144" s="244">
        <f t="shared" si="122"/>
        <v>114</v>
      </c>
      <c r="I144" s="244">
        <f t="shared" si="122"/>
        <v>113</v>
      </c>
      <c r="J144" s="244">
        <f t="shared" si="122"/>
        <v>112</v>
      </c>
      <c r="K144" s="244">
        <f t="shared" si="122"/>
        <v>111</v>
      </c>
      <c r="L144" s="244">
        <f t="shared" si="122"/>
        <v>110</v>
      </c>
      <c r="M144" s="244">
        <f t="shared" si="122"/>
        <v>109</v>
      </c>
      <c r="N144" s="244">
        <f t="shared" si="122"/>
        <v>108</v>
      </c>
      <c r="O144" s="244">
        <f t="shared" si="122"/>
        <v>107</v>
      </c>
      <c r="P144" s="244">
        <f t="shared" si="122"/>
        <v>106</v>
      </c>
      <c r="Q144" s="244">
        <f t="shared" si="122"/>
        <v>105</v>
      </c>
      <c r="R144" s="244">
        <f t="shared" si="122"/>
        <v>104</v>
      </c>
      <c r="S144" s="244">
        <f t="shared" si="122"/>
        <v>103</v>
      </c>
      <c r="T144" s="244">
        <f t="shared" si="122"/>
        <v>102</v>
      </c>
      <c r="U144" s="244">
        <f t="shared" si="122"/>
        <v>101</v>
      </c>
      <c r="V144" s="244">
        <f t="shared" si="122"/>
        <v>100</v>
      </c>
      <c r="W144" s="244">
        <f t="shared" si="122"/>
        <v>99</v>
      </c>
      <c r="X144" s="244">
        <f t="shared" si="122"/>
        <v>99</v>
      </c>
      <c r="Y144" s="244">
        <f t="shared" si="122"/>
        <v>99</v>
      </c>
    </row>
    <row r="145">
      <c r="A145" s="229" t="s">
        <v>223</v>
      </c>
      <c r="B145" s="244"/>
      <c r="C145" s="243">
        <f>1+'Sheet 1'!L6</f>
        <v>1.2</v>
      </c>
      <c r="D145" s="244">
        <f t="shared" ref="D145:Y145" si="123">INT(D144*$C145)</f>
        <v>141</v>
      </c>
      <c r="E145" s="244">
        <f t="shared" si="123"/>
        <v>140</v>
      </c>
      <c r="F145" s="244">
        <f t="shared" si="123"/>
        <v>139</v>
      </c>
      <c r="G145" s="244">
        <f t="shared" si="123"/>
        <v>138</v>
      </c>
      <c r="H145" s="244">
        <f t="shared" si="123"/>
        <v>136</v>
      </c>
      <c r="I145" s="244">
        <f t="shared" si="123"/>
        <v>135</v>
      </c>
      <c r="J145" s="244">
        <f t="shared" si="123"/>
        <v>134</v>
      </c>
      <c r="K145" s="244">
        <f t="shared" si="123"/>
        <v>133</v>
      </c>
      <c r="L145" s="244">
        <f t="shared" si="123"/>
        <v>132</v>
      </c>
      <c r="M145" s="244">
        <f t="shared" si="123"/>
        <v>130</v>
      </c>
      <c r="N145" s="244">
        <f t="shared" si="123"/>
        <v>129</v>
      </c>
      <c r="O145" s="244">
        <f t="shared" si="123"/>
        <v>128</v>
      </c>
      <c r="P145" s="244">
        <f t="shared" si="123"/>
        <v>127</v>
      </c>
      <c r="Q145" s="244">
        <f t="shared" si="123"/>
        <v>126</v>
      </c>
      <c r="R145" s="244">
        <f t="shared" si="123"/>
        <v>124</v>
      </c>
      <c r="S145" s="244">
        <f t="shared" si="123"/>
        <v>123</v>
      </c>
      <c r="T145" s="244">
        <f t="shared" si="123"/>
        <v>122</v>
      </c>
      <c r="U145" s="244">
        <f t="shared" si="123"/>
        <v>121</v>
      </c>
      <c r="V145" s="244">
        <f t="shared" si="123"/>
        <v>120</v>
      </c>
      <c r="W145" s="244">
        <f t="shared" si="123"/>
        <v>118</v>
      </c>
      <c r="X145" s="244">
        <f t="shared" si="123"/>
        <v>118</v>
      </c>
      <c r="Y145" s="244">
        <f t="shared" si="123"/>
        <v>118</v>
      </c>
    </row>
    <row r="146">
      <c r="A146" s="229" t="s">
        <v>224</v>
      </c>
      <c r="B146" s="244"/>
      <c r="C146" s="242">
        <v>8.0</v>
      </c>
      <c r="D146" s="244">
        <f t="shared" ref="D146:Y146" si="124">D145+$C$146</f>
        <v>149</v>
      </c>
      <c r="E146" s="244">
        <f t="shared" si="124"/>
        <v>148</v>
      </c>
      <c r="F146" s="244">
        <f t="shared" si="124"/>
        <v>147</v>
      </c>
      <c r="G146" s="244">
        <f t="shared" si="124"/>
        <v>146</v>
      </c>
      <c r="H146" s="244">
        <f t="shared" si="124"/>
        <v>144</v>
      </c>
      <c r="I146" s="244">
        <f t="shared" si="124"/>
        <v>143</v>
      </c>
      <c r="J146" s="244">
        <f t="shared" si="124"/>
        <v>142</v>
      </c>
      <c r="K146" s="244">
        <f t="shared" si="124"/>
        <v>141</v>
      </c>
      <c r="L146" s="244">
        <f t="shared" si="124"/>
        <v>140</v>
      </c>
      <c r="M146" s="244">
        <f t="shared" si="124"/>
        <v>138</v>
      </c>
      <c r="N146" s="244">
        <f t="shared" si="124"/>
        <v>137</v>
      </c>
      <c r="O146" s="244">
        <f t="shared" si="124"/>
        <v>136</v>
      </c>
      <c r="P146" s="244">
        <f t="shared" si="124"/>
        <v>135</v>
      </c>
      <c r="Q146" s="244">
        <f t="shared" si="124"/>
        <v>134</v>
      </c>
      <c r="R146" s="244">
        <f t="shared" si="124"/>
        <v>132</v>
      </c>
      <c r="S146" s="244">
        <f t="shared" si="124"/>
        <v>131</v>
      </c>
      <c r="T146" s="244">
        <f t="shared" si="124"/>
        <v>130</v>
      </c>
      <c r="U146" s="244">
        <f t="shared" si="124"/>
        <v>129</v>
      </c>
      <c r="V146" s="244">
        <f t="shared" si="124"/>
        <v>128</v>
      </c>
      <c r="W146" s="244">
        <f t="shared" si="124"/>
        <v>126</v>
      </c>
      <c r="X146" s="244">
        <f t="shared" si="124"/>
        <v>126</v>
      </c>
      <c r="Y146" s="244">
        <f t="shared" si="124"/>
        <v>126</v>
      </c>
    </row>
    <row r="147">
      <c r="A147" s="229" t="s">
        <v>156</v>
      </c>
      <c r="B147" s="244" t="b">
        <f>AND('Sheet 1'!$B$61=Items!$A$208,OR('Sheet 1'!$B$64=Items!$A$289,'Sheet 1'!$B$64=Items!$A$290),OR('Sheet 1'!$B$65=Items!$A$333,'Sheet 1'!$B$65=Items!$A$334),'Sheet 1'!$B$67=Items!$A$417)</f>
        <v>0</v>
      </c>
      <c r="C147" s="243">
        <f>if(B147,1.1,1)</f>
        <v>1</v>
      </c>
      <c r="D147" s="244">
        <f t="shared" ref="D147:Y147" si="125">INT(D146*$C147)</f>
        <v>149</v>
      </c>
      <c r="E147" s="244">
        <f t="shared" si="125"/>
        <v>148</v>
      </c>
      <c r="F147" s="244">
        <f t="shared" si="125"/>
        <v>147</v>
      </c>
      <c r="G147" s="244">
        <f t="shared" si="125"/>
        <v>146</v>
      </c>
      <c r="H147" s="244">
        <f t="shared" si="125"/>
        <v>144</v>
      </c>
      <c r="I147" s="244">
        <f t="shared" si="125"/>
        <v>143</v>
      </c>
      <c r="J147" s="244">
        <f t="shared" si="125"/>
        <v>142</v>
      </c>
      <c r="K147" s="244">
        <f t="shared" si="125"/>
        <v>141</v>
      </c>
      <c r="L147" s="244">
        <f t="shared" si="125"/>
        <v>140</v>
      </c>
      <c r="M147" s="244">
        <f t="shared" si="125"/>
        <v>138</v>
      </c>
      <c r="N147" s="244">
        <f t="shared" si="125"/>
        <v>137</v>
      </c>
      <c r="O147" s="244">
        <f t="shared" si="125"/>
        <v>136</v>
      </c>
      <c r="P147" s="244">
        <f t="shared" si="125"/>
        <v>135</v>
      </c>
      <c r="Q147" s="244">
        <f t="shared" si="125"/>
        <v>134</v>
      </c>
      <c r="R147" s="244">
        <f t="shared" si="125"/>
        <v>132</v>
      </c>
      <c r="S147" s="244">
        <f t="shared" si="125"/>
        <v>131</v>
      </c>
      <c r="T147" s="244">
        <f t="shared" si="125"/>
        <v>130</v>
      </c>
      <c r="U147" s="244">
        <f t="shared" si="125"/>
        <v>129</v>
      </c>
      <c r="V147" s="244">
        <f t="shared" si="125"/>
        <v>128</v>
      </c>
      <c r="W147" s="244">
        <f t="shared" si="125"/>
        <v>126</v>
      </c>
      <c r="X147" s="244">
        <f t="shared" si="125"/>
        <v>126</v>
      </c>
      <c r="Y147" s="244">
        <f t="shared" si="125"/>
        <v>126</v>
      </c>
    </row>
    <row r="148">
      <c r="A148" s="229" t="s">
        <v>157</v>
      </c>
      <c r="B148" s="244"/>
      <c r="C148" s="243"/>
      <c r="D148" s="244">
        <f t="shared" ref="D148:Y148" si="126">D147</f>
        <v>149</v>
      </c>
      <c r="E148" s="244">
        <f t="shared" si="126"/>
        <v>148</v>
      </c>
      <c r="F148" s="244">
        <f t="shared" si="126"/>
        <v>147</v>
      </c>
      <c r="G148" s="244">
        <f t="shared" si="126"/>
        <v>146</v>
      </c>
      <c r="H148" s="244">
        <f t="shared" si="126"/>
        <v>144</v>
      </c>
      <c r="I148" s="244">
        <f t="shared" si="126"/>
        <v>143</v>
      </c>
      <c r="J148" s="244">
        <f t="shared" si="126"/>
        <v>142</v>
      </c>
      <c r="K148" s="244">
        <f t="shared" si="126"/>
        <v>141</v>
      </c>
      <c r="L148" s="244">
        <f t="shared" si="126"/>
        <v>140</v>
      </c>
      <c r="M148" s="244">
        <f t="shared" si="126"/>
        <v>138</v>
      </c>
      <c r="N148" s="244">
        <f t="shared" si="126"/>
        <v>137</v>
      </c>
      <c r="O148" s="244">
        <f t="shared" si="126"/>
        <v>136</v>
      </c>
      <c r="P148" s="244">
        <f t="shared" si="126"/>
        <v>135</v>
      </c>
      <c r="Q148" s="244">
        <f t="shared" si="126"/>
        <v>134</v>
      </c>
      <c r="R148" s="244">
        <f t="shared" si="126"/>
        <v>132</v>
      </c>
      <c r="S148" s="244">
        <f t="shared" si="126"/>
        <v>131</v>
      </c>
      <c r="T148" s="244">
        <f t="shared" si="126"/>
        <v>130</v>
      </c>
      <c r="U148" s="244">
        <f t="shared" si="126"/>
        <v>129</v>
      </c>
      <c r="V148" s="244">
        <f t="shared" si="126"/>
        <v>128</v>
      </c>
      <c r="W148" s="244">
        <f t="shared" si="126"/>
        <v>126</v>
      </c>
      <c r="X148" s="244">
        <f t="shared" si="126"/>
        <v>126</v>
      </c>
      <c r="Y148" s="244">
        <f t="shared" si="126"/>
        <v>126</v>
      </c>
    </row>
    <row r="149">
      <c r="A149" s="229" t="s">
        <v>158</v>
      </c>
      <c r="B149" s="244"/>
      <c r="C149" s="243">
        <f>'Sheet 1'!E71</f>
        <v>0</v>
      </c>
      <c r="D149" s="244">
        <f t="shared" ref="D149:Y149" si="127">int(D148*(64+$C$149))</f>
        <v>9536</v>
      </c>
      <c r="E149" s="244">
        <f t="shared" si="127"/>
        <v>9472</v>
      </c>
      <c r="F149" s="244">
        <f t="shared" si="127"/>
        <v>9408</v>
      </c>
      <c r="G149" s="244">
        <f t="shared" si="127"/>
        <v>9344</v>
      </c>
      <c r="H149" s="244">
        <f t="shared" si="127"/>
        <v>9216</v>
      </c>
      <c r="I149" s="244">
        <f t="shared" si="127"/>
        <v>9152</v>
      </c>
      <c r="J149" s="244">
        <f t="shared" si="127"/>
        <v>9088</v>
      </c>
      <c r="K149" s="244">
        <f t="shared" si="127"/>
        <v>9024</v>
      </c>
      <c r="L149" s="244">
        <f t="shared" si="127"/>
        <v>8960</v>
      </c>
      <c r="M149" s="244">
        <f t="shared" si="127"/>
        <v>8832</v>
      </c>
      <c r="N149" s="244">
        <f t="shared" si="127"/>
        <v>8768</v>
      </c>
      <c r="O149" s="244">
        <f t="shared" si="127"/>
        <v>8704</v>
      </c>
      <c r="P149" s="244">
        <f t="shared" si="127"/>
        <v>8640</v>
      </c>
      <c r="Q149" s="244">
        <f t="shared" si="127"/>
        <v>8576</v>
      </c>
      <c r="R149" s="244">
        <f t="shared" si="127"/>
        <v>8448</v>
      </c>
      <c r="S149" s="244">
        <f t="shared" si="127"/>
        <v>8384</v>
      </c>
      <c r="T149" s="244">
        <f t="shared" si="127"/>
        <v>8320</v>
      </c>
      <c r="U149" s="244">
        <f t="shared" si="127"/>
        <v>8256</v>
      </c>
      <c r="V149" s="244">
        <f t="shared" si="127"/>
        <v>8192</v>
      </c>
      <c r="W149" s="244">
        <f t="shared" si="127"/>
        <v>8064</v>
      </c>
      <c r="X149" s="244">
        <f t="shared" si="127"/>
        <v>8064</v>
      </c>
      <c r="Y149" s="244">
        <f t="shared" si="127"/>
        <v>8064</v>
      </c>
    </row>
    <row r="150">
      <c r="A150" s="229" t="s">
        <v>123</v>
      </c>
      <c r="B150" s="244"/>
      <c r="C150" s="243">
        <f>'Sheet 1'!D10</f>
        <v>99</v>
      </c>
      <c r="D150" s="244">
        <f>'Sheet 1'!I10</f>
        <v>112</v>
      </c>
      <c r="E150" s="244">
        <f t="shared" ref="E150:Y150" si="128">MAX($C150,D150-1)</f>
        <v>111</v>
      </c>
      <c r="F150" s="244">
        <f t="shared" si="128"/>
        <v>110</v>
      </c>
      <c r="G150" s="244">
        <f t="shared" si="128"/>
        <v>109</v>
      </c>
      <c r="H150" s="244">
        <f t="shared" si="128"/>
        <v>108</v>
      </c>
      <c r="I150" s="244">
        <f t="shared" si="128"/>
        <v>107</v>
      </c>
      <c r="J150" s="244">
        <f t="shared" si="128"/>
        <v>106</v>
      </c>
      <c r="K150" s="244">
        <f t="shared" si="128"/>
        <v>105</v>
      </c>
      <c r="L150" s="244">
        <f t="shared" si="128"/>
        <v>104</v>
      </c>
      <c r="M150" s="244">
        <f t="shared" si="128"/>
        <v>103</v>
      </c>
      <c r="N150" s="244">
        <f t="shared" si="128"/>
        <v>102</v>
      </c>
      <c r="O150" s="244">
        <f t="shared" si="128"/>
        <v>101</v>
      </c>
      <c r="P150" s="244">
        <f t="shared" si="128"/>
        <v>100</v>
      </c>
      <c r="Q150" s="244">
        <f t="shared" si="128"/>
        <v>99</v>
      </c>
      <c r="R150" s="244">
        <f t="shared" si="128"/>
        <v>99</v>
      </c>
      <c r="S150" s="244">
        <f t="shared" si="128"/>
        <v>99</v>
      </c>
      <c r="T150" s="244">
        <f t="shared" si="128"/>
        <v>99</v>
      </c>
      <c r="U150" s="244">
        <f t="shared" si="128"/>
        <v>99</v>
      </c>
      <c r="V150" s="244">
        <f t="shared" si="128"/>
        <v>99</v>
      </c>
      <c r="W150" s="244">
        <f t="shared" si="128"/>
        <v>99</v>
      </c>
      <c r="X150" s="244">
        <f t="shared" si="128"/>
        <v>99</v>
      </c>
      <c r="Y150" s="244">
        <f t="shared" si="128"/>
        <v>99</v>
      </c>
    </row>
    <row r="151">
      <c r="A151" s="229" t="s">
        <v>225</v>
      </c>
      <c r="B151" s="244"/>
      <c r="C151" s="243">
        <f>1+'Sheet 1'!L10</f>
        <v>1.2</v>
      </c>
      <c r="D151" s="244">
        <f t="shared" ref="D151:Y151" si="129">INT(D150*$C151)</f>
        <v>134</v>
      </c>
      <c r="E151" s="244">
        <f t="shared" si="129"/>
        <v>133</v>
      </c>
      <c r="F151" s="244">
        <f t="shared" si="129"/>
        <v>132</v>
      </c>
      <c r="G151" s="244">
        <f t="shared" si="129"/>
        <v>130</v>
      </c>
      <c r="H151" s="244">
        <f t="shared" si="129"/>
        <v>129</v>
      </c>
      <c r="I151" s="244">
        <f t="shared" si="129"/>
        <v>128</v>
      </c>
      <c r="J151" s="244">
        <f t="shared" si="129"/>
        <v>127</v>
      </c>
      <c r="K151" s="244">
        <f t="shared" si="129"/>
        <v>126</v>
      </c>
      <c r="L151" s="244">
        <f t="shared" si="129"/>
        <v>124</v>
      </c>
      <c r="M151" s="244">
        <f t="shared" si="129"/>
        <v>123</v>
      </c>
      <c r="N151" s="244">
        <f t="shared" si="129"/>
        <v>122</v>
      </c>
      <c r="O151" s="244">
        <f t="shared" si="129"/>
        <v>121</v>
      </c>
      <c r="P151" s="244">
        <f t="shared" si="129"/>
        <v>120</v>
      </c>
      <c r="Q151" s="244">
        <f t="shared" si="129"/>
        <v>118</v>
      </c>
      <c r="R151" s="244">
        <f t="shared" si="129"/>
        <v>118</v>
      </c>
      <c r="S151" s="244">
        <f t="shared" si="129"/>
        <v>118</v>
      </c>
      <c r="T151" s="244">
        <f t="shared" si="129"/>
        <v>118</v>
      </c>
      <c r="U151" s="244">
        <f t="shared" si="129"/>
        <v>118</v>
      </c>
      <c r="V151" s="244">
        <f t="shared" si="129"/>
        <v>118</v>
      </c>
      <c r="W151" s="244">
        <f t="shared" si="129"/>
        <v>118</v>
      </c>
      <c r="X151" s="244">
        <f t="shared" si="129"/>
        <v>118</v>
      </c>
      <c r="Y151" s="244">
        <f t="shared" si="129"/>
        <v>118</v>
      </c>
    </row>
    <row r="152">
      <c r="A152" s="229" t="s">
        <v>224</v>
      </c>
      <c r="B152" s="244"/>
      <c r="C152" s="242">
        <v>8.0</v>
      </c>
      <c r="D152" s="244">
        <f t="shared" ref="D152:Y152" si="130">D151+$C$152</f>
        <v>142</v>
      </c>
      <c r="E152" s="244">
        <f t="shared" si="130"/>
        <v>141</v>
      </c>
      <c r="F152" s="244">
        <f t="shared" si="130"/>
        <v>140</v>
      </c>
      <c r="G152" s="244">
        <f t="shared" si="130"/>
        <v>138</v>
      </c>
      <c r="H152" s="244">
        <f t="shared" si="130"/>
        <v>137</v>
      </c>
      <c r="I152" s="244">
        <f t="shared" si="130"/>
        <v>136</v>
      </c>
      <c r="J152" s="244">
        <f t="shared" si="130"/>
        <v>135</v>
      </c>
      <c r="K152" s="244">
        <f t="shared" si="130"/>
        <v>134</v>
      </c>
      <c r="L152" s="244">
        <f t="shared" si="130"/>
        <v>132</v>
      </c>
      <c r="M152" s="244">
        <f t="shared" si="130"/>
        <v>131</v>
      </c>
      <c r="N152" s="244">
        <f t="shared" si="130"/>
        <v>130</v>
      </c>
      <c r="O152" s="244">
        <f t="shared" si="130"/>
        <v>129</v>
      </c>
      <c r="P152" s="244">
        <f t="shared" si="130"/>
        <v>128</v>
      </c>
      <c r="Q152" s="244">
        <f t="shared" si="130"/>
        <v>126</v>
      </c>
      <c r="R152" s="244">
        <f t="shared" si="130"/>
        <v>126</v>
      </c>
      <c r="S152" s="244">
        <f t="shared" si="130"/>
        <v>126</v>
      </c>
      <c r="T152" s="244">
        <f t="shared" si="130"/>
        <v>126</v>
      </c>
      <c r="U152" s="244">
        <f t="shared" si="130"/>
        <v>126</v>
      </c>
      <c r="V152" s="244">
        <f t="shared" si="130"/>
        <v>126</v>
      </c>
      <c r="W152" s="244">
        <f t="shared" si="130"/>
        <v>126</v>
      </c>
      <c r="X152" s="244">
        <f t="shared" si="130"/>
        <v>126</v>
      </c>
      <c r="Y152" s="244">
        <f t="shared" si="130"/>
        <v>126</v>
      </c>
    </row>
    <row r="153">
      <c r="A153" s="229" t="s">
        <v>156</v>
      </c>
      <c r="B153" s="244" t="b">
        <f>AND('Sheet 1'!$B$61=Items!$A$208,OR('Sheet 1'!$B$64=Items!$A$289,'Sheet 1'!$B$64=Items!$A$290),OR('Sheet 1'!$B$65=Items!$A$333,'Sheet 1'!$B$65=Items!$A$334),'Sheet 1'!$B$67=Items!$A$417)</f>
        <v>0</v>
      </c>
      <c r="C153" s="243">
        <f>if(B153,1.1,1)</f>
        <v>1</v>
      </c>
      <c r="D153" s="244">
        <f t="shared" ref="D153:Y153" si="131">INT(D152*$C153)</f>
        <v>142</v>
      </c>
      <c r="E153" s="244">
        <f t="shared" si="131"/>
        <v>141</v>
      </c>
      <c r="F153" s="244">
        <f t="shared" si="131"/>
        <v>140</v>
      </c>
      <c r="G153" s="244">
        <f t="shared" si="131"/>
        <v>138</v>
      </c>
      <c r="H153" s="244">
        <f t="shared" si="131"/>
        <v>137</v>
      </c>
      <c r="I153" s="244">
        <f t="shared" si="131"/>
        <v>136</v>
      </c>
      <c r="J153" s="244">
        <f t="shared" si="131"/>
        <v>135</v>
      </c>
      <c r="K153" s="244">
        <f t="shared" si="131"/>
        <v>134</v>
      </c>
      <c r="L153" s="244">
        <f t="shared" si="131"/>
        <v>132</v>
      </c>
      <c r="M153" s="244">
        <f t="shared" si="131"/>
        <v>131</v>
      </c>
      <c r="N153" s="244">
        <f t="shared" si="131"/>
        <v>130</v>
      </c>
      <c r="O153" s="244">
        <f t="shared" si="131"/>
        <v>129</v>
      </c>
      <c r="P153" s="244">
        <f t="shared" si="131"/>
        <v>128</v>
      </c>
      <c r="Q153" s="244">
        <f t="shared" si="131"/>
        <v>126</v>
      </c>
      <c r="R153" s="244">
        <f t="shared" si="131"/>
        <v>126</v>
      </c>
      <c r="S153" s="244">
        <f t="shared" si="131"/>
        <v>126</v>
      </c>
      <c r="T153" s="244">
        <f t="shared" si="131"/>
        <v>126</v>
      </c>
      <c r="U153" s="244">
        <f t="shared" si="131"/>
        <v>126</v>
      </c>
      <c r="V153" s="244">
        <f t="shared" si="131"/>
        <v>126</v>
      </c>
      <c r="W153" s="244">
        <f t="shared" si="131"/>
        <v>126</v>
      </c>
      <c r="X153" s="244">
        <f t="shared" si="131"/>
        <v>126</v>
      </c>
      <c r="Y153" s="244">
        <f t="shared" si="131"/>
        <v>126</v>
      </c>
    </row>
    <row r="154">
      <c r="A154" s="229" t="s">
        <v>157</v>
      </c>
      <c r="B154" s="244"/>
      <c r="C154" s="243"/>
      <c r="D154" s="244">
        <f t="shared" ref="D154:Y154" si="132">D153</f>
        <v>142</v>
      </c>
      <c r="E154" s="244">
        <f t="shared" si="132"/>
        <v>141</v>
      </c>
      <c r="F154" s="244">
        <f t="shared" si="132"/>
        <v>140</v>
      </c>
      <c r="G154" s="244">
        <f t="shared" si="132"/>
        <v>138</v>
      </c>
      <c r="H154" s="244">
        <f t="shared" si="132"/>
        <v>137</v>
      </c>
      <c r="I154" s="244">
        <f t="shared" si="132"/>
        <v>136</v>
      </c>
      <c r="J154" s="244">
        <f t="shared" si="132"/>
        <v>135</v>
      </c>
      <c r="K154" s="244">
        <f t="shared" si="132"/>
        <v>134</v>
      </c>
      <c r="L154" s="244">
        <f t="shared" si="132"/>
        <v>132</v>
      </c>
      <c r="M154" s="244">
        <f t="shared" si="132"/>
        <v>131</v>
      </c>
      <c r="N154" s="244">
        <f t="shared" si="132"/>
        <v>130</v>
      </c>
      <c r="O154" s="244">
        <f t="shared" si="132"/>
        <v>129</v>
      </c>
      <c r="P154" s="244">
        <f t="shared" si="132"/>
        <v>128</v>
      </c>
      <c r="Q154" s="244">
        <f t="shared" si="132"/>
        <v>126</v>
      </c>
      <c r="R154" s="244">
        <f t="shared" si="132"/>
        <v>126</v>
      </c>
      <c r="S154" s="244">
        <f t="shared" si="132"/>
        <v>126</v>
      </c>
      <c r="T154" s="244">
        <f t="shared" si="132"/>
        <v>126</v>
      </c>
      <c r="U154" s="244">
        <f t="shared" si="132"/>
        <v>126</v>
      </c>
      <c r="V154" s="244">
        <f t="shared" si="132"/>
        <v>126</v>
      </c>
      <c r="W154" s="244">
        <f t="shared" si="132"/>
        <v>126</v>
      </c>
      <c r="X154" s="244">
        <f t="shared" si="132"/>
        <v>126</v>
      </c>
      <c r="Y154" s="244">
        <f t="shared" si="132"/>
        <v>126</v>
      </c>
    </row>
    <row r="155">
      <c r="A155" s="229" t="s">
        <v>158</v>
      </c>
      <c r="B155" s="244"/>
      <c r="C155" s="243">
        <f>'Sheet 1'!G71</f>
        <v>0</v>
      </c>
      <c r="D155" s="244">
        <f t="shared" ref="D155:Y155" si="133">int(D154*(64+$C$155))</f>
        <v>9088</v>
      </c>
      <c r="E155" s="244">
        <f t="shared" si="133"/>
        <v>9024</v>
      </c>
      <c r="F155" s="244">
        <f t="shared" si="133"/>
        <v>8960</v>
      </c>
      <c r="G155" s="244">
        <f t="shared" si="133"/>
        <v>8832</v>
      </c>
      <c r="H155" s="244">
        <f t="shared" si="133"/>
        <v>8768</v>
      </c>
      <c r="I155" s="244">
        <f t="shared" si="133"/>
        <v>8704</v>
      </c>
      <c r="J155" s="244">
        <f t="shared" si="133"/>
        <v>8640</v>
      </c>
      <c r="K155" s="244">
        <f t="shared" si="133"/>
        <v>8576</v>
      </c>
      <c r="L155" s="244">
        <f t="shared" si="133"/>
        <v>8448</v>
      </c>
      <c r="M155" s="244">
        <f t="shared" si="133"/>
        <v>8384</v>
      </c>
      <c r="N155" s="244">
        <f t="shared" si="133"/>
        <v>8320</v>
      </c>
      <c r="O155" s="244">
        <f t="shared" si="133"/>
        <v>8256</v>
      </c>
      <c r="P155" s="244">
        <f t="shared" si="133"/>
        <v>8192</v>
      </c>
      <c r="Q155" s="244">
        <f t="shared" si="133"/>
        <v>8064</v>
      </c>
      <c r="R155" s="244">
        <f t="shared" si="133"/>
        <v>8064</v>
      </c>
      <c r="S155" s="244">
        <f t="shared" si="133"/>
        <v>8064</v>
      </c>
      <c r="T155" s="244">
        <f t="shared" si="133"/>
        <v>8064</v>
      </c>
      <c r="U155" s="244">
        <f t="shared" si="133"/>
        <v>8064</v>
      </c>
      <c r="V155" s="244">
        <f t="shared" si="133"/>
        <v>8064</v>
      </c>
      <c r="W155" s="244">
        <f t="shared" si="133"/>
        <v>8064</v>
      </c>
      <c r="X155" s="244">
        <f t="shared" si="133"/>
        <v>8064</v>
      </c>
      <c r="Y155" s="244">
        <f t="shared" si="133"/>
        <v>8064</v>
      </c>
    </row>
    <row r="156">
      <c r="A156" s="241" t="s">
        <v>226</v>
      </c>
      <c r="B156" s="244"/>
      <c r="C156" s="243"/>
      <c r="D156" s="244">
        <f t="shared" ref="D156:Y156" si="134">if($C$1="magic",if($B$1="choose spell",D149,max(D149,D155)),D8)</f>
        <v>9536</v>
      </c>
      <c r="E156" s="244">
        <f t="shared" si="134"/>
        <v>9472</v>
      </c>
      <c r="F156" s="244">
        <f t="shared" si="134"/>
        <v>9408</v>
      </c>
      <c r="G156" s="244">
        <f t="shared" si="134"/>
        <v>9344</v>
      </c>
      <c r="H156" s="244">
        <f t="shared" si="134"/>
        <v>9216</v>
      </c>
      <c r="I156" s="244">
        <f t="shared" si="134"/>
        <v>9152</v>
      </c>
      <c r="J156" s="244">
        <f t="shared" si="134"/>
        <v>9088</v>
      </c>
      <c r="K156" s="244">
        <f t="shared" si="134"/>
        <v>9024</v>
      </c>
      <c r="L156" s="244">
        <f t="shared" si="134"/>
        <v>8960</v>
      </c>
      <c r="M156" s="244">
        <f t="shared" si="134"/>
        <v>8832</v>
      </c>
      <c r="N156" s="244">
        <f t="shared" si="134"/>
        <v>8768</v>
      </c>
      <c r="O156" s="244">
        <f t="shared" si="134"/>
        <v>8704</v>
      </c>
      <c r="P156" s="244">
        <f t="shared" si="134"/>
        <v>8640</v>
      </c>
      <c r="Q156" s="244">
        <f t="shared" si="134"/>
        <v>8576</v>
      </c>
      <c r="R156" s="244">
        <f t="shared" si="134"/>
        <v>8448</v>
      </c>
      <c r="S156" s="244">
        <f t="shared" si="134"/>
        <v>8384</v>
      </c>
      <c r="T156" s="244">
        <f t="shared" si="134"/>
        <v>8320</v>
      </c>
      <c r="U156" s="244">
        <f t="shared" si="134"/>
        <v>8256</v>
      </c>
      <c r="V156" s="244">
        <f t="shared" si="134"/>
        <v>8192</v>
      </c>
      <c r="W156" s="244">
        <f t="shared" si="134"/>
        <v>8064</v>
      </c>
      <c r="X156" s="244">
        <f t="shared" si="134"/>
        <v>8064</v>
      </c>
      <c r="Y156" s="244">
        <f t="shared" si="134"/>
        <v>8064</v>
      </c>
    </row>
    <row r="157">
      <c r="A157" s="241" t="s">
        <v>227</v>
      </c>
      <c r="B157" s="244"/>
      <c r="C157" s="243">
        <f>'Sheet 1'!E82</f>
        <v>93786</v>
      </c>
      <c r="D157" s="244">
        <f t="shared" ref="D157:Y157" si="135">$C157</f>
        <v>93786</v>
      </c>
      <c r="E157" s="244">
        <f t="shared" si="135"/>
        <v>93786</v>
      </c>
      <c r="F157" s="244">
        <f t="shared" si="135"/>
        <v>93786</v>
      </c>
      <c r="G157" s="244">
        <f t="shared" si="135"/>
        <v>93786</v>
      </c>
      <c r="H157" s="244">
        <f t="shared" si="135"/>
        <v>93786</v>
      </c>
      <c r="I157" s="244">
        <f t="shared" si="135"/>
        <v>93786</v>
      </c>
      <c r="J157" s="244">
        <f t="shared" si="135"/>
        <v>93786</v>
      </c>
      <c r="K157" s="244">
        <f t="shared" si="135"/>
        <v>93786</v>
      </c>
      <c r="L157" s="244">
        <f t="shared" si="135"/>
        <v>93786</v>
      </c>
      <c r="M157" s="244">
        <f t="shared" si="135"/>
        <v>93786</v>
      </c>
      <c r="N157" s="244">
        <f t="shared" si="135"/>
        <v>93786</v>
      </c>
      <c r="O157" s="244">
        <f t="shared" si="135"/>
        <v>93786</v>
      </c>
      <c r="P157" s="244">
        <f t="shared" si="135"/>
        <v>93786</v>
      </c>
      <c r="Q157" s="244">
        <f t="shared" si="135"/>
        <v>93786</v>
      </c>
      <c r="R157" s="244">
        <f t="shared" si="135"/>
        <v>93786</v>
      </c>
      <c r="S157" s="244">
        <f t="shared" si="135"/>
        <v>93786</v>
      </c>
      <c r="T157" s="244">
        <f t="shared" si="135"/>
        <v>93786</v>
      </c>
      <c r="U157" s="244">
        <f t="shared" si="135"/>
        <v>93786</v>
      </c>
      <c r="V157" s="244">
        <f t="shared" si="135"/>
        <v>93786</v>
      </c>
      <c r="W157" s="244">
        <f t="shared" si="135"/>
        <v>93786</v>
      </c>
      <c r="X157" s="244">
        <f t="shared" si="135"/>
        <v>93786</v>
      </c>
      <c r="Y157" s="244">
        <f t="shared" si="135"/>
        <v>93786</v>
      </c>
    </row>
    <row r="158">
      <c r="A158" s="248" t="s">
        <v>228</v>
      </c>
      <c r="B158" s="254"/>
      <c r="C158" s="251" t="s">
        <v>229</v>
      </c>
      <c r="D158" s="257">
        <f t="shared" ref="D158:Y158" si="136">IF(D156&gt;D157,1-(D157+2)/(2*(D156+1)),D156/(2*(D157+1)))</f>
        <v>0.05083860236</v>
      </c>
      <c r="E158" s="257">
        <f t="shared" si="136"/>
        <v>0.05049740369</v>
      </c>
      <c r="F158" s="257">
        <f t="shared" si="136"/>
        <v>0.05015620502</v>
      </c>
      <c r="G158" s="257">
        <f t="shared" si="136"/>
        <v>0.04981500634</v>
      </c>
      <c r="H158" s="257">
        <f t="shared" si="136"/>
        <v>0.049132609</v>
      </c>
      <c r="I158" s="257">
        <f t="shared" si="136"/>
        <v>0.04879141032</v>
      </c>
      <c r="J158" s="257">
        <f t="shared" si="136"/>
        <v>0.04845021165</v>
      </c>
      <c r="K158" s="257">
        <f t="shared" si="136"/>
        <v>0.04810901298</v>
      </c>
      <c r="L158" s="257">
        <f t="shared" si="136"/>
        <v>0.0477678143</v>
      </c>
      <c r="M158" s="257">
        <f t="shared" si="136"/>
        <v>0.04708541696</v>
      </c>
      <c r="N158" s="257">
        <f t="shared" si="136"/>
        <v>0.04674421828</v>
      </c>
      <c r="O158" s="257">
        <f t="shared" si="136"/>
        <v>0.04640301961</v>
      </c>
      <c r="P158" s="257">
        <f t="shared" si="136"/>
        <v>0.04606182093</v>
      </c>
      <c r="Q158" s="257">
        <f t="shared" si="136"/>
        <v>0.04572062226</v>
      </c>
      <c r="R158" s="257">
        <f t="shared" si="136"/>
        <v>0.04503822491</v>
      </c>
      <c r="S158" s="257">
        <f t="shared" si="136"/>
        <v>0.04469702624</v>
      </c>
      <c r="T158" s="257">
        <f t="shared" si="136"/>
        <v>0.04435582757</v>
      </c>
      <c r="U158" s="257">
        <f t="shared" si="136"/>
        <v>0.04401462889</v>
      </c>
      <c r="V158" s="257">
        <f t="shared" si="136"/>
        <v>0.04367343022</v>
      </c>
      <c r="W158" s="257">
        <f t="shared" si="136"/>
        <v>0.04299103287</v>
      </c>
      <c r="X158" s="257">
        <f t="shared" si="136"/>
        <v>0.04299103287</v>
      </c>
      <c r="Y158" s="257">
        <f t="shared" si="136"/>
        <v>0.04299103287</v>
      </c>
    </row>
    <row r="159">
      <c r="A159" s="244"/>
      <c r="B159" s="244"/>
      <c r="C159" s="243"/>
      <c r="D159" s="244"/>
      <c r="E159" s="244"/>
      <c r="F159" s="244"/>
      <c r="G159" s="244"/>
      <c r="H159" s="244"/>
      <c r="I159" s="244"/>
      <c r="J159" s="244"/>
      <c r="K159" s="244"/>
      <c r="L159" s="244"/>
      <c r="M159" s="244"/>
      <c r="N159" s="244"/>
      <c r="O159" s="244"/>
      <c r="P159" s="244"/>
      <c r="Q159" s="244"/>
      <c r="R159" s="244"/>
      <c r="S159" s="244"/>
      <c r="T159" s="244"/>
      <c r="U159" s="244"/>
      <c r="V159" s="244"/>
      <c r="W159" s="244"/>
      <c r="X159" s="244"/>
      <c r="Y159" s="244"/>
    </row>
    <row r="160">
      <c r="A160" s="258" t="s">
        <v>230</v>
      </c>
      <c r="B160" s="241" t="b">
        <f>'Sheet 1'!B58=Items!A30</f>
        <v>0</v>
      </c>
      <c r="C160" s="243"/>
      <c r="D160" s="244">
        <f t="shared" ref="D160:Y160" si="137">D32*2*0.5*D85*$C86/D133</f>
        <v>0</v>
      </c>
      <c r="E160" s="244">
        <f t="shared" si="137"/>
        <v>0</v>
      </c>
      <c r="F160" s="244">
        <f t="shared" si="137"/>
        <v>0</v>
      </c>
      <c r="G160" s="244">
        <f t="shared" si="137"/>
        <v>0</v>
      </c>
      <c r="H160" s="244">
        <f t="shared" si="137"/>
        <v>0</v>
      </c>
      <c r="I160" s="244">
        <f t="shared" si="137"/>
        <v>0</v>
      </c>
      <c r="J160" s="244">
        <f t="shared" si="137"/>
        <v>0</v>
      </c>
      <c r="K160" s="244">
        <f t="shared" si="137"/>
        <v>0</v>
      </c>
      <c r="L160" s="244">
        <f t="shared" si="137"/>
        <v>0</v>
      </c>
      <c r="M160" s="244">
        <f t="shared" si="137"/>
        <v>0</v>
      </c>
      <c r="N160" s="244">
        <f t="shared" si="137"/>
        <v>0</v>
      </c>
      <c r="O160" s="244">
        <f t="shared" si="137"/>
        <v>0</v>
      </c>
      <c r="P160" s="244">
        <f t="shared" si="137"/>
        <v>0</v>
      </c>
      <c r="Q160" s="244">
        <f t="shared" si="137"/>
        <v>0</v>
      </c>
      <c r="R160" s="244">
        <f t="shared" si="137"/>
        <v>0</v>
      </c>
      <c r="S160" s="244">
        <f t="shared" si="137"/>
        <v>0</v>
      </c>
      <c r="T160" s="244">
        <f t="shared" si="137"/>
        <v>0</v>
      </c>
      <c r="U160" s="244">
        <f t="shared" si="137"/>
        <v>0</v>
      </c>
      <c r="V160" s="244">
        <f t="shared" si="137"/>
        <v>0</v>
      </c>
      <c r="W160" s="244">
        <f t="shared" si="137"/>
        <v>0</v>
      </c>
      <c r="X160" s="244">
        <f t="shared" si="137"/>
        <v>0</v>
      </c>
      <c r="Y160" s="244">
        <f t="shared" si="137"/>
        <v>0</v>
      </c>
    </row>
    <row r="161">
      <c r="A161" s="258" t="s">
        <v>231</v>
      </c>
      <c r="B161" s="241" t="b">
        <f>'Sheet 1'!B58=Items!A29</f>
        <v>0</v>
      </c>
      <c r="C161" s="243"/>
      <c r="D161" s="244">
        <f t="shared" ref="D161:Y161" si="138">(1-D175)^(0)*(D175)*1.5*D95/D133 + (1-D175)^(1)*(D175)*1.25*D95/D133 + (1-D175)^(2)*(D175)*1*D95/D133 + (1-D175)^(3)*(D175)*0.75*D95/D133 + (1-D175)^(4)*1</f>
        <v>4.374923535</v>
      </c>
      <c r="E161" s="244">
        <f t="shared" si="138"/>
        <v>4.374923019</v>
      </c>
      <c r="F161" s="244">
        <f t="shared" si="138"/>
        <v>4.374922495</v>
      </c>
      <c r="G161" s="244">
        <f t="shared" si="138"/>
        <v>4.374921964</v>
      </c>
      <c r="H161" s="244">
        <f t="shared" si="138"/>
        <v>4.37492088</v>
      </c>
      <c r="I161" s="244">
        <f t="shared" si="138"/>
        <v>4.374920327</v>
      </c>
      <c r="J161" s="244">
        <f t="shared" si="138"/>
        <v>4.374919766</v>
      </c>
      <c r="K161" s="244">
        <f t="shared" si="138"/>
        <v>4.374919197</v>
      </c>
      <c r="L161" s="244">
        <f t="shared" si="138"/>
        <v>4.37491862</v>
      </c>
      <c r="M161" s="244">
        <f t="shared" si="138"/>
        <v>4.37491744</v>
      </c>
      <c r="N161" s="244">
        <f t="shared" si="138"/>
        <v>4.374916838</v>
      </c>
      <c r="O161" s="244">
        <f t="shared" si="138"/>
        <v>4.374916226</v>
      </c>
      <c r="P161" s="244">
        <f t="shared" si="138"/>
        <v>4.374915606</v>
      </c>
      <c r="Q161" s="244">
        <f t="shared" si="138"/>
        <v>4.374914976</v>
      </c>
      <c r="R161" s="244">
        <f t="shared" si="138"/>
        <v>4.374913688</v>
      </c>
      <c r="S161" s="244">
        <f t="shared" si="138"/>
        <v>3.749925453</v>
      </c>
      <c r="T161" s="244">
        <f t="shared" si="138"/>
        <v>3.74992488</v>
      </c>
      <c r="U161" s="244">
        <f t="shared" si="138"/>
        <v>3.749924297</v>
      </c>
      <c r="V161" s="244">
        <f t="shared" si="138"/>
        <v>3.749923706</v>
      </c>
      <c r="W161" s="244">
        <f t="shared" si="138"/>
        <v>3.749922495</v>
      </c>
      <c r="X161" s="244">
        <f t="shared" si="138"/>
        <v>3.749922495</v>
      </c>
      <c r="Y161" s="244">
        <f t="shared" si="138"/>
        <v>3.749922495</v>
      </c>
    </row>
    <row r="162">
      <c r="A162" s="259" t="s">
        <v>232</v>
      </c>
      <c r="B162" s="241" t="b">
        <v>0</v>
      </c>
      <c r="C162" s="243"/>
      <c r="D162" s="244">
        <f t="array" ref="D162:Y162">transpose('Spec Avg damage table p2'!C2:C23)</f>
        <v>0</v>
      </c>
      <c r="E162" s="244">
        <v>0.0</v>
      </c>
      <c r="F162" s="244">
        <v>0.0</v>
      </c>
      <c r="G162" s="244">
        <v>0.0</v>
      </c>
      <c r="H162" s="244">
        <v>0.0</v>
      </c>
      <c r="I162" s="244">
        <v>0.0</v>
      </c>
      <c r="J162" s="244">
        <v>0.0</v>
      </c>
      <c r="K162" s="244">
        <v>0.0</v>
      </c>
      <c r="L162" s="244">
        <v>0.0</v>
      </c>
      <c r="M162" s="244">
        <v>0.0</v>
      </c>
      <c r="N162" s="244">
        <v>0.0</v>
      </c>
      <c r="O162" s="244">
        <v>0.0</v>
      </c>
      <c r="P162" s="244">
        <v>0.0</v>
      </c>
      <c r="Q162" s="244">
        <v>0.0</v>
      </c>
      <c r="R162" s="244">
        <v>0.0</v>
      </c>
      <c r="S162" s="244">
        <v>0.0</v>
      </c>
      <c r="T162" s="244">
        <v>0.0</v>
      </c>
      <c r="U162" s="244">
        <v>0.0</v>
      </c>
      <c r="V162" s="244">
        <v>0.0</v>
      </c>
      <c r="W162" s="244">
        <v>0.0</v>
      </c>
      <c r="X162" s="244">
        <v>0.0</v>
      </c>
      <c r="Y162" s="244">
        <v>0.0</v>
      </c>
    </row>
    <row r="163">
      <c r="A163" s="259" t="s">
        <v>233</v>
      </c>
      <c r="B163" s="241" t="b">
        <f>OR('Sheet 1'!B58=Items!A19,'Sheet 1'!B58=Items!A31)</f>
        <v>0</v>
      </c>
      <c r="C163" s="243"/>
      <c r="D163" s="244">
        <f>D27*D162/D133+if(Area2=1,0,D32*D162/D133)</f>
        <v>0</v>
      </c>
      <c r="E163" s="244">
        <f>E27*E162/E133+if(Area2=1,0,E32*E162/E133)</f>
        <v>0</v>
      </c>
      <c r="F163" s="244">
        <f>F27*F162/F133+if(Area2=1,0,F32*F162/F133)</f>
        <v>0</v>
      </c>
      <c r="G163" s="244">
        <f>G27*G162/G133+if(Area2=1,0,G32*G162/G133)</f>
        <v>0</v>
      </c>
      <c r="H163" s="244">
        <f>H27*H162/H133+if(Area2=1,0,H32*H162/H133)</f>
        <v>0</v>
      </c>
      <c r="I163" s="244">
        <f>I27*I162/I133+if(Area2=1,0,I32*I162/I133)</f>
        <v>0</v>
      </c>
      <c r="J163" s="244">
        <f>J27*J162/J133+if(Area2=1,0,J32*J162/J133)</f>
        <v>0</v>
      </c>
      <c r="K163" s="244">
        <f>K27*K162/K133+if(Area2=1,0,K32*K162/K133)</f>
        <v>0</v>
      </c>
      <c r="L163" s="244">
        <f>L27*L162/L133+if(Area2=1,0,L32*L162/L133)</f>
        <v>0</v>
      </c>
      <c r="M163" s="244">
        <f>M27*M162/M133+if(Area2=1,0,M32*M162/M133)</f>
        <v>0</v>
      </c>
      <c r="N163" s="244">
        <f>N27*N162/N133+if(Area2=1,0,N32*N162/N133)</f>
        <v>0</v>
      </c>
      <c r="O163" s="244">
        <f>O27*O162/O133+if(Area2=1,0,O32*O162/O133)</f>
        <v>0</v>
      </c>
      <c r="P163" s="244">
        <f>P27*P162/P133+if(Area2=1,0,P32*P162/P133)</f>
        <v>0</v>
      </c>
      <c r="Q163" s="244">
        <f>Q27*Q162/Q133+if(Area2=1,0,Q32*Q162/Q133)</f>
        <v>0</v>
      </c>
      <c r="R163" s="244">
        <f>R27*R162/R133+if(Area2=1,0,R32*R162/R133)</f>
        <v>0</v>
      </c>
      <c r="S163" s="244">
        <f>S27*S162/S133+if(Area2=1,0,S32*S162/S133)</f>
        <v>0</v>
      </c>
      <c r="T163" s="244">
        <f>T27*T162/T133+if(Area2=1,0,T32*T162/T133)</f>
        <v>0</v>
      </c>
      <c r="U163" s="244">
        <f>U27*U162/U133+if(Area2=1,0,U32*U162/U133)</f>
        <v>0</v>
      </c>
      <c r="V163" s="244">
        <f>V27*V162/V133+if(Area2=1,0,V32*V162/V133)</f>
        <v>0</v>
      </c>
      <c r="W163" s="244">
        <f>W27*W162/W133+if(Area2=1,0,W32*W162/W133)</f>
        <v>0</v>
      </c>
      <c r="X163" s="244">
        <f>X27*X162/X133+if(Area2=1,0,X32*X162/X133)</f>
        <v>0</v>
      </c>
      <c r="Y163" s="244">
        <f>Y27*Y162/Y133+if(Area2=1,0,Y32*Y162/Y133)</f>
        <v>0</v>
      </c>
    </row>
    <row r="164">
      <c r="A164" s="258" t="s">
        <v>234</v>
      </c>
      <c r="B164" s="241" t="b">
        <f>'Sheet 1'!B58=Items!A7</f>
        <v>0</v>
      </c>
      <c r="C164" s="243"/>
      <c r="D164" s="244">
        <f t="shared" ref="D164:Y164" si="139">D32*2*0.5*D85*$C86/D133</f>
        <v>0</v>
      </c>
      <c r="E164" s="244">
        <f t="shared" si="139"/>
        <v>0</v>
      </c>
      <c r="F164" s="244">
        <f t="shared" si="139"/>
        <v>0</v>
      </c>
      <c r="G164" s="244">
        <f t="shared" si="139"/>
        <v>0</v>
      </c>
      <c r="H164" s="244">
        <f t="shared" si="139"/>
        <v>0</v>
      </c>
      <c r="I164" s="244">
        <f t="shared" si="139"/>
        <v>0</v>
      </c>
      <c r="J164" s="244">
        <f t="shared" si="139"/>
        <v>0</v>
      </c>
      <c r="K164" s="244">
        <f t="shared" si="139"/>
        <v>0</v>
      </c>
      <c r="L164" s="244">
        <f t="shared" si="139"/>
        <v>0</v>
      </c>
      <c r="M164" s="244">
        <f t="shared" si="139"/>
        <v>0</v>
      </c>
      <c r="N164" s="244">
        <f t="shared" si="139"/>
        <v>0</v>
      </c>
      <c r="O164" s="244">
        <f t="shared" si="139"/>
        <v>0</v>
      </c>
      <c r="P164" s="244">
        <f t="shared" si="139"/>
        <v>0</v>
      </c>
      <c r="Q164" s="244">
        <f t="shared" si="139"/>
        <v>0</v>
      </c>
      <c r="R164" s="244">
        <f t="shared" si="139"/>
        <v>0</v>
      </c>
      <c r="S164" s="244">
        <f t="shared" si="139"/>
        <v>0</v>
      </c>
      <c r="T164" s="244">
        <f t="shared" si="139"/>
        <v>0</v>
      </c>
      <c r="U164" s="244">
        <f t="shared" si="139"/>
        <v>0</v>
      </c>
      <c r="V164" s="244">
        <f t="shared" si="139"/>
        <v>0</v>
      </c>
      <c r="W164" s="244">
        <f t="shared" si="139"/>
        <v>0</v>
      </c>
      <c r="X164" s="244">
        <f t="shared" si="139"/>
        <v>0</v>
      </c>
      <c r="Y164" s="244">
        <f t="shared" si="139"/>
        <v>0</v>
      </c>
    </row>
    <row r="165">
      <c r="A165" s="259" t="s">
        <v>235</v>
      </c>
      <c r="B165" s="241" t="b">
        <f>'Sheet 1'!$B$58="Vesta's longsword"</f>
        <v>0</v>
      </c>
      <c r="C165" s="243"/>
      <c r="D165" s="241">
        <f t="shared" ref="D165:Y165" si="140">D32*(D108+int(D107*0.2))/2/D133</f>
        <v>0</v>
      </c>
      <c r="E165" s="241">
        <f t="shared" si="140"/>
        <v>0</v>
      </c>
      <c r="F165" s="241">
        <f t="shared" si="140"/>
        <v>0</v>
      </c>
      <c r="G165" s="241">
        <f t="shared" si="140"/>
        <v>0</v>
      </c>
      <c r="H165" s="241">
        <f t="shared" si="140"/>
        <v>0</v>
      </c>
      <c r="I165" s="241">
        <f t="shared" si="140"/>
        <v>0</v>
      </c>
      <c r="J165" s="241">
        <f t="shared" si="140"/>
        <v>0</v>
      </c>
      <c r="K165" s="241">
        <f t="shared" si="140"/>
        <v>0</v>
      </c>
      <c r="L165" s="241">
        <f t="shared" si="140"/>
        <v>0</v>
      </c>
      <c r="M165" s="241">
        <f t="shared" si="140"/>
        <v>0</v>
      </c>
      <c r="N165" s="241">
        <f t="shared" si="140"/>
        <v>0</v>
      </c>
      <c r="O165" s="241">
        <f t="shared" si="140"/>
        <v>0</v>
      </c>
      <c r="P165" s="241">
        <f t="shared" si="140"/>
        <v>0</v>
      </c>
      <c r="Q165" s="241">
        <f t="shared" si="140"/>
        <v>0</v>
      </c>
      <c r="R165" s="241">
        <f t="shared" si="140"/>
        <v>0</v>
      </c>
      <c r="S165" s="241">
        <f t="shared" si="140"/>
        <v>0</v>
      </c>
      <c r="T165" s="241">
        <f t="shared" si="140"/>
        <v>0</v>
      </c>
      <c r="U165" s="241">
        <f t="shared" si="140"/>
        <v>0</v>
      </c>
      <c r="V165" s="241">
        <f t="shared" si="140"/>
        <v>0</v>
      </c>
      <c r="W165" s="241">
        <f t="shared" si="140"/>
        <v>0</v>
      </c>
      <c r="X165" s="241">
        <f t="shared" si="140"/>
        <v>0</v>
      </c>
      <c r="Y165" s="241">
        <f t="shared" si="140"/>
        <v>0</v>
      </c>
    </row>
    <row r="166">
      <c r="A166" s="259" t="s">
        <v>236</v>
      </c>
      <c r="B166" s="241" t="b">
        <f>'Sheet 1'!B58="Statius's warhammer"</f>
        <v>0</v>
      </c>
      <c r="C166" s="243"/>
      <c r="D166" s="241">
        <f t="shared" ref="D166:Y166" si="141">D32*(D108+int(D107*0.25))/2/D133</f>
        <v>0</v>
      </c>
      <c r="E166" s="241">
        <f t="shared" si="141"/>
        <v>0</v>
      </c>
      <c r="F166" s="241">
        <f t="shared" si="141"/>
        <v>0</v>
      </c>
      <c r="G166" s="241">
        <f t="shared" si="141"/>
        <v>0</v>
      </c>
      <c r="H166" s="241">
        <f t="shared" si="141"/>
        <v>0</v>
      </c>
      <c r="I166" s="241">
        <f t="shared" si="141"/>
        <v>0</v>
      </c>
      <c r="J166" s="241">
        <f t="shared" si="141"/>
        <v>0</v>
      </c>
      <c r="K166" s="241">
        <f t="shared" si="141"/>
        <v>0</v>
      </c>
      <c r="L166" s="241">
        <f t="shared" si="141"/>
        <v>0</v>
      </c>
      <c r="M166" s="241">
        <f t="shared" si="141"/>
        <v>0</v>
      </c>
      <c r="N166" s="241">
        <f t="shared" si="141"/>
        <v>0</v>
      </c>
      <c r="O166" s="241">
        <f t="shared" si="141"/>
        <v>0</v>
      </c>
      <c r="P166" s="241">
        <f t="shared" si="141"/>
        <v>0</v>
      </c>
      <c r="Q166" s="241">
        <f t="shared" si="141"/>
        <v>0</v>
      </c>
      <c r="R166" s="241">
        <f t="shared" si="141"/>
        <v>0</v>
      </c>
      <c r="S166" s="241">
        <f t="shared" si="141"/>
        <v>0</v>
      </c>
      <c r="T166" s="241">
        <f t="shared" si="141"/>
        <v>0</v>
      </c>
      <c r="U166" s="241">
        <f t="shared" si="141"/>
        <v>0</v>
      </c>
      <c r="V166" s="241">
        <f t="shared" si="141"/>
        <v>0</v>
      </c>
      <c r="W166" s="241">
        <f t="shared" si="141"/>
        <v>0</v>
      </c>
      <c r="X166" s="241">
        <f t="shared" si="141"/>
        <v>0</v>
      </c>
      <c r="Y166" s="241">
        <f t="shared" si="141"/>
        <v>0</v>
      </c>
    </row>
    <row r="167">
      <c r="A167" s="259" t="s">
        <v>237</v>
      </c>
      <c r="B167" s="241" t="b">
        <f>'Sheet 1'!B58="2h Korasi"</f>
        <v>0</v>
      </c>
      <c r="C167" s="243"/>
      <c r="D167" s="241">
        <f t="shared" ref="D167:Y167" si="142">D32*(D108+int(D107*0.5))/2/D133</f>
        <v>0</v>
      </c>
      <c r="E167" s="241">
        <f t="shared" si="142"/>
        <v>0</v>
      </c>
      <c r="F167" s="241">
        <f t="shared" si="142"/>
        <v>0</v>
      </c>
      <c r="G167" s="241">
        <f t="shared" si="142"/>
        <v>0</v>
      </c>
      <c r="H167" s="241">
        <f t="shared" si="142"/>
        <v>0</v>
      </c>
      <c r="I167" s="241">
        <f t="shared" si="142"/>
        <v>0</v>
      </c>
      <c r="J167" s="241">
        <f t="shared" si="142"/>
        <v>0</v>
      </c>
      <c r="K167" s="241">
        <f t="shared" si="142"/>
        <v>0</v>
      </c>
      <c r="L167" s="241">
        <f t="shared" si="142"/>
        <v>0</v>
      </c>
      <c r="M167" s="241">
        <f t="shared" si="142"/>
        <v>0</v>
      </c>
      <c r="N167" s="241">
        <f t="shared" si="142"/>
        <v>0</v>
      </c>
      <c r="O167" s="241">
        <f t="shared" si="142"/>
        <v>0</v>
      </c>
      <c r="P167" s="241">
        <f t="shared" si="142"/>
        <v>0</v>
      </c>
      <c r="Q167" s="241">
        <f t="shared" si="142"/>
        <v>0</v>
      </c>
      <c r="R167" s="241">
        <f t="shared" si="142"/>
        <v>0</v>
      </c>
      <c r="S167" s="241">
        <f t="shared" si="142"/>
        <v>0</v>
      </c>
      <c r="T167" s="241">
        <f t="shared" si="142"/>
        <v>0</v>
      </c>
      <c r="U167" s="241">
        <f t="shared" si="142"/>
        <v>0</v>
      </c>
      <c r="V167" s="241">
        <f t="shared" si="142"/>
        <v>0</v>
      </c>
      <c r="W167" s="241">
        <f t="shared" si="142"/>
        <v>0</v>
      </c>
      <c r="X167" s="241">
        <f t="shared" si="142"/>
        <v>0</v>
      </c>
      <c r="Y167" s="241">
        <f t="shared" si="142"/>
        <v>0</v>
      </c>
    </row>
    <row r="168">
      <c r="A168" s="258" t="s">
        <v>238</v>
      </c>
      <c r="B168" s="241" t="b">
        <v>0</v>
      </c>
      <c r="C168" s="243"/>
      <c r="D168" s="241" t="b">
        <v>0</v>
      </c>
      <c r="E168" s="241" t="b">
        <v>0</v>
      </c>
      <c r="F168" s="241" t="b">
        <v>0</v>
      </c>
      <c r="G168" s="241" t="b">
        <v>0</v>
      </c>
      <c r="H168" s="241" t="b">
        <v>0</v>
      </c>
      <c r="I168" s="241" t="b">
        <v>0</v>
      </c>
      <c r="J168" s="241" t="b">
        <v>0</v>
      </c>
      <c r="K168" s="241" t="b">
        <v>0</v>
      </c>
      <c r="L168" s="241" t="b">
        <v>0</v>
      </c>
      <c r="M168" s="241" t="b">
        <v>0</v>
      </c>
      <c r="N168" s="241" t="b">
        <v>0</v>
      </c>
      <c r="O168" s="241" t="b">
        <v>0</v>
      </c>
      <c r="P168" s="241" t="b">
        <v>0</v>
      </c>
      <c r="Q168" s="241" t="b">
        <v>0</v>
      </c>
      <c r="R168" s="241" t="b">
        <v>0</v>
      </c>
      <c r="S168" s="241" t="b">
        <v>0</v>
      </c>
      <c r="T168" s="241" t="b">
        <v>0</v>
      </c>
      <c r="U168" s="241" t="b">
        <v>0</v>
      </c>
      <c r="V168" s="241" t="b">
        <v>0</v>
      </c>
      <c r="W168" s="241" t="b">
        <v>0</v>
      </c>
      <c r="X168" s="241" t="b">
        <v>0</v>
      </c>
      <c r="Y168" s="241" t="b">
        <v>0</v>
      </c>
    </row>
    <row r="169">
      <c r="A169" s="258" t="str">
        <f>Items!A46</f>
        <v>Granite hammer</v>
      </c>
      <c r="B169" s="241" t="b">
        <v>0</v>
      </c>
      <c r="C169" s="243"/>
      <c r="D169" s="241" t="b">
        <v>0</v>
      </c>
      <c r="E169" s="241" t="b">
        <v>0</v>
      </c>
      <c r="F169" s="241" t="b">
        <v>0</v>
      </c>
      <c r="G169" s="241" t="b">
        <v>0</v>
      </c>
      <c r="H169" s="241" t="b">
        <v>0</v>
      </c>
      <c r="I169" s="241" t="b">
        <v>0</v>
      </c>
      <c r="J169" s="241" t="b">
        <v>0</v>
      </c>
      <c r="K169" s="241" t="b">
        <v>0</v>
      </c>
      <c r="L169" s="241" t="b">
        <v>0</v>
      </c>
      <c r="M169" s="241" t="b">
        <v>0</v>
      </c>
      <c r="N169" s="241" t="b">
        <v>0</v>
      </c>
      <c r="O169" s="241" t="b">
        <v>0</v>
      </c>
      <c r="P169" s="241" t="b">
        <v>0</v>
      </c>
      <c r="Q169" s="241" t="b">
        <v>0</v>
      </c>
      <c r="R169" s="241" t="b">
        <v>0</v>
      </c>
      <c r="S169" s="241" t="b">
        <v>0</v>
      </c>
      <c r="T169" s="241" t="b">
        <v>0</v>
      </c>
      <c r="U169" s="241" t="b">
        <v>0</v>
      </c>
      <c r="V169" s="241" t="b">
        <v>0</v>
      </c>
      <c r="W169" s="241" t="b">
        <v>0</v>
      </c>
      <c r="X169" s="241" t="b">
        <v>0</v>
      </c>
      <c r="Y169" s="241" t="b">
        <v>0</v>
      </c>
    </row>
    <row r="170">
      <c r="A170" s="258" t="str">
        <f>A105</f>
        <v>MSB,Seercull,etc.</v>
      </c>
      <c r="B170" s="241" t="b">
        <f>OR('Sheet 1'!B58=Items!A141,'Sheet 1'!B58=Items!A142,'Sheet 1'!B58=Items!A143,'Sheet 1'!B58=Items!A144,'Sheet 1'!B58=Items!A151,'Sheet 1'!B58=Items!A136)</f>
        <v>0</v>
      </c>
      <c r="C170" s="243"/>
      <c r="D170" s="241" t="b">
        <v>0</v>
      </c>
      <c r="E170" s="241" t="b">
        <v>0</v>
      </c>
      <c r="F170" s="241" t="b">
        <v>0</v>
      </c>
      <c r="G170" s="241" t="b">
        <v>0</v>
      </c>
      <c r="H170" s="241" t="b">
        <v>0</v>
      </c>
      <c r="I170" s="241" t="b">
        <v>0</v>
      </c>
      <c r="J170" s="241" t="b">
        <v>0</v>
      </c>
      <c r="K170" s="241" t="b">
        <v>0</v>
      </c>
      <c r="L170" s="241" t="b">
        <v>0</v>
      </c>
      <c r="M170" s="241" t="b">
        <v>0</v>
      </c>
      <c r="N170" s="241" t="b">
        <v>0</v>
      </c>
      <c r="O170" s="241" t="b">
        <v>0</v>
      </c>
      <c r="P170" s="241" t="b">
        <v>0</v>
      </c>
      <c r="Q170" s="241" t="b">
        <v>0</v>
      </c>
      <c r="R170" s="241" t="b">
        <v>0</v>
      </c>
      <c r="S170" s="241" t="b">
        <v>0</v>
      </c>
      <c r="T170" s="241" t="b">
        <v>0</v>
      </c>
      <c r="U170" s="241" t="b">
        <v>0</v>
      </c>
      <c r="V170" s="241" t="b">
        <v>0</v>
      </c>
      <c r="W170" s="241" t="b">
        <v>0</v>
      </c>
      <c r="X170" s="241" t="b">
        <v>0</v>
      </c>
      <c r="Y170" s="241" t="b">
        <v>0</v>
      </c>
    </row>
    <row r="171">
      <c r="A171" s="233" t="s">
        <v>178</v>
      </c>
      <c r="B171" s="244" t="b">
        <f>B69</f>
        <v>0</v>
      </c>
      <c r="C171" s="243"/>
      <c r="D171" s="244">
        <f t="shared" ref="D171:Y171" si="143">(75+150)/2/D134</f>
        <v>46.875</v>
      </c>
      <c r="E171" s="244">
        <f t="shared" si="143"/>
        <v>46.875</v>
      </c>
      <c r="F171" s="244">
        <f t="shared" si="143"/>
        <v>46.875</v>
      </c>
      <c r="G171" s="244">
        <f t="shared" si="143"/>
        <v>46.875</v>
      </c>
      <c r="H171" s="244">
        <f t="shared" si="143"/>
        <v>46.875</v>
      </c>
      <c r="I171" s="244">
        <f t="shared" si="143"/>
        <v>46.875</v>
      </c>
      <c r="J171" s="244">
        <f t="shared" si="143"/>
        <v>46.875</v>
      </c>
      <c r="K171" s="244">
        <f t="shared" si="143"/>
        <v>46.875</v>
      </c>
      <c r="L171" s="244">
        <f t="shared" si="143"/>
        <v>46.875</v>
      </c>
      <c r="M171" s="244">
        <f t="shared" si="143"/>
        <v>46.875</v>
      </c>
      <c r="N171" s="244">
        <f t="shared" si="143"/>
        <v>46.875</v>
      </c>
      <c r="O171" s="244">
        <f t="shared" si="143"/>
        <v>46.875</v>
      </c>
      <c r="P171" s="244">
        <f t="shared" si="143"/>
        <v>46.875</v>
      </c>
      <c r="Q171" s="244">
        <f t="shared" si="143"/>
        <v>46.875</v>
      </c>
      <c r="R171" s="244">
        <f t="shared" si="143"/>
        <v>46.875</v>
      </c>
      <c r="S171" s="244">
        <f t="shared" si="143"/>
        <v>46.875</v>
      </c>
      <c r="T171" s="244">
        <f t="shared" si="143"/>
        <v>46.875</v>
      </c>
      <c r="U171" s="244">
        <f t="shared" si="143"/>
        <v>46.875</v>
      </c>
      <c r="V171" s="244">
        <f t="shared" si="143"/>
        <v>46.875</v>
      </c>
      <c r="W171" s="244">
        <f t="shared" si="143"/>
        <v>46.875</v>
      </c>
      <c r="X171" s="244">
        <f t="shared" si="143"/>
        <v>46.875</v>
      </c>
      <c r="Y171" s="244">
        <f t="shared" si="143"/>
        <v>46.875</v>
      </c>
    </row>
    <row r="172">
      <c r="A172" s="259" t="s">
        <v>239</v>
      </c>
      <c r="B172" s="244" t="b">
        <f>or(B67,B68)</f>
        <v>0</v>
      </c>
      <c r="C172" s="243"/>
      <c r="D172" s="244">
        <f t="shared" ref="D172:Y172" si="144">D32*0.5*D70/3</f>
        <v>0</v>
      </c>
      <c r="E172" s="244">
        <f t="shared" si="144"/>
        <v>0</v>
      </c>
      <c r="F172" s="244">
        <f t="shared" si="144"/>
        <v>0</v>
      </c>
      <c r="G172" s="244">
        <f t="shared" si="144"/>
        <v>0</v>
      </c>
      <c r="H172" s="244">
        <f t="shared" si="144"/>
        <v>0</v>
      </c>
      <c r="I172" s="244">
        <f t="shared" si="144"/>
        <v>0</v>
      </c>
      <c r="J172" s="244">
        <f t="shared" si="144"/>
        <v>0</v>
      </c>
      <c r="K172" s="244">
        <f t="shared" si="144"/>
        <v>0</v>
      </c>
      <c r="L172" s="244">
        <f t="shared" si="144"/>
        <v>0</v>
      </c>
      <c r="M172" s="244">
        <f t="shared" si="144"/>
        <v>0</v>
      </c>
      <c r="N172" s="244">
        <f t="shared" si="144"/>
        <v>0</v>
      </c>
      <c r="O172" s="244">
        <f t="shared" si="144"/>
        <v>0</v>
      </c>
      <c r="P172" s="244">
        <f t="shared" si="144"/>
        <v>0</v>
      </c>
      <c r="Q172" s="244">
        <f t="shared" si="144"/>
        <v>0</v>
      </c>
      <c r="R172" s="244">
        <f t="shared" si="144"/>
        <v>0</v>
      </c>
      <c r="S172" s="244">
        <f t="shared" si="144"/>
        <v>0</v>
      </c>
      <c r="T172" s="244">
        <f t="shared" si="144"/>
        <v>0</v>
      </c>
      <c r="U172" s="244">
        <f t="shared" si="144"/>
        <v>0</v>
      </c>
      <c r="V172" s="244">
        <f t="shared" si="144"/>
        <v>0</v>
      </c>
      <c r="W172" s="244">
        <f t="shared" si="144"/>
        <v>0</v>
      </c>
      <c r="X172" s="244">
        <f t="shared" si="144"/>
        <v>0</v>
      </c>
      <c r="Y172" s="244">
        <f t="shared" si="144"/>
        <v>0</v>
      </c>
    </row>
    <row r="173">
      <c r="A173" s="258" t="s">
        <v>240</v>
      </c>
      <c r="B173" s="244" t="b">
        <f>IF(C30,FALSE,TRUE)</f>
        <v>0</v>
      </c>
      <c r="C173" s="243" t="b">
        <f>if('Sheet 1'!B75='NPC stats'!A460,false,true)</f>
        <v>1</v>
      </c>
      <c r="D173" s="244">
        <f t="shared" ref="D173:Y173" si="145">if($C$173,D32*0.5*D85*$C86/D133,0)</f>
        <v>0</v>
      </c>
      <c r="E173" s="244">
        <f t="shared" si="145"/>
        <v>0</v>
      </c>
      <c r="F173" s="244">
        <f t="shared" si="145"/>
        <v>0</v>
      </c>
      <c r="G173" s="244">
        <f t="shared" si="145"/>
        <v>0</v>
      </c>
      <c r="H173" s="244">
        <f t="shared" si="145"/>
        <v>0</v>
      </c>
      <c r="I173" s="244">
        <f t="shared" si="145"/>
        <v>0</v>
      </c>
      <c r="J173" s="244">
        <f t="shared" si="145"/>
        <v>0</v>
      </c>
      <c r="K173" s="244">
        <f t="shared" si="145"/>
        <v>0</v>
      </c>
      <c r="L173" s="244">
        <f t="shared" si="145"/>
        <v>0</v>
      </c>
      <c r="M173" s="244">
        <f t="shared" si="145"/>
        <v>0</v>
      </c>
      <c r="N173" s="244">
        <f t="shared" si="145"/>
        <v>0</v>
      </c>
      <c r="O173" s="244">
        <f t="shared" si="145"/>
        <v>0</v>
      </c>
      <c r="P173" s="244">
        <f t="shared" si="145"/>
        <v>0</v>
      </c>
      <c r="Q173" s="244">
        <f t="shared" si="145"/>
        <v>0</v>
      </c>
      <c r="R173" s="244">
        <f t="shared" si="145"/>
        <v>0</v>
      </c>
      <c r="S173" s="244">
        <f t="shared" si="145"/>
        <v>0</v>
      </c>
      <c r="T173" s="244">
        <f t="shared" si="145"/>
        <v>0</v>
      </c>
      <c r="U173" s="244">
        <f t="shared" si="145"/>
        <v>0</v>
      </c>
      <c r="V173" s="244">
        <f t="shared" si="145"/>
        <v>0</v>
      </c>
      <c r="W173" s="244">
        <f t="shared" si="145"/>
        <v>0</v>
      </c>
      <c r="X173" s="244">
        <f t="shared" si="145"/>
        <v>0</v>
      </c>
      <c r="Y173" s="244">
        <f t="shared" si="145"/>
        <v>0</v>
      </c>
    </row>
    <row r="174">
      <c r="A174" s="260" t="s">
        <v>241</v>
      </c>
      <c r="B174" s="254"/>
      <c r="C174" s="261"/>
      <c r="D174" s="254">
        <f t="shared" ref="D174:Y174" si="146">IF(OR($B160:$B172),VLOOKUP(TRUE,$B$160:$Y$172,COLUMN(D1)-1,FALSE),D173)</f>
        <v>0</v>
      </c>
      <c r="E174" s="254">
        <f t="shared" si="146"/>
        <v>0</v>
      </c>
      <c r="F174" s="254">
        <f t="shared" si="146"/>
        <v>0</v>
      </c>
      <c r="G174" s="254">
        <f t="shared" si="146"/>
        <v>0</v>
      </c>
      <c r="H174" s="254">
        <f t="shared" si="146"/>
        <v>0</v>
      </c>
      <c r="I174" s="254">
        <f t="shared" si="146"/>
        <v>0</v>
      </c>
      <c r="J174" s="254">
        <f t="shared" si="146"/>
        <v>0</v>
      </c>
      <c r="K174" s="254">
        <f t="shared" si="146"/>
        <v>0</v>
      </c>
      <c r="L174" s="254">
        <f t="shared" si="146"/>
        <v>0</v>
      </c>
      <c r="M174" s="254">
        <f t="shared" si="146"/>
        <v>0</v>
      </c>
      <c r="N174" s="254">
        <f t="shared" si="146"/>
        <v>0</v>
      </c>
      <c r="O174" s="254">
        <f t="shared" si="146"/>
        <v>0</v>
      </c>
      <c r="P174" s="254">
        <f t="shared" si="146"/>
        <v>0</v>
      </c>
      <c r="Q174" s="254">
        <f t="shared" si="146"/>
        <v>0</v>
      </c>
      <c r="R174" s="254">
        <f t="shared" si="146"/>
        <v>0</v>
      </c>
      <c r="S174" s="254">
        <f t="shared" si="146"/>
        <v>0</v>
      </c>
      <c r="T174" s="254">
        <f t="shared" si="146"/>
        <v>0</v>
      </c>
      <c r="U174" s="254">
        <f t="shared" si="146"/>
        <v>0</v>
      </c>
      <c r="V174" s="254">
        <f t="shared" si="146"/>
        <v>0</v>
      </c>
      <c r="W174" s="254">
        <f t="shared" si="146"/>
        <v>0</v>
      </c>
      <c r="X174" s="254">
        <f t="shared" si="146"/>
        <v>0</v>
      </c>
      <c r="Y174" s="254">
        <f t="shared" si="146"/>
        <v>0</v>
      </c>
    </row>
    <row r="175">
      <c r="A175" s="241" t="s">
        <v>243</v>
      </c>
      <c r="B175" s="244"/>
      <c r="C175" s="243"/>
      <c r="D175" s="244">
        <f t="shared" ref="D175:Y175" si="147">IF(D28&gt;D30,1-(D30+2)/(2*(D28+1)),D28/(2*(D30+1)))</f>
        <v>0.9998951452</v>
      </c>
      <c r="E175" s="244">
        <f t="shared" si="147"/>
        <v>0.9998944368</v>
      </c>
      <c r="F175" s="244">
        <f t="shared" si="147"/>
        <v>0.9998937188</v>
      </c>
      <c r="G175" s="244">
        <f t="shared" si="147"/>
        <v>0.9998929909</v>
      </c>
      <c r="H175" s="244">
        <f t="shared" si="147"/>
        <v>0.9998915048</v>
      </c>
      <c r="I175" s="244">
        <f t="shared" si="147"/>
        <v>0.9998907462</v>
      </c>
      <c r="J175" s="244">
        <f t="shared" si="147"/>
        <v>0.9998899769</v>
      </c>
      <c r="K175" s="244">
        <f t="shared" si="147"/>
        <v>0.9998891967</v>
      </c>
      <c r="L175" s="244">
        <f t="shared" si="147"/>
        <v>0.9998884053</v>
      </c>
      <c r="M175" s="244">
        <f t="shared" si="147"/>
        <v>0.9998867882</v>
      </c>
      <c r="N175" s="244">
        <f t="shared" si="147"/>
        <v>0.9998859619</v>
      </c>
      <c r="O175" s="244">
        <f t="shared" si="147"/>
        <v>0.9998851235</v>
      </c>
      <c r="P175" s="244">
        <f t="shared" si="147"/>
        <v>0.9998842727</v>
      </c>
      <c r="Q175" s="244">
        <f t="shared" si="147"/>
        <v>0.9998834091</v>
      </c>
      <c r="R175" s="244">
        <f t="shared" si="147"/>
        <v>0.9998816428</v>
      </c>
      <c r="S175" s="244">
        <f t="shared" si="147"/>
        <v>0.9998807394</v>
      </c>
      <c r="T175" s="244">
        <f t="shared" si="147"/>
        <v>0.9998798221</v>
      </c>
      <c r="U175" s="244">
        <f t="shared" si="147"/>
        <v>0.9998788906</v>
      </c>
      <c r="V175" s="244">
        <f t="shared" si="147"/>
        <v>0.9998779446</v>
      </c>
      <c r="W175" s="244">
        <f t="shared" si="147"/>
        <v>0.9998760074</v>
      </c>
      <c r="X175" s="244">
        <f t="shared" si="147"/>
        <v>0.9998760074</v>
      </c>
      <c r="Y175" s="244">
        <f t="shared" si="147"/>
        <v>0.9998760074</v>
      </c>
    </row>
    <row r="176">
      <c r="A176" s="241" t="s">
        <v>244</v>
      </c>
      <c r="B176" s="244" t="b">
        <f>B161</f>
        <v>0</v>
      </c>
      <c r="C176" s="243"/>
      <c r="D176" s="244">
        <f> (1-D175)^(0)*(D175) + (1-D175)^(1)*(D175) + (1-D175)^(2)*(D175) + (1-D175)^(3)*(D175)</f>
        <v>1</v>
      </c>
      <c r="E176" s="244">
        <f t="shared" ref="E176:Y176" si="148"> (1-E27)^(0)*(E27) + (1-E27)^(1)*(E27) + (1-E27)^(2)*(E27) + (1-E27)^(3)*(E27)</f>
        <v>0.3158317258</v>
      </c>
      <c r="F176" s="244">
        <f t="shared" si="148"/>
        <v>0.3139893533</v>
      </c>
      <c r="G176" s="244">
        <f t="shared" si="148"/>
        <v>0.3121432624</v>
      </c>
      <c r="H176" s="244">
        <f t="shared" si="148"/>
        <v>0.3084399053</v>
      </c>
      <c r="I176" s="244">
        <f t="shared" si="148"/>
        <v>0.3065826291</v>
      </c>
      <c r="J176" s="244">
        <f t="shared" si="148"/>
        <v>0.3047216144</v>
      </c>
      <c r="K176" s="244">
        <f t="shared" si="148"/>
        <v>0.3028568562</v>
      </c>
      <c r="L176" s="244">
        <f t="shared" si="148"/>
        <v>0.3009883496</v>
      </c>
      <c r="M176" s="244">
        <f t="shared" si="148"/>
        <v>0.2972400707</v>
      </c>
      <c r="N176" s="244">
        <f t="shared" si="148"/>
        <v>0.2953602885</v>
      </c>
      <c r="O176" s="244">
        <f t="shared" si="148"/>
        <v>0.2934767376</v>
      </c>
      <c r="P176" s="244">
        <f t="shared" si="148"/>
        <v>0.2915894131</v>
      </c>
      <c r="Q176" s="244">
        <f t="shared" si="148"/>
        <v>0.28969831</v>
      </c>
      <c r="R176" s="244">
        <f t="shared" si="148"/>
        <v>0.2859047475</v>
      </c>
      <c r="S176" s="244">
        <f t="shared" si="148"/>
        <v>0.2840022781</v>
      </c>
      <c r="T176" s="244">
        <f t="shared" si="148"/>
        <v>0.2820960099</v>
      </c>
      <c r="U176" s="244">
        <f t="shared" si="148"/>
        <v>0.2801859378</v>
      </c>
      <c r="V176" s="244">
        <f t="shared" si="148"/>
        <v>0.2782720567</v>
      </c>
      <c r="W176" s="244">
        <f t="shared" si="148"/>
        <v>0.2744328474</v>
      </c>
      <c r="X176" s="244">
        <f t="shared" si="148"/>
        <v>0.2744328474</v>
      </c>
      <c r="Y176" s="244">
        <f t="shared" si="148"/>
        <v>0.2744328474</v>
      </c>
    </row>
    <row r="177">
      <c r="A177" s="244"/>
      <c r="B177" s="244"/>
      <c r="C177" s="243"/>
      <c r="D177" s="244"/>
      <c r="E177" s="244"/>
      <c r="F177" s="244"/>
      <c r="G177" s="244"/>
      <c r="H177" s="244"/>
      <c r="I177" s="244"/>
      <c r="J177" s="244"/>
      <c r="K177" s="244"/>
      <c r="L177" s="244"/>
      <c r="M177" s="244"/>
      <c r="N177" s="244"/>
      <c r="O177" s="244"/>
      <c r="P177" s="244"/>
      <c r="Q177" s="244"/>
      <c r="R177" s="244"/>
      <c r="S177" s="244"/>
      <c r="T177" s="244"/>
      <c r="U177" s="244"/>
      <c r="V177" s="244"/>
      <c r="W177" s="244"/>
      <c r="X177" s="244"/>
      <c r="Y177" s="244"/>
    </row>
    <row r="178">
      <c r="A178" s="244"/>
      <c r="B178" s="244"/>
      <c r="C178" s="243"/>
      <c r="D178" s="244"/>
      <c r="E178" s="244"/>
      <c r="F178" s="244"/>
      <c r="G178" s="244"/>
      <c r="H178" s="244"/>
      <c r="I178" s="244"/>
      <c r="J178" s="244"/>
      <c r="K178" s="244"/>
      <c r="L178" s="244"/>
      <c r="M178" s="244"/>
      <c r="N178" s="244"/>
      <c r="O178" s="244"/>
      <c r="P178" s="244"/>
      <c r="Q178" s="244"/>
      <c r="R178" s="244"/>
      <c r="S178" s="244"/>
      <c r="T178" s="244"/>
      <c r="U178" s="244"/>
      <c r="V178" s="244"/>
      <c r="W178" s="244"/>
      <c r="X178" s="244"/>
      <c r="Y178" s="244"/>
    </row>
    <row r="179">
      <c r="A179" s="262"/>
      <c r="B179" s="262"/>
      <c r="C179" s="262"/>
      <c r="D179" s="258" t="str">
        <f t="shared" ref="D179:Y179" si="149">D180&amp;"/"&amp;$C180</f>
        <v>118/99</v>
      </c>
      <c r="E179" s="258" t="str">
        <f t="shared" si="149"/>
        <v>117/99</v>
      </c>
      <c r="F179" s="258" t="str">
        <f t="shared" si="149"/>
        <v>116/99</v>
      </c>
      <c r="G179" s="258" t="str">
        <f t="shared" si="149"/>
        <v>115/99</v>
      </c>
      <c r="H179" s="258" t="str">
        <f t="shared" si="149"/>
        <v>114/99</v>
      </c>
      <c r="I179" s="258" t="str">
        <f t="shared" si="149"/>
        <v>113/99</v>
      </c>
      <c r="J179" s="258" t="str">
        <f t="shared" si="149"/>
        <v>112/99</v>
      </c>
      <c r="K179" s="258" t="str">
        <f t="shared" si="149"/>
        <v>111/99</v>
      </c>
      <c r="L179" s="258" t="str">
        <f t="shared" si="149"/>
        <v>110/99</v>
      </c>
      <c r="M179" s="258" t="str">
        <f t="shared" si="149"/>
        <v>109/99</v>
      </c>
      <c r="N179" s="258" t="str">
        <f t="shared" si="149"/>
        <v>108/99</v>
      </c>
      <c r="O179" s="258" t="str">
        <f t="shared" si="149"/>
        <v>107/99</v>
      </c>
      <c r="P179" s="258" t="str">
        <f t="shared" si="149"/>
        <v>106/99</v>
      </c>
      <c r="Q179" s="258" t="str">
        <f t="shared" si="149"/>
        <v>105/99</v>
      </c>
      <c r="R179" s="258" t="str">
        <f t="shared" si="149"/>
        <v>104/99</v>
      </c>
      <c r="S179" s="258" t="str">
        <f t="shared" si="149"/>
        <v>103/99</v>
      </c>
      <c r="T179" s="258" t="str">
        <f t="shared" si="149"/>
        <v>102/99</v>
      </c>
      <c r="U179" s="258" t="str">
        <f t="shared" si="149"/>
        <v>101/99</v>
      </c>
      <c r="V179" s="258" t="str">
        <f t="shared" si="149"/>
        <v>100/99</v>
      </c>
      <c r="W179" s="258" t="str">
        <f t="shared" si="149"/>
        <v>99/99</v>
      </c>
      <c r="X179" s="258" t="str">
        <f t="shared" si="149"/>
        <v>99/99</v>
      </c>
      <c r="Y179" s="258" t="str">
        <f t="shared" si="149"/>
        <v>99/99</v>
      </c>
    </row>
    <row r="180">
      <c r="A180" s="258" t="s">
        <v>31</v>
      </c>
      <c r="B180" s="263" t="b">
        <f>'Sheet 1'!B75='NPC stats'!A4</f>
        <v>0</v>
      </c>
      <c r="C180" s="264">
        <f>IF(B180,'Sheet 1'!$P$9,'Sheet 1'!$D$8)</f>
        <v>99</v>
      </c>
      <c r="D180" s="265">
        <f>IF(B180,C180,INT(C180*(1+IF(ISNUMBER('Sheet 1'!$G$8),'Sheet 1'!$G$8,0))+IF(ISNUMBER('Sheet 1'!$H$8),'Sheet 1'!$H$8,0)))</f>
        <v>118</v>
      </c>
      <c r="E180" s="265">
        <f t="shared" ref="E180:Y180" si="150">MAX($C180,D180-1)</f>
        <v>117</v>
      </c>
      <c r="F180" s="265">
        <f t="shared" si="150"/>
        <v>116</v>
      </c>
      <c r="G180" s="265">
        <f t="shared" si="150"/>
        <v>115</v>
      </c>
      <c r="H180" s="265">
        <f t="shared" si="150"/>
        <v>114</v>
      </c>
      <c r="I180" s="265">
        <f t="shared" si="150"/>
        <v>113</v>
      </c>
      <c r="J180" s="265">
        <f t="shared" si="150"/>
        <v>112</v>
      </c>
      <c r="K180" s="265">
        <f t="shared" si="150"/>
        <v>111</v>
      </c>
      <c r="L180" s="265">
        <f t="shared" si="150"/>
        <v>110</v>
      </c>
      <c r="M180" s="265">
        <f t="shared" si="150"/>
        <v>109</v>
      </c>
      <c r="N180" s="265">
        <f t="shared" si="150"/>
        <v>108</v>
      </c>
      <c r="O180" s="265">
        <f t="shared" si="150"/>
        <v>107</v>
      </c>
      <c r="P180" s="265">
        <f t="shared" si="150"/>
        <v>106</v>
      </c>
      <c r="Q180" s="265">
        <f t="shared" si="150"/>
        <v>105</v>
      </c>
      <c r="R180" s="265">
        <f t="shared" si="150"/>
        <v>104</v>
      </c>
      <c r="S180" s="265">
        <f t="shared" si="150"/>
        <v>103</v>
      </c>
      <c r="T180" s="265">
        <f t="shared" si="150"/>
        <v>102</v>
      </c>
      <c r="U180" s="265">
        <f t="shared" si="150"/>
        <v>101</v>
      </c>
      <c r="V180" s="265">
        <f t="shared" si="150"/>
        <v>100</v>
      </c>
      <c r="W180" s="265">
        <f t="shared" si="150"/>
        <v>99</v>
      </c>
      <c r="X180" s="265">
        <f t="shared" si="150"/>
        <v>99</v>
      </c>
      <c r="Y180" s="265">
        <f t="shared" si="150"/>
        <v>99</v>
      </c>
    </row>
    <row r="181">
      <c r="A181" s="258" t="s">
        <v>49</v>
      </c>
      <c r="B181" s="262"/>
      <c r="C181" s="266">
        <f>1+'Sheet 1'!$L$8</f>
        <v>1.25</v>
      </c>
      <c r="D181" s="265">
        <f t="shared" ref="D181:Y181" si="151">INT(D180*$C181)</f>
        <v>147</v>
      </c>
      <c r="E181" s="265">
        <f t="shared" si="151"/>
        <v>146</v>
      </c>
      <c r="F181" s="265">
        <f t="shared" si="151"/>
        <v>145</v>
      </c>
      <c r="G181" s="265">
        <f t="shared" si="151"/>
        <v>143</v>
      </c>
      <c r="H181" s="265">
        <f t="shared" si="151"/>
        <v>142</v>
      </c>
      <c r="I181" s="265">
        <f t="shared" si="151"/>
        <v>141</v>
      </c>
      <c r="J181" s="265">
        <f t="shared" si="151"/>
        <v>140</v>
      </c>
      <c r="K181" s="265">
        <f t="shared" si="151"/>
        <v>138</v>
      </c>
      <c r="L181" s="265">
        <f t="shared" si="151"/>
        <v>137</v>
      </c>
      <c r="M181" s="265">
        <f t="shared" si="151"/>
        <v>136</v>
      </c>
      <c r="N181" s="265">
        <f t="shared" si="151"/>
        <v>135</v>
      </c>
      <c r="O181" s="265">
        <f t="shared" si="151"/>
        <v>133</v>
      </c>
      <c r="P181" s="265">
        <f t="shared" si="151"/>
        <v>132</v>
      </c>
      <c r="Q181" s="265">
        <f t="shared" si="151"/>
        <v>131</v>
      </c>
      <c r="R181" s="265">
        <f t="shared" si="151"/>
        <v>130</v>
      </c>
      <c r="S181" s="265">
        <f t="shared" si="151"/>
        <v>128</v>
      </c>
      <c r="T181" s="265">
        <f t="shared" si="151"/>
        <v>127</v>
      </c>
      <c r="U181" s="265">
        <f t="shared" si="151"/>
        <v>126</v>
      </c>
      <c r="V181" s="265">
        <f t="shared" si="151"/>
        <v>125</v>
      </c>
      <c r="W181" s="265">
        <f t="shared" si="151"/>
        <v>123</v>
      </c>
      <c r="X181" s="265">
        <f t="shared" si="151"/>
        <v>123</v>
      </c>
      <c r="Y181" s="265">
        <f t="shared" si="151"/>
        <v>123</v>
      </c>
    </row>
    <row r="182">
      <c r="A182" s="258" t="s">
        <v>155</v>
      </c>
      <c r="B182" s="262"/>
      <c r="C182" s="264">
        <f>'Sheet 1'!$F$30</f>
        <v>8</v>
      </c>
      <c r="D182" s="265">
        <f t="shared" ref="D182:Y182" si="152">D181+$C182</f>
        <v>155</v>
      </c>
      <c r="E182" s="265">
        <f t="shared" si="152"/>
        <v>154</v>
      </c>
      <c r="F182" s="265">
        <f t="shared" si="152"/>
        <v>153</v>
      </c>
      <c r="G182" s="265">
        <f t="shared" si="152"/>
        <v>151</v>
      </c>
      <c r="H182" s="265">
        <f t="shared" si="152"/>
        <v>150</v>
      </c>
      <c r="I182" s="265">
        <f t="shared" si="152"/>
        <v>149</v>
      </c>
      <c r="J182" s="265">
        <f t="shared" si="152"/>
        <v>148</v>
      </c>
      <c r="K182" s="265">
        <f t="shared" si="152"/>
        <v>146</v>
      </c>
      <c r="L182" s="265">
        <f t="shared" si="152"/>
        <v>145</v>
      </c>
      <c r="M182" s="265">
        <f t="shared" si="152"/>
        <v>144</v>
      </c>
      <c r="N182" s="265">
        <f t="shared" si="152"/>
        <v>143</v>
      </c>
      <c r="O182" s="265">
        <f t="shared" si="152"/>
        <v>141</v>
      </c>
      <c r="P182" s="265">
        <f t="shared" si="152"/>
        <v>140</v>
      </c>
      <c r="Q182" s="265">
        <f t="shared" si="152"/>
        <v>139</v>
      </c>
      <c r="R182" s="265">
        <f t="shared" si="152"/>
        <v>138</v>
      </c>
      <c r="S182" s="265">
        <f t="shared" si="152"/>
        <v>136</v>
      </c>
      <c r="T182" s="265">
        <f t="shared" si="152"/>
        <v>135</v>
      </c>
      <c r="U182" s="265">
        <f t="shared" si="152"/>
        <v>134</v>
      </c>
      <c r="V182" s="265">
        <f t="shared" si="152"/>
        <v>133</v>
      </c>
      <c r="W182" s="265">
        <f t="shared" si="152"/>
        <v>131</v>
      </c>
      <c r="X182" s="265">
        <f t="shared" si="152"/>
        <v>131</v>
      </c>
      <c r="Y182" s="265">
        <f t="shared" si="152"/>
        <v>131</v>
      </c>
    </row>
    <row r="183">
      <c r="A183" s="258" t="s">
        <v>245</v>
      </c>
      <c r="B183" s="262"/>
      <c r="C183" s="262"/>
      <c r="D183" s="265">
        <f t="shared" ref="D183:Y183" si="153">INT(D182)</f>
        <v>155</v>
      </c>
      <c r="E183" s="265">
        <f t="shared" si="153"/>
        <v>154</v>
      </c>
      <c r="F183" s="265">
        <f t="shared" si="153"/>
        <v>153</v>
      </c>
      <c r="G183" s="265">
        <f t="shared" si="153"/>
        <v>151</v>
      </c>
      <c r="H183" s="265">
        <f t="shared" si="153"/>
        <v>150</v>
      </c>
      <c r="I183" s="265">
        <f t="shared" si="153"/>
        <v>149</v>
      </c>
      <c r="J183" s="265">
        <f t="shared" si="153"/>
        <v>148</v>
      </c>
      <c r="K183" s="265">
        <f t="shared" si="153"/>
        <v>146</v>
      </c>
      <c r="L183" s="265">
        <f t="shared" si="153"/>
        <v>145</v>
      </c>
      <c r="M183" s="265">
        <f t="shared" si="153"/>
        <v>144</v>
      </c>
      <c r="N183" s="265">
        <f t="shared" si="153"/>
        <v>143</v>
      </c>
      <c r="O183" s="265">
        <f t="shared" si="153"/>
        <v>141</v>
      </c>
      <c r="P183" s="265">
        <f t="shared" si="153"/>
        <v>140</v>
      </c>
      <c r="Q183" s="265">
        <f t="shared" si="153"/>
        <v>139</v>
      </c>
      <c r="R183" s="265">
        <f t="shared" si="153"/>
        <v>138</v>
      </c>
      <c r="S183" s="265">
        <f t="shared" si="153"/>
        <v>136</v>
      </c>
      <c r="T183" s="265">
        <f t="shared" si="153"/>
        <v>135</v>
      </c>
      <c r="U183" s="265">
        <f t="shared" si="153"/>
        <v>134</v>
      </c>
      <c r="V183" s="265">
        <f t="shared" si="153"/>
        <v>133</v>
      </c>
      <c r="W183" s="265">
        <f t="shared" si="153"/>
        <v>131</v>
      </c>
      <c r="X183" s="265">
        <f t="shared" si="153"/>
        <v>131</v>
      </c>
      <c r="Y183" s="265">
        <f t="shared" si="153"/>
        <v>131</v>
      </c>
    </row>
    <row r="184">
      <c r="A184" s="267" t="s">
        <v>246</v>
      </c>
      <c r="B184" s="262"/>
      <c r="C184" s="264">
        <f>'Sheet 1'!$H$71</f>
        <v>0</v>
      </c>
      <c r="D184" s="265">
        <f t="shared" ref="D184:Y184" si="154">D$183*(64+$C184)</f>
        <v>9920</v>
      </c>
      <c r="E184" s="265">
        <f t="shared" si="154"/>
        <v>9856</v>
      </c>
      <c r="F184" s="265">
        <f t="shared" si="154"/>
        <v>9792</v>
      </c>
      <c r="G184" s="265">
        <f t="shared" si="154"/>
        <v>9664</v>
      </c>
      <c r="H184" s="265">
        <f t="shared" si="154"/>
        <v>9600</v>
      </c>
      <c r="I184" s="265">
        <f t="shared" si="154"/>
        <v>9536</v>
      </c>
      <c r="J184" s="265">
        <f t="shared" si="154"/>
        <v>9472</v>
      </c>
      <c r="K184" s="265">
        <f t="shared" si="154"/>
        <v>9344</v>
      </c>
      <c r="L184" s="265">
        <f t="shared" si="154"/>
        <v>9280</v>
      </c>
      <c r="M184" s="265">
        <f t="shared" si="154"/>
        <v>9216</v>
      </c>
      <c r="N184" s="265">
        <f t="shared" si="154"/>
        <v>9152</v>
      </c>
      <c r="O184" s="265">
        <f t="shared" si="154"/>
        <v>9024</v>
      </c>
      <c r="P184" s="265">
        <f t="shared" si="154"/>
        <v>8960</v>
      </c>
      <c r="Q184" s="265">
        <f t="shared" si="154"/>
        <v>8896</v>
      </c>
      <c r="R184" s="265">
        <f t="shared" si="154"/>
        <v>8832</v>
      </c>
      <c r="S184" s="265">
        <f t="shared" si="154"/>
        <v>8704</v>
      </c>
      <c r="T184" s="265">
        <f t="shared" si="154"/>
        <v>8640</v>
      </c>
      <c r="U184" s="265">
        <f t="shared" si="154"/>
        <v>8576</v>
      </c>
      <c r="V184" s="265">
        <f t="shared" si="154"/>
        <v>8512</v>
      </c>
      <c r="W184" s="265">
        <f t="shared" si="154"/>
        <v>8384</v>
      </c>
      <c r="X184" s="265">
        <f t="shared" si="154"/>
        <v>8384</v>
      </c>
      <c r="Y184" s="265">
        <f t="shared" si="154"/>
        <v>8384</v>
      </c>
    </row>
    <row r="185">
      <c r="A185" s="267" t="s">
        <v>247</v>
      </c>
      <c r="B185" s="262"/>
      <c r="C185" s="264">
        <f>'Sheet 1'!$I$71</f>
        <v>0</v>
      </c>
      <c r="D185" s="265">
        <f t="shared" ref="D185:Y185" si="155">D$183*(64+$C185)</f>
        <v>9920</v>
      </c>
      <c r="E185" s="265">
        <f t="shared" si="155"/>
        <v>9856</v>
      </c>
      <c r="F185" s="265">
        <f t="shared" si="155"/>
        <v>9792</v>
      </c>
      <c r="G185" s="265">
        <f t="shared" si="155"/>
        <v>9664</v>
      </c>
      <c r="H185" s="265">
        <f t="shared" si="155"/>
        <v>9600</v>
      </c>
      <c r="I185" s="265">
        <f t="shared" si="155"/>
        <v>9536</v>
      </c>
      <c r="J185" s="265">
        <f t="shared" si="155"/>
        <v>9472</v>
      </c>
      <c r="K185" s="265">
        <f t="shared" si="155"/>
        <v>9344</v>
      </c>
      <c r="L185" s="265">
        <f t="shared" si="155"/>
        <v>9280</v>
      </c>
      <c r="M185" s="265">
        <f t="shared" si="155"/>
        <v>9216</v>
      </c>
      <c r="N185" s="265">
        <f t="shared" si="155"/>
        <v>9152</v>
      </c>
      <c r="O185" s="265">
        <f t="shared" si="155"/>
        <v>9024</v>
      </c>
      <c r="P185" s="265">
        <f t="shared" si="155"/>
        <v>8960</v>
      </c>
      <c r="Q185" s="265">
        <f t="shared" si="155"/>
        <v>8896</v>
      </c>
      <c r="R185" s="265">
        <f t="shared" si="155"/>
        <v>8832</v>
      </c>
      <c r="S185" s="265">
        <f t="shared" si="155"/>
        <v>8704</v>
      </c>
      <c r="T185" s="265">
        <f t="shared" si="155"/>
        <v>8640</v>
      </c>
      <c r="U185" s="265">
        <f t="shared" si="155"/>
        <v>8576</v>
      </c>
      <c r="V185" s="265">
        <f t="shared" si="155"/>
        <v>8512</v>
      </c>
      <c r="W185" s="265">
        <f t="shared" si="155"/>
        <v>8384</v>
      </c>
      <c r="X185" s="265">
        <f t="shared" si="155"/>
        <v>8384</v>
      </c>
      <c r="Y185" s="265">
        <f t="shared" si="155"/>
        <v>8384</v>
      </c>
    </row>
    <row r="186">
      <c r="A186" s="267" t="s">
        <v>248</v>
      </c>
      <c r="B186" s="262"/>
      <c r="C186" s="264">
        <f>'Sheet 1'!$J$71</f>
        <v>0</v>
      </c>
      <c r="D186" s="265">
        <f t="shared" ref="D186:Y186" si="156">D$183*(64+$C186)</f>
        <v>9920</v>
      </c>
      <c r="E186" s="265">
        <f t="shared" si="156"/>
        <v>9856</v>
      </c>
      <c r="F186" s="265">
        <f t="shared" si="156"/>
        <v>9792</v>
      </c>
      <c r="G186" s="265">
        <f t="shared" si="156"/>
        <v>9664</v>
      </c>
      <c r="H186" s="265">
        <f t="shared" si="156"/>
        <v>9600</v>
      </c>
      <c r="I186" s="265">
        <f t="shared" si="156"/>
        <v>9536</v>
      </c>
      <c r="J186" s="265">
        <f t="shared" si="156"/>
        <v>9472</v>
      </c>
      <c r="K186" s="265">
        <f t="shared" si="156"/>
        <v>9344</v>
      </c>
      <c r="L186" s="265">
        <f t="shared" si="156"/>
        <v>9280</v>
      </c>
      <c r="M186" s="265">
        <f t="shared" si="156"/>
        <v>9216</v>
      </c>
      <c r="N186" s="265">
        <f t="shared" si="156"/>
        <v>9152</v>
      </c>
      <c r="O186" s="265">
        <f t="shared" si="156"/>
        <v>9024</v>
      </c>
      <c r="P186" s="265">
        <f t="shared" si="156"/>
        <v>8960</v>
      </c>
      <c r="Q186" s="265">
        <f t="shared" si="156"/>
        <v>8896</v>
      </c>
      <c r="R186" s="265">
        <f t="shared" si="156"/>
        <v>8832</v>
      </c>
      <c r="S186" s="265">
        <f t="shared" si="156"/>
        <v>8704</v>
      </c>
      <c r="T186" s="265">
        <f t="shared" si="156"/>
        <v>8640</v>
      </c>
      <c r="U186" s="265">
        <f t="shared" si="156"/>
        <v>8576</v>
      </c>
      <c r="V186" s="265">
        <f t="shared" si="156"/>
        <v>8512</v>
      </c>
      <c r="W186" s="265">
        <f t="shared" si="156"/>
        <v>8384</v>
      </c>
      <c r="X186" s="265">
        <f t="shared" si="156"/>
        <v>8384</v>
      </c>
      <c r="Y186" s="265">
        <f t="shared" si="156"/>
        <v>8384</v>
      </c>
    </row>
    <row r="187">
      <c r="A187" s="267" t="s">
        <v>249</v>
      </c>
      <c r="B187" s="262"/>
      <c r="C187" s="264">
        <f>'Sheet 1'!$L$71</f>
        <v>0</v>
      </c>
      <c r="D187" s="265">
        <f t="shared" ref="D187:Y187" si="157">D$183*(64+$C187)</f>
        <v>9920</v>
      </c>
      <c r="E187" s="265">
        <f t="shared" si="157"/>
        <v>9856</v>
      </c>
      <c r="F187" s="265">
        <f t="shared" si="157"/>
        <v>9792</v>
      </c>
      <c r="G187" s="265">
        <f t="shared" si="157"/>
        <v>9664</v>
      </c>
      <c r="H187" s="265">
        <f t="shared" si="157"/>
        <v>9600</v>
      </c>
      <c r="I187" s="265">
        <f t="shared" si="157"/>
        <v>9536</v>
      </c>
      <c r="J187" s="265">
        <f t="shared" si="157"/>
        <v>9472</v>
      </c>
      <c r="K187" s="265">
        <f t="shared" si="157"/>
        <v>9344</v>
      </c>
      <c r="L187" s="265">
        <f t="shared" si="157"/>
        <v>9280</v>
      </c>
      <c r="M187" s="265">
        <f t="shared" si="157"/>
        <v>9216</v>
      </c>
      <c r="N187" s="265">
        <f t="shared" si="157"/>
        <v>9152</v>
      </c>
      <c r="O187" s="265">
        <f t="shared" si="157"/>
        <v>9024</v>
      </c>
      <c r="P187" s="265">
        <f t="shared" si="157"/>
        <v>8960</v>
      </c>
      <c r="Q187" s="265">
        <f t="shared" si="157"/>
        <v>8896</v>
      </c>
      <c r="R187" s="265">
        <f t="shared" si="157"/>
        <v>8832</v>
      </c>
      <c r="S187" s="265">
        <f t="shared" si="157"/>
        <v>8704</v>
      </c>
      <c r="T187" s="265">
        <f t="shared" si="157"/>
        <v>8640</v>
      </c>
      <c r="U187" s="265">
        <f t="shared" si="157"/>
        <v>8576</v>
      </c>
      <c r="V187" s="265">
        <f t="shared" si="157"/>
        <v>8512</v>
      </c>
      <c r="W187" s="265">
        <f t="shared" si="157"/>
        <v>8384</v>
      </c>
      <c r="X187" s="265">
        <f t="shared" si="157"/>
        <v>8384</v>
      </c>
      <c r="Y187" s="265">
        <f t="shared" si="157"/>
        <v>8384</v>
      </c>
    </row>
    <row r="188">
      <c r="A188" s="268" t="s">
        <v>35</v>
      </c>
      <c r="B188" s="262"/>
      <c r="C188" s="264">
        <f>IF(B180,'Sheet 1'!$P$8,'Sheet 1'!$D$9)</f>
        <v>99</v>
      </c>
      <c r="D188" s="265">
        <f>IF(B180,'Sheet 1'!$P$8,'Sheet 1'!$I$9)</f>
        <v>109</v>
      </c>
      <c r="E188" s="265">
        <f t="shared" ref="E188:Y188" si="158">MAX($C188,D188-1)</f>
        <v>108</v>
      </c>
      <c r="F188" s="265">
        <f t="shared" si="158"/>
        <v>107</v>
      </c>
      <c r="G188" s="265">
        <f t="shared" si="158"/>
        <v>106</v>
      </c>
      <c r="H188" s="265">
        <f t="shared" si="158"/>
        <v>105</v>
      </c>
      <c r="I188" s="265">
        <f t="shared" si="158"/>
        <v>104</v>
      </c>
      <c r="J188" s="265">
        <f t="shared" si="158"/>
        <v>103</v>
      </c>
      <c r="K188" s="265">
        <f t="shared" si="158"/>
        <v>102</v>
      </c>
      <c r="L188" s="265">
        <f t="shared" si="158"/>
        <v>101</v>
      </c>
      <c r="M188" s="265">
        <f t="shared" si="158"/>
        <v>100</v>
      </c>
      <c r="N188" s="265">
        <f t="shared" si="158"/>
        <v>99</v>
      </c>
      <c r="O188" s="265">
        <f t="shared" si="158"/>
        <v>99</v>
      </c>
      <c r="P188" s="265">
        <f t="shared" si="158"/>
        <v>99</v>
      </c>
      <c r="Q188" s="265">
        <f t="shared" si="158"/>
        <v>99</v>
      </c>
      <c r="R188" s="265">
        <f t="shared" si="158"/>
        <v>99</v>
      </c>
      <c r="S188" s="265">
        <f t="shared" si="158"/>
        <v>99</v>
      </c>
      <c r="T188" s="265">
        <f t="shared" si="158"/>
        <v>99</v>
      </c>
      <c r="U188" s="265">
        <f t="shared" si="158"/>
        <v>99</v>
      </c>
      <c r="V188" s="265">
        <f t="shared" si="158"/>
        <v>99</v>
      </c>
      <c r="W188" s="265">
        <f t="shared" si="158"/>
        <v>99</v>
      </c>
      <c r="X188" s="265">
        <f t="shared" si="158"/>
        <v>99</v>
      </c>
      <c r="Y188" s="265">
        <f t="shared" si="158"/>
        <v>99</v>
      </c>
    </row>
    <row r="189">
      <c r="A189" s="258" t="s">
        <v>49</v>
      </c>
      <c r="B189" s="262"/>
      <c r="C189" s="269">
        <f>1+'Sheet 1'!$L$9</f>
        <v>1.25</v>
      </c>
      <c r="D189" s="265">
        <f t="shared" ref="D189:Y189" si="159">INT(D188*$C189)</f>
        <v>136</v>
      </c>
      <c r="E189" s="265">
        <f t="shared" si="159"/>
        <v>135</v>
      </c>
      <c r="F189" s="265">
        <f t="shared" si="159"/>
        <v>133</v>
      </c>
      <c r="G189" s="265">
        <f t="shared" si="159"/>
        <v>132</v>
      </c>
      <c r="H189" s="265">
        <f t="shared" si="159"/>
        <v>131</v>
      </c>
      <c r="I189" s="265">
        <f t="shared" si="159"/>
        <v>130</v>
      </c>
      <c r="J189" s="265">
        <f t="shared" si="159"/>
        <v>128</v>
      </c>
      <c r="K189" s="265">
        <f t="shared" si="159"/>
        <v>127</v>
      </c>
      <c r="L189" s="265">
        <f t="shared" si="159"/>
        <v>126</v>
      </c>
      <c r="M189" s="265">
        <f t="shared" si="159"/>
        <v>125</v>
      </c>
      <c r="N189" s="265">
        <f t="shared" si="159"/>
        <v>123</v>
      </c>
      <c r="O189" s="265">
        <f t="shared" si="159"/>
        <v>123</v>
      </c>
      <c r="P189" s="265">
        <f t="shared" si="159"/>
        <v>123</v>
      </c>
      <c r="Q189" s="265">
        <f t="shared" si="159"/>
        <v>123</v>
      </c>
      <c r="R189" s="265">
        <f t="shared" si="159"/>
        <v>123</v>
      </c>
      <c r="S189" s="265">
        <f t="shared" si="159"/>
        <v>123</v>
      </c>
      <c r="T189" s="265">
        <f t="shared" si="159"/>
        <v>123</v>
      </c>
      <c r="U189" s="265">
        <f t="shared" si="159"/>
        <v>123</v>
      </c>
      <c r="V189" s="265">
        <f t="shared" si="159"/>
        <v>123</v>
      </c>
      <c r="W189" s="265">
        <f t="shared" si="159"/>
        <v>123</v>
      </c>
      <c r="X189" s="265">
        <f t="shared" si="159"/>
        <v>123</v>
      </c>
      <c r="Y189" s="265">
        <f t="shared" si="159"/>
        <v>123</v>
      </c>
    </row>
    <row r="190">
      <c r="A190" s="258" t="s">
        <v>250</v>
      </c>
      <c r="B190" s="262"/>
      <c r="C190" s="262"/>
      <c r="D190" s="265">
        <f t="shared" ref="D190:Y190" si="160">INT(0.3*D183)+INT(0.7*D189)</f>
        <v>141</v>
      </c>
      <c r="E190" s="265">
        <f t="shared" si="160"/>
        <v>140</v>
      </c>
      <c r="F190" s="265">
        <f t="shared" si="160"/>
        <v>138</v>
      </c>
      <c r="G190" s="265">
        <f t="shared" si="160"/>
        <v>137</v>
      </c>
      <c r="H190" s="265">
        <f t="shared" si="160"/>
        <v>136</v>
      </c>
      <c r="I190" s="265">
        <f t="shared" si="160"/>
        <v>135</v>
      </c>
      <c r="J190" s="265">
        <f t="shared" si="160"/>
        <v>133</v>
      </c>
      <c r="K190" s="265">
        <f t="shared" si="160"/>
        <v>131</v>
      </c>
      <c r="L190" s="265">
        <f t="shared" si="160"/>
        <v>131</v>
      </c>
      <c r="M190" s="265">
        <f t="shared" si="160"/>
        <v>130</v>
      </c>
      <c r="N190" s="265">
        <f t="shared" si="160"/>
        <v>128</v>
      </c>
      <c r="O190" s="265">
        <f t="shared" si="160"/>
        <v>128</v>
      </c>
      <c r="P190" s="265">
        <f t="shared" si="160"/>
        <v>128</v>
      </c>
      <c r="Q190" s="265">
        <f t="shared" si="160"/>
        <v>127</v>
      </c>
      <c r="R190" s="265">
        <f t="shared" si="160"/>
        <v>127</v>
      </c>
      <c r="S190" s="265">
        <f t="shared" si="160"/>
        <v>126</v>
      </c>
      <c r="T190" s="265">
        <f t="shared" si="160"/>
        <v>126</v>
      </c>
      <c r="U190" s="265">
        <f t="shared" si="160"/>
        <v>126</v>
      </c>
      <c r="V190" s="265">
        <f t="shared" si="160"/>
        <v>125</v>
      </c>
      <c r="W190" s="265">
        <f t="shared" si="160"/>
        <v>125</v>
      </c>
      <c r="X190" s="265">
        <f t="shared" si="160"/>
        <v>125</v>
      </c>
      <c r="Y190" s="265">
        <f t="shared" si="160"/>
        <v>125</v>
      </c>
    </row>
    <row r="191">
      <c r="A191" s="267" t="s">
        <v>251</v>
      </c>
      <c r="B191" s="262"/>
      <c r="C191" s="264">
        <f>'Sheet 1'!$K$71</f>
        <v>0</v>
      </c>
      <c r="D191" s="265">
        <f t="shared" ref="D191:Y191" si="161">D190*(64+$C191)</f>
        <v>9024</v>
      </c>
      <c r="E191" s="265">
        <f t="shared" si="161"/>
        <v>8960</v>
      </c>
      <c r="F191" s="265">
        <f t="shared" si="161"/>
        <v>8832</v>
      </c>
      <c r="G191" s="265">
        <f t="shared" si="161"/>
        <v>8768</v>
      </c>
      <c r="H191" s="265">
        <f t="shared" si="161"/>
        <v>8704</v>
      </c>
      <c r="I191" s="265">
        <f t="shared" si="161"/>
        <v>8640</v>
      </c>
      <c r="J191" s="265">
        <f t="shared" si="161"/>
        <v>8512</v>
      </c>
      <c r="K191" s="265">
        <f t="shared" si="161"/>
        <v>8384</v>
      </c>
      <c r="L191" s="265">
        <f t="shared" si="161"/>
        <v>8384</v>
      </c>
      <c r="M191" s="265">
        <f t="shared" si="161"/>
        <v>8320</v>
      </c>
      <c r="N191" s="265">
        <f t="shared" si="161"/>
        <v>8192</v>
      </c>
      <c r="O191" s="265">
        <f t="shared" si="161"/>
        <v>8192</v>
      </c>
      <c r="P191" s="265">
        <f t="shared" si="161"/>
        <v>8192</v>
      </c>
      <c r="Q191" s="265">
        <f t="shared" si="161"/>
        <v>8128</v>
      </c>
      <c r="R191" s="265">
        <f t="shared" si="161"/>
        <v>8128</v>
      </c>
      <c r="S191" s="265">
        <f t="shared" si="161"/>
        <v>8064</v>
      </c>
      <c r="T191" s="265">
        <f t="shared" si="161"/>
        <v>8064</v>
      </c>
      <c r="U191" s="265">
        <f t="shared" si="161"/>
        <v>8064</v>
      </c>
      <c r="V191" s="265">
        <f t="shared" si="161"/>
        <v>8000</v>
      </c>
      <c r="W191" s="265">
        <f t="shared" si="161"/>
        <v>8000</v>
      </c>
      <c r="X191" s="265">
        <f t="shared" si="161"/>
        <v>8000</v>
      </c>
      <c r="Y191" s="265">
        <f t="shared" si="161"/>
        <v>8000</v>
      </c>
    </row>
    <row r="192">
      <c r="A192" s="244"/>
      <c r="B192" s="244"/>
      <c r="C192" s="243"/>
      <c r="D192" s="244"/>
      <c r="E192" s="244"/>
      <c r="F192" s="244"/>
      <c r="G192" s="244"/>
      <c r="H192" s="244"/>
      <c r="I192" s="244"/>
      <c r="J192" s="244"/>
      <c r="K192" s="244"/>
      <c r="L192" s="244"/>
      <c r="M192" s="244"/>
      <c r="N192" s="244"/>
      <c r="O192" s="244"/>
      <c r="P192" s="244"/>
      <c r="Q192" s="244"/>
      <c r="R192" s="244"/>
      <c r="S192" s="244"/>
      <c r="T192" s="244"/>
      <c r="U192" s="244"/>
      <c r="V192" s="244"/>
      <c r="W192" s="244"/>
      <c r="X192" s="244"/>
      <c r="Y192" s="244"/>
    </row>
  </sheetData>
  <mergeCells count="1">
    <mergeCell ref="A110:A113"/>
  </mergeCell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11.57"/>
  </cols>
  <sheetData>
    <row r="1">
      <c r="A1" s="1" t="s">
        <v>253</v>
      </c>
      <c r="B1" s="270" t="s">
        <v>254</v>
      </c>
    </row>
    <row r="2">
      <c r="A2" s="1" t="s">
        <v>255</v>
      </c>
      <c r="B2" s="271" t="str">
        <f>'Sheet 1'!B2</f>
        <v/>
      </c>
    </row>
    <row r="3">
      <c r="A3" s="1" t="s">
        <v>256</v>
      </c>
      <c r="B3" s="272" t="str">
        <f>IFERROR(__xludf.DUMMYFUNCTION("IMPORTHTML(B1&amp;B2,""table"",3)"),"#N/A")</f>
        <v>#N/A</v>
      </c>
    </row>
  </sheetData>
  <hyperlinks>
    <hyperlink r:id="rId1" ref="B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11.57"/>
  </cols>
  <sheetData>
    <row r="1">
      <c r="A1" s="273" t="s">
        <v>257</v>
      </c>
      <c r="B1" s="178"/>
      <c r="C1" s="274"/>
      <c r="D1" s="274"/>
      <c r="E1" s="274" t="str">
        <f>match("*Level*",Hiscores!C4:F4,0)</f>
        <v>#N/A</v>
      </c>
      <c r="F1" s="274" t="s">
        <v>258</v>
      </c>
    </row>
    <row r="2">
      <c r="A2" s="275" t="s">
        <v>259</v>
      </c>
      <c r="B2" s="13" t="str">
        <f>match(A2,Hiscores!C$4:C$29,0)</f>
        <v>#N/A</v>
      </c>
      <c r="C2" s="276"/>
      <c r="D2" s="276">
        <f t="array" ref="D2">IF(ISNA(B2),10,INDEX(Hiscores!C$4:F$29,B2,E$1))</f>
        <v>10</v>
      </c>
      <c r="E2" s="276">
        <f>IF(ISNUMBER('Sheet 1'!C12),'Sheet 1'!C12,IF(ISNA(B2)=TRUE,10,D2))</f>
        <v>99</v>
      </c>
      <c r="F2" s="276">
        <f t="shared" ref="F2:F3" si="1">E2*160</f>
        <v>15840</v>
      </c>
    </row>
    <row r="3">
      <c r="A3" s="275" t="s">
        <v>260</v>
      </c>
      <c r="B3" s="13" t="str">
        <f>match(A3,Hiscores!C$4:C$29,0)</f>
        <v>#N/A</v>
      </c>
      <c r="C3" s="276"/>
      <c r="D3" s="276">
        <f t="array" ref="D3">IF(ISNA(B3),1,INDEX(Hiscores!C$4:F$29,B3,E$1))</f>
        <v>1</v>
      </c>
      <c r="E3" s="276">
        <f>IF(ISNUMBER('Sheet 1'!C8),'Sheet 1'!C8,IF(ISNA(B3)=TRUE,1,D3))</f>
        <v>99</v>
      </c>
      <c r="F3" s="276">
        <f t="shared" si="1"/>
        <v>15840</v>
      </c>
    </row>
    <row r="4">
      <c r="A4" s="275" t="s">
        <v>261</v>
      </c>
      <c r="B4" s="13" t="str">
        <f>match(A4,Hiscores!C$4:C$29,0)</f>
        <v>#N/A</v>
      </c>
      <c r="C4" s="276"/>
      <c r="D4" s="276">
        <f t="array" ref="D4">IF(ISNA(B4),1,INDEX(Hiscores!C$4:F$29,B4,E$1))</f>
        <v>1</v>
      </c>
      <c r="E4" s="276">
        <f>IF(ISNUMBER('Sheet 1'!C13),'Sheet 1'!C13,IF(ISNA(B4)=TRUE,1,D4))</f>
        <v>99</v>
      </c>
      <c r="F4" s="276">
        <f>FLOOR(E4/2)*160</f>
        <v>7840</v>
      </c>
    </row>
    <row r="5">
      <c r="A5" s="275" t="s">
        <v>262</v>
      </c>
      <c r="B5" s="13" t="str">
        <f>match(A5,Hiscores!C$4:C$29,0)</f>
        <v>#N/A</v>
      </c>
      <c r="C5" s="276"/>
      <c r="D5" s="276">
        <f t="array" ref="D5">IF(ISNA(B5),1,INDEX(Hiscores!C$4:F$29,B5,E$1))</f>
        <v>1</v>
      </c>
      <c r="E5" s="276">
        <f>IF(ISNUMBER('Sheet 1'!C6),'Sheet 1'!C6,IF(ISNA(B5)=TRUE,1,D5))</f>
        <v>99</v>
      </c>
      <c r="F5" s="276">
        <f t="shared" ref="F5:F6" si="2">E5*208</f>
        <v>20592</v>
      </c>
    </row>
    <row r="6">
      <c r="A6" s="275" t="s">
        <v>263</v>
      </c>
      <c r="B6" s="13" t="str">
        <f>match(A6,Hiscores!C$4:C$29,0)</f>
        <v>#N/A</v>
      </c>
      <c r="C6" s="276"/>
      <c r="D6" s="276">
        <f t="array" ref="D6">IF(ISNA(B6),1,INDEX(Hiscores!C$4:F$29,B6,E$1))</f>
        <v>1</v>
      </c>
      <c r="E6" s="276">
        <f>IF(ISNUMBER('Sheet 1'!C7),'Sheet 1'!C7,IF(ISNA(B6)=TRUE,1,D6))</f>
        <v>99</v>
      </c>
      <c r="F6" s="276">
        <f t="shared" si="2"/>
        <v>20592</v>
      </c>
    </row>
    <row r="7">
      <c r="A7" s="275" t="s">
        <v>264</v>
      </c>
      <c r="B7" s="13" t="str">
        <f>match(A7,Hiscores!C$4:C$29,0)</f>
        <v>#N/A</v>
      </c>
      <c r="C7" s="276"/>
      <c r="D7" s="276">
        <f t="array" ref="D7">IF(ISNA(B7),1,INDEX(Hiscores!C$4:F$29,B7,E$1))</f>
        <v>1</v>
      </c>
      <c r="E7" s="276">
        <f>IF(ISNUMBER('Sheet 1'!C10),'Sheet 1'!C10,IF(ISNA(B7)=TRUE,1,D7))</f>
        <v>99</v>
      </c>
      <c r="F7" s="276">
        <f t="shared" ref="F7:F8" si="3">FLOOR(E7*1.5)*208</f>
        <v>30784</v>
      </c>
    </row>
    <row r="8">
      <c r="A8" s="275" t="s">
        <v>265</v>
      </c>
      <c r="B8" s="13" t="str">
        <f>match(A8,Hiscores!C$4:C$29,0)</f>
        <v>#N/A</v>
      </c>
      <c r="C8" s="276"/>
      <c r="D8" s="276">
        <f t="array" ref="D8">IF(ISNA(B8),1,INDEX(Hiscores!C$4:F$29,B8,E$1))</f>
        <v>1</v>
      </c>
      <c r="E8" s="276">
        <f>IF(ISNUMBER('Sheet 1'!C9),'Sheet 1'!C9,IF(ISNA(B8)=TRUE,1,D8))</f>
        <v>99</v>
      </c>
      <c r="F8" s="276">
        <f t="shared" si="3"/>
        <v>30784</v>
      </c>
    </row>
    <row r="9">
      <c r="A9" s="277" t="s">
        <v>266</v>
      </c>
      <c r="B9" s="13" t="str">
        <f>match(A9,Hiscores!C$4:C$29,0)</f>
        <v>#N/A</v>
      </c>
      <c r="C9" s="178"/>
      <c r="D9" s="276">
        <f t="array" ref="D9">IF(ISNA(B9),1,INDEX(Hiscores!C$4:F$29,B9,E$1))</f>
        <v>1</v>
      </c>
      <c r="E9" s="276">
        <f>IF(ISNUMBER('Sheet 1'!C10),'Sheet 1'!C10,IF(ISNA(B9)=TRUE,1,D9))</f>
        <v>99</v>
      </c>
      <c r="F9" s="178"/>
    </row>
    <row r="10">
      <c r="A10" s="178" t="s">
        <v>267</v>
      </c>
      <c r="B10" s="276">
        <f>F5+F6</f>
        <v>41184</v>
      </c>
      <c r="C10" s="178"/>
      <c r="D10" s="178"/>
      <c r="E10" s="178"/>
      <c r="F10" s="178"/>
    </row>
    <row r="11">
      <c r="A11" s="178" t="s">
        <v>264</v>
      </c>
      <c r="B11" s="276">
        <f t="shared" ref="B11:B12" si="4">F7</f>
        <v>30784</v>
      </c>
      <c r="C11" s="178"/>
      <c r="D11" s="178"/>
      <c r="E11" s="178"/>
      <c r="F11" s="178"/>
    </row>
    <row r="12">
      <c r="A12" s="178" t="s">
        <v>265</v>
      </c>
      <c r="B12" s="276">
        <f t="shared" si="4"/>
        <v>30784</v>
      </c>
      <c r="C12" s="178"/>
      <c r="D12" s="178"/>
      <c r="E12" s="178"/>
      <c r="F12" s="276"/>
    </row>
    <row r="13">
      <c r="A13" s="178"/>
      <c r="B13" s="178"/>
      <c r="C13" s="178"/>
      <c r="D13" s="178"/>
      <c r="E13" s="178"/>
      <c r="F13" s="178"/>
    </row>
    <row r="14">
      <c r="A14" s="275" t="s">
        <v>268</v>
      </c>
      <c r="B14" s="276">
        <f>SUM(F2:F4)</f>
        <v>39520</v>
      </c>
      <c r="C14" s="178"/>
      <c r="D14" s="178"/>
      <c r="E14" s="178"/>
      <c r="F14" s="178"/>
    </row>
    <row r="15">
      <c r="A15" s="275" t="s">
        <v>269</v>
      </c>
      <c r="B15" s="13">
        <f>LARGE(B10:B12,1)</f>
        <v>41184</v>
      </c>
      <c r="C15" s="178"/>
      <c r="D15" s="178"/>
      <c r="E15" s="178"/>
      <c r="F15" s="178"/>
    </row>
    <row r="16">
      <c r="A16" s="275" t="s">
        <v>270</v>
      </c>
      <c r="B16" s="276">
        <f>(B15+B14)/640</f>
        <v>126.1</v>
      </c>
      <c r="C16" s="178"/>
      <c r="D16" s="178"/>
      <c r="E16" s="178"/>
      <c r="F16" s="17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</cols>
  <sheetData>
    <row r="1">
      <c r="A1" s="278" t="s">
        <v>271</v>
      </c>
      <c r="B1" s="1" t="s">
        <v>121</v>
      </c>
      <c r="C1" s="1" t="s">
        <v>272</v>
      </c>
    </row>
    <row r="2">
      <c r="A2" s="278"/>
      <c r="B2" s="1">
        <v>0.0</v>
      </c>
      <c r="C2" s="1">
        <v>0.0</v>
      </c>
    </row>
    <row r="3">
      <c r="A3" s="278" t="s">
        <v>273</v>
      </c>
      <c r="B3" s="1">
        <v>0.0</v>
      </c>
      <c r="C3" s="1">
        <v>0.0</v>
      </c>
    </row>
    <row r="4">
      <c r="A4" s="278" t="s">
        <v>21</v>
      </c>
      <c r="B4" s="1">
        <v>0.1</v>
      </c>
      <c r="C4" s="1">
        <v>3.0</v>
      </c>
    </row>
    <row r="5">
      <c r="A5" s="278" t="s">
        <v>22</v>
      </c>
      <c r="B5" s="1">
        <v>0.15</v>
      </c>
      <c r="C5" s="1">
        <v>5.0</v>
      </c>
    </row>
    <row r="6">
      <c r="A6" s="278" t="s">
        <v>274</v>
      </c>
      <c r="B6" s="1">
        <v>0.2</v>
      </c>
      <c r="C6" s="1">
        <v>2.0</v>
      </c>
    </row>
    <row r="7">
      <c r="A7" s="278" t="s">
        <v>275</v>
      </c>
      <c r="B7" s="1">
        <v>0.16</v>
      </c>
      <c r="C7" s="1">
        <v>6.0</v>
      </c>
    </row>
    <row r="8">
      <c r="A8" s="278" t="s">
        <v>273</v>
      </c>
      <c r="B8" s="1">
        <v>0.0</v>
      </c>
      <c r="C8" s="1">
        <v>0.0</v>
      </c>
    </row>
    <row r="9">
      <c r="A9" s="278" t="s">
        <v>27</v>
      </c>
      <c r="B9" s="1">
        <v>0.1</v>
      </c>
      <c r="C9" s="1">
        <v>3.0</v>
      </c>
    </row>
    <row r="10">
      <c r="A10" s="278" t="s">
        <v>28</v>
      </c>
      <c r="B10" s="1">
        <v>0.15</v>
      </c>
      <c r="C10" s="1">
        <v>5.0</v>
      </c>
    </row>
    <row r="11">
      <c r="A11" s="279" t="s">
        <v>275</v>
      </c>
      <c r="B11" s="1">
        <v>0.16</v>
      </c>
      <c r="C11" s="1">
        <v>6.0</v>
      </c>
    </row>
    <row r="12">
      <c r="A12" s="278" t="s">
        <v>273</v>
      </c>
      <c r="B12" s="1">
        <v>0.0</v>
      </c>
      <c r="C12" s="1">
        <v>0.0</v>
      </c>
    </row>
    <row r="13">
      <c r="A13" s="278" t="s">
        <v>31</v>
      </c>
      <c r="B13" s="1">
        <v>0.1</v>
      </c>
      <c r="C13" s="1">
        <v>3.0</v>
      </c>
    </row>
    <row r="14">
      <c r="A14" s="278" t="s">
        <v>32</v>
      </c>
      <c r="B14" s="1">
        <v>0.15</v>
      </c>
      <c r="C14" s="1">
        <v>5.0</v>
      </c>
    </row>
    <row r="15">
      <c r="A15" s="278" t="s">
        <v>276</v>
      </c>
      <c r="B15" s="1">
        <v>0.2</v>
      </c>
      <c r="C15" s="1">
        <v>2.0</v>
      </c>
    </row>
    <row r="16">
      <c r="A16" s="279" t="s">
        <v>275</v>
      </c>
      <c r="B16" s="1">
        <v>0.16</v>
      </c>
      <c r="C16" s="1">
        <v>6.0</v>
      </c>
    </row>
    <row r="17">
      <c r="A17" s="278" t="s">
        <v>273</v>
      </c>
      <c r="B17" s="1">
        <v>0.0</v>
      </c>
      <c r="C17" s="1">
        <v>0.0</v>
      </c>
    </row>
    <row r="18">
      <c r="A18" s="278" t="s">
        <v>35</v>
      </c>
      <c r="B18" s="1">
        <v>0.0</v>
      </c>
      <c r="C18" s="1">
        <v>4.0</v>
      </c>
    </row>
    <row r="19">
      <c r="A19" s="278" t="s">
        <v>277</v>
      </c>
      <c r="B19" s="1">
        <v>0.15</v>
      </c>
      <c r="C19" s="1">
        <v>5.0</v>
      </c>
    </row>
    <row r="20">
      <c r="A20" s="278" t="s">
        <v>36</v>
      </c>
      <c r="B20" s="1">
        <v>0.1</v>
      </c>
      <c r="C20" s="1">
        <v>1.0</v>
      </c>
    </row>
    <row r="21">
      <c r="A21" s="279" t="s">
        <v>275</v>
      </c>
      <c r="B21" s="1">
        <v>0.16</v>
      </c>
      <c r="C21" s="1">
        <v>6.0</v>
      </c>
    </row>
    <row r="22">
      <c r="A22" s="278" t="s">
        <v>273</v>
      </c>
      <c r="B22" s="1">
        <v>0.0</v>
      </c>
      <c r="C22" s="1">
        <v>0.0</v>
      </c>
    </row>
    <row r="23">
      <c r="A23" s="278" t="s">
        <v>40</v>
      </c>
      <c r="B23" s="1">
        <v>0.1</v>
      </c>
      <c r="C23" s="1">
        <v>4.0</v>
      </c>
    </row>
    <row r="24">
      <c r="A24" s="278" t="s">
        <v>278</v>
      </c>
      <c r="B24" s="1">
        <v>0.15</v>
      </c>
      <c r="C24" s="1">
        <v>5.0</v>
      </c>
    </row>
    <row r="25">
      <c r="A25" s="279" t="s">
        <v>275</v>
      </c>
      <c r="B25" s="1">
        <v>0.16</v>
      </c>
      <c r="C25" s="1">
        <v>6.0</v>
      </c>
    </row>
    <row r="26">
      <c r="A26" s="278"/>
      <c r="B26" s="1"/>
      <c r="C26" s="1"/>
    </row>
    <row r="27">
      <c r="A27" s="280"/>
      <c r="B27" s="281"/>
      <c r="C27" s="281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82" t="s">
        <v>49</v>
      </c>
      <c r="B1" s="283" t="s">
        <v>21</v>
      </c>
      <c r="C1" s="283" t="s">
        <v>27</v>
      </c>
      <c r="D1" s="283" t="s">
        <v>31</v>
      </c>
      <c r="E1" s="283" t="s">
        <v>123</v>
      </c>
      <c r="F1" s="283" t="s">
        <v>124</v>
      </c>
      <c r="G1" s="283" t="s">
        <v>35</v>
      </c>
    </row>
    <row r="2">
      <c r="A2" s="282"/>
      <c r="B2" s="283">
        <v>0.0</v>
      </c>
      <c r="C2" s="283">
        <v>0.0</v>
      </c>
      <c r="D2" s="283">
        <v>0.0</v>
      </c>
      <c r="E2" s="283">
        <v>0.0</v>
      </c>
      <c r="F2" s="283">
        <v>0.0</v>
      </c>
      <c r="G2" s="283">
        <v>0.0</v>
      </c>
    </row>
    <row r="3">
      <c r="A3" s="282" t="s">
        <v>273</v>
      </c>
      <c r="B3" s="283">
        <v>0.0</v>
      </c>
      <c r="C3" s="283">
        <v>0.0</v>
      </c>
      <c r="D3" s="283">
        <v>0.0</v>
      </c>
      <c r="E3" s="283">
        <v>0.0</v>
      </c>
      <c r="F3" s="283">
        <v>0.0</v>
      </c>
      <c r="G3" s="283">
        <v>0.0</v>
      </c>
    </row>
    <row r="4">
      <c r="A4" s="282" t="s">
        <v>23</v>
      </c>
      <c r="B4" s="283">
        <v>0.2</v>
      </c>
      <c r="C4" s="283">
        <v>0.23</v>
      </c>
      <c r="D4" s="283">
        <v>0.25</v>
      </c>
      <c r="E4" s="283">
        <v>0.0</v>
      </c>
      <c r="F4" s="283">
        <v>0.0</v>
      </c>
      <c r="G4" s="283">
        <v>0.0</v>
      </c>
    </row>
    <row r="5">
      <c r="A5" s="282" t="s">
        <v>279</v>
      </c>
      <c r="B5" s="283">
        <v>0.15</v>
      </c>
      <c r="C5" s="283">
        <v>0.18</v>
      </c>
      <c r="D5" s="283">
        <v>0.2</v>
      </c>
      <c r="E5" s="283">
        <v>0.0</v>
      </c>
      <c r="F5" s="283">
        <v>0.0</v>
      </c>
      <c r="G5" s="283">
        <v>0.0</v>
      </c>
    </row>
    <row r="6">
      <c r="A6" s="284">
        <v>0.15</v>
      </c>
      <c r="B6" s="283">
        <v>0.15</v>
      </c>
      <c r="C6" s="283">
        <v>0.15</v>
      </c>
      <c r="D6" s="283">
        <v>0.15</v>
      </c>
      <c r="E6" s="283">
        <v>0.15</v>
      </c>
      <c r="F6" s="283">
        <v>0.15</v>
      </c>
      <c r="G6" s="283">
        <v>0.15</v>
      </c>
    </row>
    <row r="7">
      <c r="A7" s="284">
        <v>0.1</v>
      </c>
      <c r="B7" s="283">
        <v>0.1</v>
      </c>
      <c r="C7" s="283">
        <v>0.1</v>
      </c>
      <c r="D7" s="283">
        <v>0.1</v>
      </c>
      <c r="E7" s="283">
        <v>0.1</v>
      </c>
      <c r="F7" s="283">
        <v>0.1</v>
      </c>
      <c r="G7" s="283">
        <v>0.1</v>
      </c>
    </row>
    <row r="8">
      <c r="A8" s="284">
        <v>0.05</v>
      </c>
      <c r="B8" s="283">
        <v>0.05</v>
      </c>
      <c r="C8" s="283">
        <v>0.05</v>
      </c>
      <c r="D8" s="283">
        <v>0.05</v>
      </c>
      <c r="E8" s="283">
        <v>0.05</v>
      </c>
      <c r="F8" s="283">
        <v>0.05</v>
      </c>
      <c r="G8" s="283">
        <v>0.05</v>
      </c>
    </row>
    <row r="9">
      <c r="A9" s="282" t="s">
        <v>41</v>
      </c>
      <c r="B9" s="283">
        <v>0.0</v>
      </c>
      <c r="C9" s="283">
        <v>0.0</v>
      </c>
      <c r="D9" s="283">
        <v>0.25</v>
      </c>
      <c r="E9" s="283">
        <v>0.2</v>
      </c>
      <c r="F9" s="283">
        <v>0.23</v>
      </c>
      <c r="G9" s="283">
        <v>0.0</v>
      </c>
    </row>
    <row r="10">
      <c r="A10" s="282" t="s">
        <v>37</v>
      </c>
      <c r="B10" s="283">
        <v>0.0</v>
      </c>
      <c r="C10" s="283">
        <v>0.0</v>
      </c>
      <c r="D10" s="283">
        <v>0.25</v>
      </c>
      <c r="E10" s="283">
        <v>0.0</v>
      </c>
      <c r="F10" s="283">
        <v>0.0</v>
      </c>
      <c r="G10" s="283">
        <v>0.25</v>
      </c>
    </row>
    <row r="11">
      <c r="A11" s="282"/>
      <c r="B11" s="283"/>
      <c r="C11" s="283"/>
      <c r="D11" s="283"/>
      <c r="E11" s="283"/>
      <c r="F11" s="283"/>
      <c r="G11" s="283"/>
    </row>
    <row r="12">
      <c r="A12" s="282"/>
      <c r="B12" s="283"/>
      <c r="C12" s="283"/>
      <c r="D12" s="283"/>
      <c r="E12" s="283"/>
      <c r="F12" s="283"/>
      <c r="G12" s="283"/>
    </row>
    <row r="13">
      <c r="A13" s="285"/>
      <c r="B13" s="286"/>
      <c r="C13" s="286"/>
      <c r="D13" s="286"/>
      <c r="E13" s="286"/>
      <c r="F13" s="286"/>
      <c r="G13" s="286"/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5" width="7.29"/>
  </cols>
  <sheetData>
    <row r="1">
      <c r="A1" s="39" t="s">
        <v>280</v>
      </c>
      <c r="B1" s="287" t="s">
        <v>66</v>
      </c>
      <c r="C1" s="288" t="str">
        <f>'Sheet 1'!B38</f>
        <v>Harmonised nightmare staff</v>
      </c>
      <c r="D1" s="289">
        <v>2.0</v>
      </c>
      <c r="E1" s="289"/>
      <c r="F1" s="289">
        <v>3.0</v>
      </c>
      <c r="G1" s="289" t="s">
        <v>273</v>
      </c>
      <c r="H1" s="289">
        <v>4.0</v>
      </c>
      <c r="I1" s="289" t="s">
        <v>281</v>
      </c>
      <c r="J1" s="289">
        <v>5.0</v>
      </c>
      <c r="K1" s="289" t="s">
        <v>282</v>
      </c>
      <c r="L1" s="289">
        <v>6.0</v>
      </c>
      <c r="M1" s="289" t="s">
        <v>283</v>
      </c>
      <c r="N1" s="289">
        <v>7.0</v>
      </c>
      <c r="O1" s="289" t="s">
        <v>284</v>
      </c>
      <c r="P1" s="289">
        <v>8.0</v>
      </c>
      <c r="Q1" s="289" t="s">
        <v>285</v>
      </c>
      <c r="R1" s="289">
        <v>9.0</v>
      </c>
      <c r="S1" s="289" t="s">
        <v>286</v>
      </c>
      <c r="T1" s="289">
        <v>10.0</v>
      </c>
      <c r="U1" s="289" t="s">
        <v>287</v>
      </c>
      <c r="V1" s="289">
        <v>11.0</v>
      </c>
      <c r="W1" s="289" t="s">
        <v>288</v>
      </c>
      <c r="X1" s="289">
        <v>12.0</v>
      </c>
      <c r="Y1" s="289" t="s">
        <v>289</v>
      </c>
      <c r="Z1" s="289">
        <v>13.0</v>
      </c>
      <c r="AA1" s="289" t="s">
        <v>290</v>
      </c>
      <c r="AB1" s="289">
        <v>14.0</v>
      </c>
      <c r="AC1" s="289" t="s">
        <v>291</v>
      </c>
      <c r="AD1" s="289">
        <v>15.0</v>
      </c>
      <c r="AE1" s="289" t="s">
        <v>292</v>
      </c>
      <c r="AF1" s="289">
        <v>16.0</v>
      </c>
      <c r="AG1" s="289" t="s">
        <v>293</v>
      </c>
      <c r="AH1" s="289">
        <v>17.0</v>
      </c>
      <c r="AI1" s="289" t="s">
        <v>39</v>
      </c>
      <c r="AJ1" s="289">
        <v>18.0</v>
      </c>
      <c r="AK1" s="289" t="s">
        <v>294</v>
      </c>
      <c r="AL1" s="289">
        <v>19.0</v>
      </c>
      <c r="AM1" s="289" t="s">
        <v>295</v>
      </c>
      <c r="AN1" s="289">
        <v>20.0</v>
      </c>
      <c r="AO1" s="289" t="s">
        <v>296</v>
      </c>
      <c r="AP1" s="289">
        <v>21.0</v>
      </c>
      <c r="AQ1" s="289" t="s">
        <v>297</v>
      </c>
      <c r="AR1" s="289">
        <v>22.0</v>
      </c>
      <c r="AS1" s="289"/>
    </row>
    <row r="2">
      <c r="B2" s="290" t="str">
        <f>Items!V1</f>
        <v>Combat options</v>
      </c>
      <c r="C2" s="291">
        <f t="array" ref="C2">IF(ISBLANK(C1),2,INDEX(Items!$A$1:$V$698,MATCH($C$1,Items!$A$1:$A$698,0),MATCH(B2,Items!$A$1:$V$1,0)))</f>
        <v>15</v>
      </c>
      <c r="D2" s="292"/>
      <c r="E2" s="292"/>
      <c r="F2" s="292"/>
      <c r="G2" s="292"/>
      <c r="H2" s="292"/>
      <c r="I2" s="292"/>
      <c r="J2" s="292"/>
      <c r="K2" s="292"/>
      <c r="L2" s="292"/>
      <c r="M2" s="292"/>
      <c r="N2" s="292"/>
      <c r="O2" s="292"/>
      <c r="P2" s="292"/>
      <c r="Q2" s="292"/>
      <c r="R2" s="292"/>
      <c r="S2" s="292"/>
      <c r="T2" s="292"/>
      <c r="U2" s="292"/>
      <c r="V2" s="292"/>
      <c r="W2" s="292"/>
      <c r="X2" s="292"/>
      <c r="Y2" s="292"/>
      <c r="Z2" s="292"/>
      <c r="AA2" s="292"/>
      <c r="AB2" s="292"/>
      <c r="AC2" s="292"/>
      <c r="AD2" s="292"/>
      <c r="AE2" s="292"/>
      <c r="AF2" s="292"/>
      <c r="AG2" s="292"/>
      <c r="AH2" s="292"/>
      <c r="AI2" s="292"/>
      <c r="AJ2" s="292"/>
      <c r="AK2" s="292"/>
      <c r="AL2" s="292"/>
      <c r="AM2" s="292"/>
      <c r="AN2" s="292"/>
      <c r="AO2" s="292"/>
      <c r="AP2" s="292"/>
      <c r="AQ2" s="292"/>
      <c r="AR2" s="292"/>
      <c r="AS2" s="292"/>
    </row>
    <row r="3">
      <c r="A3" s="293" t="str">
        <f t="shared" ref="A3:A11" si="1">IF(ISBLANK(B3),,"*"&amp;B3&amp;"* *"&amp;C3&amp;"*")</f>
        <v>*accurate* *crush*</v>
      </c>
      <c r="B3" s="294" t="str">
        <f t="array" ref="B3">INDEX($D$1:AS$6,3,MATCH($C$2,$D$1:AS$1,0))</f>
        <v>accurate</v>
      </c>
      <c r="C3" s="288" t="str">
        <f t="array" ref="C3">INDEX($D$1:AS$6,3,1+MATCH($C$2,$D$1:AS$1,0))</f>
        <v>crush</v>
      </c>
      <c r="D3" s="295"/>
      <c r="E3" s="295"/>
      <c r="F3" s="295" t="s">
        <v>298</v>
      </c>
      <c r="G3" s="295" t="s">
        <v>299</v>
      </c>
      <c r="H3" s="295" t="s">
        <v>298</v>
      </c>
      <c r="I3" s="295" t="s">
        <v>300</v>
      </c>
      <c r="J3" s="295" t="s">
        <v>298</v>
      </c>
      <c r="K3" s="295" t="s">
        <v>300</v>
      </c>
      <c r="L3" s="295" t="s">
        <v>298</v>
      </c>
      <c r="M3" s="295" t="s">
        <v>301</v>
      </c>
      <c r="N3" s="295" t="s">
        <v>298</v>
      </c>
      <c r="O3" s="295" t="s">
        <v>299</v>
      </c>
      <c r="P3" s="295" t="s">
        <v>298</v>
      </c>
      <c r="Q3" s="295" t="s">
        <v>301</v>
      </c>
      <c r="R3" s="295" t="s">
        <v>298</v>
      </c>
      <c r="S3" s="295" t="s">
        <v>299</v>
      </c>
      <c r="T3" s="295" t="s">
        <v>298</v>
      </c>
      <c r="U3" s="295" t="s">
        <v>301</v>
      </c>
      <c r="V3" s="295" t="s">
        <v>302</v>
      </c>
      <c r="W3" s="295" t="s">
        <v>301</v>
      </c>
      <c r="X3" s="295" t="s">
        <v>303</v>
      </c>
      <c r="Y3" s="295" t="s">
        <v>300</v>
      </c>
      <c r="Z3" s="295" t="s">
        <v>298</v>
      </c>
      <c r="AA3" s="295" t="s">
        <v>301</v>
      </c>
      <c r="AB3" s="295" t="s">
        <v>302</v>
      </c>
      <c r="AC3" s="295" t="s">
        <v>299</v>
      </c>
      <c r="AD3" s="295" t="s">
        <v>298</v>
      </c>
      <c r="AE3" s="295" t="s">
        <v>299</v>
      </c>
      <c r="AF3" s="295" t="s">
        <v>298</v>
      </c>
      <c r="AG3" s="295" t="s">
        <v>300</v>
      </c>
      <c r="AH3" s="295" t="s">
        <v>298</v>
      </c>
      <c r="AI3" s="295" t="s">
        <v>304</v>
      </c>
      <c r="AJ3" s="295" t="s">
        <v>302</v>
      </c>
      <c r="AK3" s="295" t="s">
        <v>301</v>
      </c>
      <c r="AL3" s="295" t="s">
        <v>298</v>
      </c>
      <c r="AM3" s="295" t="s">
        <v>300</v>
      </c>
      <c r="AN3" s="295" t="s">
        <v>298</v>
      </c>
      <c r="AO3" s="295" t="s">
        <v>305</v>
      </c>
      <c r="AP3" s="289" t="s">
        <v>298</v>
      </c>
      <c r="AQ3" s="289" t="s">
        <v>299</v>
      </c>
      <c r="AR3" s="292"/>
      <c r="AS3" s="292"/>
    </row>
    <row r="4">
      <c r="A4" s="296" t="str">
        <f t="shared" si="1"/>
        <v>*aggressive* *crush*</v>
      </c>
      <c r="B4" s="297" t="str">
        <f t="array" ref="B4">INDEX($D$1:AS$6,4,MATCH($C$2,$D$1:AS$1,0))</f>
        <v>aggressive</v>
      </c>
      <c r="C4" s="298" t="str">
        <f t="array" ref="C4">INDEX($D$1:AS$6,4,1+MATCH($C$2,$D$1:AS$1,0))</f>
        <v>crush</v>
      </c>
      <c r="D4" s="295"/>
      <c r="E4" s="295"/>
      <c r="F4" s="295" t="s">
        <v>302</v>
      </c>
      <c r="G4" s="295" t="s">
        <v>299</v>
      </c>
      <c r="H4" s="295" t="s">
        <v>302</v>
      </c>
      <c r="I4" s="295" t="s">
        <v>300</v>
      </c>
      <c r="J4" s="295" t="s">
        <v>302</v>
      </c>
      <c r="K4" s="295" t="s">
        <v>300</v>
      </c>
      <c r="L4" s="295" t="s">
        <v>302</v>
      </c>
      <c r="M4" s="295" t="s">
        <v>301</v>
      </c>
      <c r="N4" s="295" t="s">
        <v>302</v>
      </c>
      <c r="O4" s="295" t="s">
        <v>299</v>
      </c>
      <c r="P4" s="295" t="s">
        <v>302</v>
      </c>
      <c r="Q4" s="295" t="s">
        <v>301</v>
      </c>
      <c r="R4" s="295" t="s">
        <v>302</v>
      </c>
      <c r="S4" s="295" t="s">
        <v>299</v>
      </c>
      <c r="T4" s="295" t="s">
        <v>302</v>
      </c>
      <c r="U4" s="295" t="s">
        <v>301</v>
      </c>
      <c r="V4" s="295" t="s">
        <v>303</v>
      </c>
      <c r="W4" s="295" t="s">
        <v>300</v>
      </c>
      <c r="X4" s="295" t="s">
        <v>303</v>
      </c>
      <c r="Y4" s="295" t="s">
        <v>301</v>
      </c>
      <c r="Z4" s="295" t="s">
        <v>303</v>
      </c>
      <c r="AA4" s="295" t="s">
        <v>301</v>
      </c>
      <c r="AB4" s="292"/>
      <c r="AC4" s="292"/>
      <c r="AD4" s="295" t="s">
        <v>302</v>
      </c>
      <c r="AE4" s="295" t="s">
        <v>299</v>
      </c>
      <c r="AF4" s="295" t="s">
        <v>302</v>
      </c>
      <c r="AG4" s="295" t="s">
        <v>300</v>
      </c>
      <c r="AH4" s="295" t="s">
        <v>306</v>
      </c>
      <c r="AI4" s="295" t="s">
        <v>304</v>
      </c>
      <c r="AJ4" s="295" t="s">
        <v>306</v>
      </c>
      <c r="AK4" s="295" t="s">
        <v>304</v>
      </c>
      <c r="AL4" s="295" t="s">
        <v>302</v>
      </c>
      <c r="AM4" s="295" t="s">
        <v>301</v>
      </c>
      <c r="AN4" s="295" t="s">
        <v>307</v>
      </c>
      <c r="AO4" s="295" t="s">
        <v>305</v>
      </c>
      <c r="AP4" s="289" t="s">
        <v>308</v>
      </c>
      <c r="AQ4" s="289" t="s">
        <v>299</v>
      </c>
      <c r="AR4" s="292"/>
      <c r="AS4" s="292"/>
    </row>
    <row r="5">
      <c r="A5" s="296" t="str">
        <f t="shared" si="1"/>
        <v>*defensive* *crush*</v>
      </c>
      <c r="B5" s="297" t="str">
        <f t="array" ref="B5">INDEX($D$1:AS$6,5,MATCH($C$2,$D$1:AS$1,0))</f>
        <v>defensive</v>
      </c>
      <c r="C5" s="298" t="str">
        <f t="array" ref="C5">INDEX($D$1:AS$6,5,1+MATCH($C$2,$D$1:AS$1,0))</f>
        <v>crush</v>
      </c>
      <c r="D5" s="295"/>
      <c r="E5" s="295"/>
      <c r="F5" s="295" t="s">
        <v>308</v>
      </c>
      <c r="G5" s="295" t="s">
        <v>299</v>
      </c>
      <c r="H5" s="295" t="s">
        <v>302</v>
      </c>
      <c r="I5" s="295" t="s">
        <v>301</v>
      </c>
      <c r="J5" s="295" t="s">
        <v>302</v>
      </c>
      <c r="K5" s="295" t="s">
        <v>301</v>
      </c>
      <c r="L5" s="295" t="s">
        <v>303</v>
      </c>
      <c r="M5" s="295" t="s">
        <v>300</v>
      </c>
      <c r="N5" s="295" t="s">
        <v>303</v>
      </c>
      <c r="O5" s="295" t="s">
        <v>300</v>
      </c>
      <c r="P5" s="295" t="s">
        <v>302</v>
      </c>
      <c r="Q5" s="295" t="s">
        <v>299</v>
      </c>
      <c r="R5" s="295" t="s">
        <v>308</v>
      </c>
      <c r="S5" s="295" t="s">
        <v>299</v>
      </c>
      <c r="T5" s="295" t="s">
        <v>302</v>
      </c>
      <c r="U5" s="295" t="s">
        <v>299</v>
      </c>
      <c r="V5" s="295" t="s">
        <v>308</v>
      </c>
      <c r="W5" s="295" t="s">
        <v>300</v>
      </c>
      <c r="X5" s="295" t="s">
        <v>303</v>
      </c>
      <c r="Y5" s="295" t="s">
        <v>299</v>
      </c>
      <c r="Z5" s="295" t="s">
        <v>308</v>
      </c>
      <c r="AA5" s="295" t="s">
        <v>301</v>
      </c>
      <c r="AB5" s="292"/>
      <c r="AC5" s="292"/>
      <c r="AD5" s="295" t="s">
        <v>308</v>
      </c>
      <c r="AE5" s="295" t="s">
        <v>299</v>
      </c>
      <c r="AF5" s="295" t="s">
        <v>302</v>
      </c>
      <c r="AG5" s="295" t="s">
        <v>299</v>
      </c>
      <c r="AH5" s="295" t="s">
        <v>307</v>
      </c>
      <c r="AI5" s="295" t="s">
        <v>304</v>
      </c>
      <c r="AJ5" s="295" t="s">
        <v>309</v>
      </c>
      <c r="AK5" s="295" t="s">
        <v>305</v>
      </c>
      <c r="AL5" s="295" t="s">
        <v>308</v>
      </c>
      <c r="AM5" s="295" t="s">
        <v>299</v>
      </c>
      <c r="AP5" s="292"/>
      <c r="AQ5" s="292"/>
      <c r="AR5" s="292"/>
      <c r="AS5" s="292"/>
    </row>
    <row r="6">
      <c r="A6" s="299" t="str">
        <f t="shared" si="1"/>
        <v/>
      </c>
      <c r="B6" s="290" t="str">
        <f t="array" ref="B6">INDEX($D$1:AS$6,6,MATCH($C$2,$D$1:AS$1,0))</f>
        <v/>
      </c>
      <c r="C6" s="291" t="str">
        <f t="array" ref="C6">INDEX($D$1:AS$6,6,1+MATCH($C$2,$D$1:AS$1,0))</f>
        <v/>
      </c>
      <c r="D6" s="295"/>
      <c r="E6" s="295"/>
      <c r="F6" s="292"/>
      <c r="G6" s="292"/>
      <c r="H6" s="295" t="s">
        <v>308</v>
      </c>
      <c r="I6" s="295" t="s">
        <v>300</v>
      </c>
      <c r="J6" s="295" t="s">
        <v>308</v>
      </c>
      <c r="K6" s="295" t="s">
        <v>300</v>
      </c>
      <c r="L6" s="295" t="s">
        <v>308</v>
      </c>
      <c r="M6" s="295" t="s">
        <v>301</v>
      </c>
      <c r="N6" s="295" t="s">
        <v>308</v>
      </c>
      <c r="O6" s="295" t="s">
        <v>299</v>
      </c>
      <c r="P6" s="295" t="s">
        <v>308</v>
      </c>
      <c r="Q6" s="295" t="s">
        <v>301</v>
      </c>
      <c r="R6" s="292"/>
      <c r="S6" s="292"/>
      <c r="T6" s="295" t="s">
        <v>308</v>
      </c>
      <c r="U6" s="295" t="s">
        <v>301</v>
      </c>
      <c r="V6" s="295"/>
      <c r="W6" s="295"/>
      <c r="X6" s="295" t="s">
        <v>308</v>
      </c>
      <c r="Y6" s="295" t="s">
        <v>300</v>
      </c>
      <c r="Z6" s="292"/>
      <c r="AA6" s="292"/>
      <c r="AB6" s="292"/>
      <c r="AC6" s="292"/>
      <c r="AD6" s="292"/>
      <c r="AE6" s="292"/>
      <c r="AF6" s="295" t="s">
        <v>308</v>
      </c>
      <c r="AG6" s="295" t="s">
        <v>300</v>
      </c>
      <c r="AH6" s="292"/>
      <c r="AI6" s="292"/>
      <c r="AJ6" s="292"/>
      <c r="AK6" s="292"/>
      <c r="AL6" s="292"/>
      <c r="AM6" s="292"/>
      <c r="AN6" s="292"/>
      <c r="AO6" s="292"/>
      <c r="AP6" s="292"/>
      <c r="AQ6" s="292"/>
      <c r="AR6" s="292"/>
      <c r="AS6" s="292"/>
    </row>
    <row r="7">
      <c r="A7" s="292" t="str">
        <f t="shared" si="1"/>
        <v>*choose spell* *magic*</v>
      </c>
      <c r="B7" s="289" t="s">
        <v>310</v>
      </c>
      <c r="C7" s="289" t="s">
        <v>305</v>
      </c>
      <c r="D7" s="292"/>
      <c r="E7" s="292"/>
      <c r="F7" s="292"/>
      <c r="G7" s="292"/>
      <c r="H7" s="292"/>
      <c r="I7" s="292"/>
      <c r="J7" s="292"/>
      <c r="K7" s="292"/>
      <c r="L7" s="292"/>
      <c r="M7" s="292"/>
      <c r="N7" s="292"/>
      <c r="O7" s="292"/>
      <c r="P7" s="292"/>
      <c r="Q7" s="292"/>
      <c r="R7" s="292"/>
      <c r="S7" s="292"/>
      <c r="T7" s="292"/>
      <c r="U7" s="292"/>
      <c r="V7" s="292"/>
      <c r="W7" s="292"/>
      <c r="X7" s="292"/>
      <c r="Y7" s="292"/>
      <c r="Z7" s="292"/>
      <c r="AA7" s="292"/>
      <c r="AB7" s="292"/>
      <c r="AC7" s="292"/>
      <c r="AD7" s="292"/>
      <c r="AE7" s="292"/>
      <c r="AF7" s="292"/>
      <c r="AG7" s="292"/>
      <c r="AH7" s="292"/>
      <c r="AI7" s="292"/>
      <c r="AJ7" s="292"/>
      <c r="AK7" s="292"/>
      <c r="AL7" s="292"/>
      <c r="AM7" s="292"/>
      <c r="AN7" s="292"/>
      <c r="AO7" s="292"/>
      <c r="AP7" s="292"/>
      <c r="AQ7" s="292"/>
      <c r="AR7" s="292"/>
      <c r="AS7" s="292"/>
    </row>
    <row r="8">
      <c r="A8" s="293" t="str">
        <f t="shared" si="1"/>
        <v>*accurate* *crush*</v>
      </c>
      <c r="B8" s="294" t="str">
        <f t="array" ref="B8">INDEX($D$1:AS$6,3,MATCH($C$13,$D$1:AS$1,0))</f>
        <v>accurate</v>
      </c>
      <c r="C8" s="288" t="str">
        <f t="array" ref="C8">INDEX($D$1:AS$6,3,1+MATCH($C$13,$D$1:AS$1,0))</f>
        <v>crush</v>
      </c>
      <c r="D8" s="289"/>
      <c r="E8" s="289"/>
      <c r="F8" s="289"/>
      <c r="G8" s="289"/>
      <c r="H8" s="289"/>
      <c r="I8" s="289"/>
      <c r="J8" s="289"/>
      <c r="K8" s="289"/>
      <c r="L8" s="289"/>
      <c r="M8" s="289"/>
      <c r="N8" s="289"/>
      <c r="O8" s="289"/>
      <c r="P8" s="289"/>
      <c r="Q8" s="289"/>
      <c r="R8" s="289"/>
      <c r="S8" s="289"/>
      <c r="T8" s="289"/>
      <c r="U8" s="289"/>
      <c r="V8" s="289"/>
      <c r="W8" s="289"/>
      <c r="X8" s="289"/>
      <c r="Y8" s="289"/>
      <c r="Z8" s="289"/>
      <c r="AA8" s="289"/>
      <c r="AB8" s="289"/>
      <c r="AC8" s="289"/>
      <c r="AD8" s="289"/>
      <c r="AE8" s="289"/>
      <c r="AF8" s="289"/>
      <c r="AG8" s="289"/>
      <c r="AH8" s="289"/>
      <c r="AI8" s="289"/>
      <c r="AJ8" s="289"/>
      <c r="AK8" s="289"/>
      <c r="AL8" s="289"/>
      <c r="AM8" s="289"/>
      <c r="AN8" s="289"/>
      <c r="AO8" s="289"/>
      <c r="AP8" s="289"/>
      <c r="AQ8" s="289"/>
      <c r="AR8" s="289"/>
      <c r="AS8" s="289"/>
    </row>
    <row r="9">
      <c r="A9" s="296" t="str">
        <f t="shared" si="1"/>
        <v>*aggressive* *crush*</v>
      </c>
      <c r="B9" s="297" t="str">
        <f t="array" ref="B9">INDEX($D$1:AS$6,4,MATCH($C$13,$D$1:AS$1,0))</f>
        <v>aggressive</v>
      </c>
      <c r="C9" s="298" t="str">
        <f t="array" ref="C9">INDEX($D$1:AS$6,4,1+MATCH($C$13,$D$1:AS$1,0))</f>
        <v>crush</v>
      </c>
      <c r="D9" s="292"/>
      <c r="E9" s="292"/>
      <c r="F9" s="292"/>
      <c r="G9" s="292"/>
      <c r="H9" s="292"/>
      <c r="I9" s="292"/>
      <c r="J9" s="292"/>
      <c r="K9" s="292"/>
      <c r="L9" s="292"/>
      <c r="M9" s="292"/>
      <c r="N9" s="292"/>
      <c r="O9" s="292"/>
      <c r="P9" s="292"/>
      <c r="Q9" s="292"/>
      <c r="R9" s="292"/>
      <c r="S9" s="292"/>
      <c r="T9" s="292"/>
      <c r="U9" s="292"/>
      <c r="V9" s="292"/>
      <c r="W9" s="292"/>
      <c r="X9" s="292"/>
      <c r="Y9" s="292"/>
      <c r="Z9" s="292"/>
      <c r="AA9" s="292"/>
      <c r="AB9" s="292"/>
      <c r="AC9" s="292"/>
      <c r="AD9" s="292"/>
      <c r="AE9" s="292"/>
      <c r="AF9" s="292"/>
      <c r="AG9" s="292"/>
      <c r="AH9" s="292"/>
      <c r="AI9" s="292"/>
      <c r="AJ9" s="292"/>
      <c r="AK9" s="292"/>
      <c r="AL9" s="292"/>
      <c r="AM9" s="292"/>
      <c r="AN9" s="292"/>
      <c r="AO9" s="292"/>
      <c r="AP9" s="292"/>
      <c r="AQ9" s="292"/>
      <c r="AR9" s="292"/>
      <c r="AS9" s="292"/>
    </row>
    <row r="10">
      <c r="A10" s="296" t="str">
        <f t="shared" si="1"/>
        <v>*defensive* *crush*</v>
      </c>
      <c r="B10" s="297" t="str">
        <f t="array" ref="B10">INDEX($D$1:AS$6,5,MATCH($C$13,$D$1:AS$1,0))</f>
        <v>defensive</v>
      </c>
      <c r="C10" s="298" t="str">
        <f t="array" ref="C10">INDEX($D$1:AS$6,5,1+MATCH($C$13,$D$1:AS$1,0))</f>
        <v>crush</v>
      </c>
      <c r="D10" s="295"/>
      <c r="E10" s="295"/>
      <c r="F10" s="295"/>
      <c r="G10" s="295"/>
      <c r="H10" s="295"/>
      <c r="I10" s="295"/>
      <c r="J10" s="295"/>
      <c r="K10" s="295"/>
      <c r="L10" s="295"/>
      <c r="M10" s="295"/>
      <c r="N10" s="295"/>
      <c r="O10" s="295"/>
      <c r="P10" s="295"/>
      <c r="Q10" s="295"/>
      <c r="R10" s="295"/>
      <c r="S10" s="295"/>
      <c r="T10" s="295"/>
      <c r="U10" s="295"/>
      <c r="V10" s="295"/>
      <c r="W10" s="295"/>
      <c r="X10" s="295"/>
      <c r="Y10" s="295"/>
      <c r="Z10" s="295"/>
      <c r="AA10" s="295"/>
      <c r="AB10" s="295"/>
      <c r="AC10" s="295"/>
      <c r="AD10" s="295"/>
      <c r="AE10" s="295"/>
      <c r="AF10" s="295"/>
      <c r="AG10" s="295"/>
      <c r="AH10" s="295"/>
      <c r="AI10" s="295"/>
      <c r="AJ10" s="295"/>
      <c r="AK10" s="295"/>
      <c r="AL10" s="295"/>
      <c r="AM10" s="295"/>
      <c r="AN10" s="295"/>
      <c r="AO10" s="295"/>
      <c r="AP10" s="292"/>
      <c r="AQ10" s="292"/>
      <c r="AR10" s="292"/>
      <c r="AS10" s="292"/>
    </row>
    <row r="11">
      <c r="A11" s="299" t="str">
        <f t="shared" si="1"/>
        <v/>
      </c>
      <c r="B11" s="290" t="str">
        <f t="array" ref="B11">INDEX($D$1:AS$6,6,MATCH($C$13,$D$1:AS$1,0))</f>
        <v/>
      </c>
      <c r="C11" s="291" t="str">
        <f t="array" ref="C11">INDEX($D$1:AS$6,6,1+MATCH($C$13,$D$1:AS$1,0))</f>
        <v/>
      </c>
      <c r="D11" s="295"/>
      <c r="E11" s="295"/>
      <c r="F11" s="295"/>
      <c r="G11" s="295"/>
      <c r="H11" s="295"/>
      <c r="I11" s="295"/>
      <c r="J11" s="295"/>
      <c r="K11" s="295"/>
      <c r="L11" s="295"/>
      <c r="M11" s="295"/>
      <c r="N11" s="295"/>
      <c r="O11" s="295"/>
      <c r="P11" s="295"/>
      <c r="Q11" s="295"/>
      <c r="R11" s="295"/>
      <c r="S11" s="295"/>
      <c r="T11" s="295"/>
      <c r="U11" s="295"/>
      <c r="V11" s="295"/>
      <c r="W11" s="295"/>
      <c r="X11" s="295"/>
      <c r="Y11" s="295"/>
      <c r="Z11" s="295"/>
      <c r="AA11" s="295"/>
      <c r="AB11" s="292"/>
      <c r="AC11" s="292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s="295"/>
      <c r="AP11" s="292"/>
      <c r="AQ11" s="292"/>
      <c r="AR11" s="292"/>
      <c r="AS11" s="292"/>
    </row>
    <row r="12">
      <c r="A12" s="292"/>
      <c r="B12" s="287" t="s">
        <v>61</v>
      </c>
      <c r="C12" s="288" t="str">
        <f>'Sheet 1'!B58</f>
        <v>None</v>
      </c>
      <c r="D12" s="295"/>
      <c r="E12" s="295"/>
      <c r="F12" s="295"/>
      <c r="G12" s="295"/>
      <c r="H12" s="295"/>
      <c r="I12" s="295"/>
      <c r="J12" s="295"/>
      <c r="K12" s="295"/>
      <c r="L12" s="295"/>
      <c r="M12" s="295"/>
      <c r="N12" s="295"/>
      <c r="O12" s="295"/>
      <c r="P12" s="295"/>
      <c r="Q12" s="295"/>
      <c r="R12" s="295"/>
      <c r="S12" s="295"/>
      <c r="T12" s="295"/>
      <c r="U12" s="295"/>
      <c r="V12" s="295"/>
      <c r="W12" s="295"/>
      <c r="X12" s="295"/>
      <c r="Y12" s="295"/>
      <c r="Z12" s="295"/>
      <c r="AA12" s="295"/>
      <c r="AB12" s="292"/>
      <c r="AC12" s="292"/>
      <c r="AD12" s="295"/>
      <c r="AE12" s="295"/>
      <c r="AF12" s="295"/>
      <c r="AG12" s="295"/>
      <c r="AH12" s="295"/>
      <c r="AI12" s="295"/>
      <c r="AJ12" s="295"/>
      <c r="AK12" s="295"/>
      <c r="AL12" s="295"/>
      <c r="AM12" s="295"/>
      <c r="AN12" s="295"/>
      <c r="AO12" s="295"/>
      <c r="AP12" s="292"/>
      <c r="AQ12" s="292"/>
      <c r="AR12" s="292"/>
      <c r="AS12" s="292"/>
    </row>
    <row r="13">
      <c r="A13" s="292"/>
      <c r="B13" s="290" t="str">
        <f>Items!V1</f>
        <v>Combat options</v>
      </c>
      <c r="C13" s="291">
        <f t="array" ref="C13">IF(ISBLANK(C12),2,INDEX(Items!$A$1:$V$698,MATCH($C$12,Items!$A$1:$A$698,0),MATCH(B13,Items!$A$1:$V$1,0)))</f>
        <v>3</v>
      </c>
      <c r="D13" s="295"/>
      <c r="E13" s="295"/>
      <c r="F13" s="292"/>
      <c r="G13" s="292"/>
      <c r="H13" s="295"/>
      <c r="I13" s="295"/>
      <c r="J13" s="295"/>
      <c r="K13" s="295"/>
      <c r="L13" s="295"/>
      <c r="M13" s="295"/>
      <c r="N13" s="295"/>
      <c r="O13" s="295"/>
      <c r="P13" s="295"/>
      <c r="Q13" s="295"/>
      <c r="R13" s="292"/>
      <c r="S13" s="292"/>
      <c r="T13" s="295"/>
      <c r="U13" s="295"/>
      <c r="V13" s="295"/>
      <c r="W13" s="295"/>
      <c r="X13" s="295"/>
      <c r="Y13" s="295"/>
      <c r="Z13" s="292"/>
      <c r="AA13" s="292"/>
      <c r="AB13" s="292"/>
      <c r="AC13" s="292"/>
      <c r="AD13" s="292"/>
      <c r="AE13" s="292"/>
      <c r="AF13" s="295"/>
      <c r="AG13" s="295"/>
      <c r="AH13" s="292"/>
      <c r="AI13" s="292"/>
      <c r="AJ13" s="292"/>
      <c r="AK13" s="292"/>
      <c r="AL13" s="292"/>
      <c r="AM13" s="292"/>
      <c r="AN13" s="292"/>
      <c r="AO13" s="292"/>
      <c r="AP13" s="292"/>
      <c r="AQ13" s="292"/>
      <c r="AR13" s="292"/>
      <c r="AS13" s="292"/>
    </row>
  </sheetData>
  <mergeCells count="1">
    <mergeCell ref="A1:A2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4.43"/>
  </cols>
  <sheetData>
    <row r="1">
      <c r="A1" s="300" t="s">
        <v>311</v>
      </c>
      <c r="B1" s="300" t="s">
        <v>312</v>
      </c>
      <c r="C1" s="300" t="s">
        <v>313</v>
      </c>
    </row>
    <row r="2">
      <c r="A2" s="301">
        <v>43847.0</v>
      </c>
      <c r="B2" s="302" t="s">
        <v>314</v>
      </c>
      <c r="C2" s="302" t="s">
        <v>315</v>
      </c>
    </row>
    <row r="3">
      <c r="A3" s="301">
        <v>43855.0</v>
      </c>
      <c r="B3" s="302" t="s">
        <v>316</v>
      </c>
      <c r="C3" s="302" t="s">
        <v>317</v>
      </c>
    </row>
    <row r="4">
      <c r="A4" s="301">
        <v>43857.0</v>
      </c>
      <c r="B4" s="302" t="s">
        <v>316</v>
      </c>
      <c r="C4" s="302" t="s">
        <v>318</v>
      </c>
    </row>
    <row r="5">
      <c r="A5" s="301">
        <v>43869.0</v>
      </c>
      <c r="B5" s="302" t="s">
        <v>316</v>
      </c>
      <c r="C5" s="302" t="s">
        <v>319</v>
      </c>
    </row>
    <row r="6">
      <c r="A6" s="301">
        <v>43875.0</v>
      </c>
      <c r="B6" s="302" t="s">
        <v>316</v>
      </c>
      <c r="C6" s="302" t="s">
        <v>320</v>
      </c>
    </row>
    <row r="7">
      <c r="A7" s="301">
        <v>43903.0</v>
      </c>
      <c r="B7" s="302" t="s">
        <v>316</v>
      </c>
      <c r="C7" s="302" t="s">
        <v>321</v>
      </c>
    </row>
    <row r="8">
      <c r="A8" s="301">
        <v>43937.0</v>
      </c>
      <c r="B8" s="302" t="s">
        <v>316</v>
      </c>
      <c r="C8" s="302" t="s">
        <v>322</v>
      </c>
    </row>
    <row r="9">
      <c r="A9" s="301">
        <v>43940.0</v>
      </c>
      <c r="B9" s="302" t="s">
        <v>316</v>
      </c>
      <c r="C9" s="302" t="s">
        <v>323</v>
      </c>
    </row>
    <row r="10">
      <c r="A10" s="301">
        <v>43944.0</v>
      </c>
      <c r="B10" s="302" t="s">
        <v>316</v>
      </c>
      <c r="C10" s="302" t="s">
        <v>324</v>
      </c>
    </row>
    <row r="11">
      <c r="A11" s="301">
        <v>43953.0</v>
      </c>
      <c r="B11" s="302" t="s">
        <v>316</v>
      </c>
      <c r="C11" s="302" t="s">
        <v>325</v>
      </c>
    </row>
    <row r="12">
      <c r="A12" s="301">
        <v>43985.0</v>
      </c>
      <c r="B12" s="302" t="s">
        <v>316</v>
      </c>
      <c r="C12" s="302" t="s">
        <v>326</v>
      </c>
    </row>
    <row r="13">
      <c r="A13" s="301">
        <v>43995.0</v>
      </c>
      <c r="B13" s="302" t="s">
        <v>316</v>
      </c>
      <c r="C13" s="302" t="s">
        <v>327</v>
      </c>
    </row>
    <row r="14">
      <c r="A14" s="303"/>
      <c r="B14" s="303"/>
      <c r="C14" s="303"/>
    </row>
    <row r="15">
      <c r="A15" s="303"/>
      <c r="B15" s="303"/>
      <c r="C15" s="303"/>
    </row>
    <row r="16">
      <c r="A16" s="303"/>
      <c r="B16" s="303"/>
      <c r="C16" s="303"/>
    </row>
    <row r="17">
      <c r="A17" s="303"/>
      <c r="B17" s="303"/>
      <c r="C17" s="303"/>
    </row>
    <row r="18">
      <c r="A18" s="303"/>
      <c r="B18" s="303"/>
      <c r="C18" s="303"/>
    </row>
    <row r="19">
      <c r="A19" s="303"/>
      <c r="B19" s="303"/>
      <c r="C19" s="303"/>
    </row>
    <row r="20">
      <c r="A20" s="303"/>
      <c r="B20" s="303"/>
      <c r="C20" s="303"/>
    </row>
    <row r="21">
      <c r="A21" s="303"/>
      <c r="B21" s="303"/>
      <c r="C21" s="303"/>
    </row>
    <row r="22">
      <c r="A22" s="303"/>
      <c r="B22" s="303"/>
      <c r="C22" s="303"/>
    </row>
    <row r="23">
      <c r="A23" s="303"/>
      <c r="B23" s="303"/>
      <c r="C23" s="303"/>
    </row>
    <row r="24">
      <c r="A24" s="303"/>
      <c r="B24" s="303"/>
      <c r="C24" s="303"/>
    </row>
    <row r="25">
      <c r="A25" s="303"/>
      <c r="B25" s="303"/>
      <c r="C25" s="303"/>
    </row>
    <row r="26">
      <c r="A26" s="303"/>
      <c r="B26" s="303"/>
      <c r="C26" s="303"/>
    </row>
    <row r="27">
      <c r="A27" s="303"/>
      <c r="B27" s="303"/>
      <c r="C27" s="303"/>
    </row>
    <row r="28">
      <c r="A28" s="303"/>
      <c r="B28" s="303"/>
      <c r="C28" s="303"/>
    </row>
    <row r="29">
      <c r="A29" s="303"/>
      <c r="B29" s="303"/>
      <c r="C29" s="303"/>
    </row>
    <row r="30">
      <c r="A30" s="303"/>
      <c r="B30" s="303"/>
      <c r="C30" s="303"/>
    </row>
    <row r="31">
      <c r="A31" s="303"/>
      <c r="B31" s="303"/>
      <c r="C31" s="303"/>
    </row>
    <row r="32">
      <c r="A32" s="303"/>
      <c r="B32" s="303"/>
      <c r="C32" s="303"/>
    </row>
    <row r="33">
      <c r="A33" s="303"/>
      <c r="B33" s="303"/>
      <c r="C33" s="303"/>
    </row>
    <row r="34">
      <c r="A34" s="303"/>
      <c r="B34" s="303"/>
      <c r="C34" s="303"/>
    </row>
    <row r="35">
      <c r="A35" s="303"/>
      <c r="B35" s="303"/>
      <c r="C35" s="303"/>
    </row>
    <row r="36">
      <c r="A36" s="303"/>
      <c r="B36" s="303"/>
      <c r="C36" s="303"/>
    </row>
    <row r="37">
      <c r="A37" s="303"/>
      <c r="B37" s="303"/>
      <c r="C37" s="303"/>
    </row>
    <row r="38">
      <c r="A38" s="303"/>
      <c r="B38" s="303"/>
      <c r="C38" s="303"/>
    </row>
    <row r="39">
      <c r="A39" s="303"/>
      <c r="B39" s="303"/>
      <c r="C39" s="303"/>
    </row>
    <row r="40">
      <c r="A40" s="303"/>
      <c r="B40" s="303"/>
      <c r="C40" s="303"/>
    </row>
    <row r="41">
      <c r="A41" s="303"/>
      <c r="B41" s="303"/>
      <c r="C41" s="303"/>
    </row>
    <row r="42">
      <c r="A42" s="303"/>
      <c r="B42" s="303"/>
      <c r="C42" s="303"/>
    </row>
    <row r="43">
      <c r="A43" s="303"/>
      <c r="B43" s="303"/>
      <c r="C43" s="303"/>
    </row>
    <row r="44">
      <c r="A44" s="303"/>
      <c r="B44" s="303"/>
      <c r="C44" s="303"/>
    </row>
    <row r="45">
      <c r="A45" s="303"/>
      <c r="B45" s="303"/>
      <c r="C45" s="303"/>
    </row>
    <row r="46">
      <c r="A46" s="303"/>
      <c r="B46" s="303"/>
      <c r="C46" s="303"/>
    </row>
    <row r="47">
      <c r="A47" s="303"/>
      <c r="B47" s="303"/>
      <c r="C47" s="303"/>
    </row>
    <row r="48">
      <c r="A48" s="303"/>
      <c r="B48" s="303"/>
      <c r="C48" s="303"/>
    </row>
    <row r="49">
      <c r="A49" s="303"/>
      <c r="B49" s="303"/>
      <c r="C49" s="303"/>
    </row>
    <row r="50">
      <c r="A50" s="303"/>
      <c r="B50" s="303"/>
      <c r="C50" s="303"/>
    </row>
    <row r="51">
      <c r="A51" s="303"/>
      <c r="B51" s="303"/>
      <c r="C51" s="303"/>
    </row>
    <row r="52">
      <c r="A52" s="303"/>
      <c r="B52" s="303"/>
      <c r="C52" s="303"/>
    </row>
    <row r="53">
      <c r="A53" s="303"/>
      <c r="B53" s="303"/>
      <c r="C53" s="303"/>
    </row>
    <row r="54">
      <c r="A54" s="303"/>
      <c r="B54" s="303"/>
      <c r="C54" s="303"/>
    </row>
    <row r="55">
      <c r="A55" s="303"/>
      <c r="B55" s="303"/>
      <c r="C55" s="303"/>
    </row>
    <row r="56">
      <c r="A56" s="303"/>
      <c r="B56" s="303"/>
      <c r="C56" s="303"/>
    </row>
    <row r="57">
      <c r="A57" s="303"/>
      <c r="B57" s="303"/>
      <c r="C57" s="303"/>
    </row>
    <row r="58">
      <c r="A58" s="303"/>
      <c r="B58" s="303"/>
      <c r="C58" s="303"/>
    </row>
    <row r="59">
      <c r="A59" s="303"/>
      <c r="B59" s="303"/>
      <c r="C59" s="303"/>
    </row>
    <row r="60">
      <c r="A60" s="303"/>
      <c r="B60" s="303"/>
      <c r="C60" s="303"/>
    </row>
    <row r="61">
      <c r="A61" s="303"/>
      <c r="B61" s="303"/>
      <c r="C61" s="303"/>
    </row>
    <row r="62">
      <c r="A62" s="303"/>
      <c r="B62" s="303"/>
      <c r="C62" s="303"/>
    </row>
    <row r="63">
      <c r="A63" s="303"/>
      <c r="B63" s="303"/>
      <c r="C63" s="303"/>
    </row>
    <row r="64">
      <c r="A64" s="303"/>
      <c r="B64" s="303"/>
      <c r="C64" s="303"/>
    </row>
    <row r="65">
      <c r="A65" s="303"/>
      <c r="B65" s="303"/>
      <c r="C65" s="303"/>
    </row>
    <row r="66">
      <c r="A66" s="303"/>
      <c r="B66" s="303"/>
      <c r="C66" s="303"/>
    </row>
    <row r="67">
      <c r="A67" s="303"/>
      <c r="B67" s="303"/>
      <c r="C67" s="303"/>
    </row>
    <row r="68">
      <c r="A68" s="303"/>
      <c r="B68" s="303"/>
      <c r="C68" s="303"/>
    </row>
    <row r="69">
      <c r="A69" s="303"/>
      <c r="B69" s="303"/>
      <c r="C69" s="303"/>
    </row>
    <row r="70">
      <c r="A70" s="303"/>
      <c r="B70" s="303"/>
      <c r="C70" s="303"/>
    </row>
    <row r="71">
      <c r="A71" s="303"/>
      <c r="B71" s="303"/>
      <c r="C71" s="303"/>
    </row>
    <row r="72">
      <c r="A72" s="303"/>
      <c r="B72" s="303"/>
      <c r="C72" s="303"/>
    </row>
    <row r="73">
      <c r="A73" s="303"/>
      <c r="B73" s="303"/>
      <c r="C73" s="303"/>
    </row>
    <row r="74">
      <c r="A74" s="303"/>
      <c r="B74" s="303"/>
      <c r="C74" s="303"/>
    </row>
    <row r="75">
      <c r="A75" s="303"/>
      <c r="B75" s="303"/>
      <c r="C75" s="303"/>
    </row>
    <row r="76">
      <c r="A76" s="303"/>
      <c r="B76" s="303"/>
      <c r="C76" s="303"/>
    </row>
    <row r="77">
      <c r="A77" s="303"/>
      <c r="B77" s="303"/>
      <c r="C77" s="303"/>
    </row>
    <row r="78">
      <c r="A78" s="303"/>
      <c r="B78" s="303"/>
      <c r="C78" s="303"/>
    </row>
    <row r="79">
      <c r="A79" s="303"/>
      <c r="B79" s="303"/>
      <c r="C79" s="303"/>
    </row>
    <row r="80">
      <c r="A80" s="303"/>
      <c r="B80" s="303"/>
      <c r="C80" s="303"/>
    </row>
    <row r="81">
      <c r="A81" s="303"/>
      <c r="B81" s="303"/>
      <c r="C81" s="303"/>
    </row>
    <row r="82">
      <c r="A82" s="303"/>
      <c r="B82" s="303"/>
      <c r="C82" s="303"/>
    </row>
    <row r="83">
      <c r="A83" s="303"/>
      <c r="B83" s="303"/>
      <c r="C83" s="303"/>
    </row>
    <row r="84">
      <c r="A84" s="303"/>
      <c r="B84" s="303"/>
      <c r="C84" s="303"/>
    </row>
    <row r="85">
      <c r="A85" s="303"/>
      <c r="B85" s="303"/>
      <c r="C85" s="303"/>
    </row>
    <row r="86">
      <c r="A86" s="303"/>
      <c r="B86" s="303"/>
      <c r="C86" s="303"/>
    </row>
    <row r="87">
      <c r="A87" s="303"/>
      <c r="B87" s="303"/>
      <c r="C87" s="303"/>
    </row>
    <row r="88">
      <c r="A88" s="303"/>
      <c r="B88" s="303"/>
      <c r="C88" s="303"/>
    </row>
    <row r="89">
      <c r="A89" s="303"/>
      <c r="B89" s="303"/>
      <c r="C89" s="303"/>
    </row>
    <row r="90">
      <c r="A90" s="303"/>
      <c r="B90" s="303"/>
      <c r="C90" s="303"/>
    </row>
    <row r="91">
      <c r="A91" s="303"/>
      <c r="B91" s="303"/>
      <c r="C91" s="303"/>
    </row>
    <row r="92">
      <c r="A92" s="303"/>
      <c r="B92" s="303"/>
      <c r="C92" s="303"/>
    </row>
    <row r="93">
      <c r="A93" s="303"/>
      <c r="B93" s="303"/>
      <c r="C93" s="303"/>
    </row>
    <row r="94">
      <c r="A94" s="303"/>
      <c r="B94" s="303"/>
      <c r="C94" s="303"/>
    </row>
    <row r="95">
      <c r="A95" s="303"/>
      <c r="B95" s="303"/>
      <c r="C95" s="303"/>
    </row>
    <row r="96">
      <c r="A96" s="303"/>
      <c r="B96" s="303"/>
      <c r="C96" s="303"/>
    </row>
    <row r="97">
      <c r="A97" s="303"/>
      <c r="B97" s="303"/>
      <c r="C97" s="303"/>
    </row>
    <row r="98">
      <c r="A98" s="303"/>
      <c r="B98" s="303"/>
      <c r="C98" s="303"/>
    </row>
    <row r="99">
      <c r="A99" s="303"/>
      <c r="B99" s="303"/>
      <c r="C99" s="303"/>
    </row>
    <row r="100">
      <c r="A100" s="303"/>
      <c r="B100" s="303"/>
      <c r="C100" s="303"/>
    </row>
    <row r="101">
      <c r="A101" s="303"/>
      <c r="B101" s="303"/>
      <c r="C101" s="303"/>
    </row>
    <row r="102">
      <c r="A102" s="303"/>
      <c r="B102" s="303"/>
      <c r="C102" s="303"/>
    </row>
    <row r="103">
      <c r="A103" s="303"/>
      <c r="B103" s="303"/>
      <c r="C103" s="303"/>
    </row>
    <row r="104">
      <c r="A104" s="303"/>
      <c r="B104" s="303"/>
      <c r="C104" s="303"/>
    </row>
    <row r="105">
      <c r="A105" s="303"/>
      <c r="B105" s="303"/>
      <c r="C105" s="303"/>
    </row>
    <row r="106">
      <c r="A106" s="303"/>
      <c r="B106" s="303"/>
      <c r="C106" s="303"/>
    </row>
    <row r="107">
      <c r="A107" s="303"/>
      <c r="B107" s="303"/>
      <c r="C107" s="303"/>
    </row>
    <row r="108">
      <c r="A108" s="303"/>
      <c r="B108" s="303"/>
      <c r="C108" s="303"/>
    </row>
    <row r="109">
      <c r="A109" s="303"/>
      <c r="B109" s="303"/>
      <c r="C109" s="303"/>
    </row>
    <row r="110">
      <c r="A110" s="303"/>
      <c r="B110" s="303"/>
      <c r="C110" s="303"/>
    </row>
    <row r="111">
      <c r="A111" s="303"/>
      <c r="B111" s="303"/>
      <c r="C111" s="303"/>
    </row>
    <row r="112">
      <c r="A112" s="303"/>
      <c r="B112" s="303"/>
      <c r="C112" s="303"/>
    </row>
    <row r="113">
      <c r="A113" s="303"/>
      <c r="B113" s="303"/>
      <c r="C113" s="303"/>
    </row>
    <row r="114">
      <c r="A114" s="303"/>
      <c r="B114" s="303"/>
      <c r="C114" s="303"/>
    </row>
    <row r="115">
      <c r="A115" s="303"/>
      <c r="B115" s="303"/>
      <c r="C115" s="303"/>
    </row>
    <row r="116">
      <c r="A116" s="303"/>
      <c r="B116" s="303"/>
      <c r="C116" s="303"/>
    </row>
    <row r="117">
      <c r="A117" s="303"/>
      <c r="B117" s="303"/>
      <c r="C117" s="303"/>
    </row>
    <row r="118">
      <c r="A118" s="303"/>
      <c r="B118" s="303"/>
      <c r="C118" s="303"/>
    </row>
    <row r="119">
      <c r="A119" s="303"/>
      <c r="B119" s="303"/>
      <c r="C119" s="303"/>
    </row>
    <row r="120">
      <c r="A120" s="303"/>
      <c r="B120" s="303"/>
      <c r="C120" s="303"/>
    </row>
    <row r="121">
      <c r="A121" s="303"/>
      <c r="B121" s="303"/>
      <c r="C121" s="303"/>
    </row>
    <row r="122">
      <c r="A122" s="303"/>
      <c r="B122" s="303"/>
      <c r="C122" s="303"/>
    </row>
    <row r="123">
      <c r="A123" s="303"/>
      <c r="B123" s="303"/>
      <c r="C123" s="303"/>
    </row>
    <row r="124">
      <c r="A124" s="303"/>
      <c r="B124" s="303"/>
      <c r="C124" s="303"/>
    </row>
    <row r="125">
      <c r="A125" s="303"/>
      <c r="B125" s="303"/>
      <c r="C125" s="303"/>
    </row>
    <row r="126">
      <c r="A126" s="303"/>
      <c r="B126" s="303"/>
      <c r="C126" s="303"/>
    </row>
    <row r="127">
      <c r="A127" s="303"/>
      <c r="B127" s="303"/>
      <c r="C127" s="303"/>
    </row>
    <row r="128">
      <c r="A128" s="303"/>
      <c r="B128" s="303"/>
      <c r="C128" s="303"/>
    </row>
    <row r="129">
      <c r="A129" s="303"/>
      <c r="B129" s="303"/>
      <c r="C129" s="303"/>
    </row>
    <row r="130">
      <c r="A130" s="303"/>
      <c r="B130" s="303"/>
      <c r="C130" s="303"/>
    </row>
    <row r="131">
      <c r="A131" s="303"/>
      <c r="B131" s="303"/>
      <c r="C131" s="303"/>
    </row>
    <row r="132">
      <c r="A132" s="303"/>
      <c r="B132" s="303"/>
      <c r="C132" s="303"/>
    </row>
    <row r="133">
      <c r="A133" s="303"/>
      <c r="B133" s="303"/>
      <c r="C133" s="303"/>
    </row>
    <row r="134">
      <c r="A134" s="303"/>
      <c r="B134" s="303"/>
      <c r="C134" s="303"/>
    </row>
    <row r="135">
      <c r="A135" s="303"/>
      <c r="B135" s="303"/>
      <c r="C135" s="303"/>
    </row>
    <row r="136">
      <c r="A136" s="303"/>
      <c r="B136" s="303"/>
      <c r="C136" s="303"/>
    </row>
    <row r="137">
      <c r="A137" s="303"/>
      <c r="B137" s="303"/>
      <c r="C137" s="303"/>
    </row>
    <row r="138">
      <c r="A138" s="303"/>
      <c r="B138" s="303"/>
      <c r="C138" s="303"/>
    </row>
    <row r="139">
      <c r="A139" s="303"/>
      <c r="B139" s="303"/>
      <c r="C139" s="303"/>
    </row>
    <row r="140">
      <c r="A140" s="303"/>
      <c r="B140" s="303"/>
      <c r="C140" s="303"/>
    </row>
    <row r="141">
      <c r="A141" s="303"/>
      <c r="B141" s="303"/>
      <c r="C141" s="303"/>
    </row>
    <row r="142">
      <c r="A142" s="303"/>
      <c r="B142" s="303"/>
      <c r="C142" s="303"/>
    </row>
    <row r="143">
      <c r="A143" s="303"/>
      <c r="B143" s="303"/>
      <c r="C143" s="303"/>
    </row>
    <row r="144">
      <c r="A144" s="303"/>
      <c r="B144" s="303"/>
      <c r="C144" s="303"/>
    </row>
    <row r="145">
      <c r="A145" s="303"/>
      <c r="B145" s="303"/>
      <c r="C145" s="303"/>
    </row>
    <row r="146">
      <c r="A146" s="303"/>
      <c r="B146" s="303"/>
      <c r="C146" s="303"/>
    </row>
    <row r="147">
      <c r="A147" s="303"/>
      <c r="B147" s="303"/>
      <c r="C147" s="303"/>
    </row>
    <row r="148">
      <c r="A148" s="303"/>
      <c r="B148" s="303"/>
      <c r="C148" s="303"/>
    </row>
    <row r="149">
      <c r="A149" s="303"/>
      <c r="B149" s="303"/>
      <c r="C149" s="303"/>
    </row>
    <row r="150">
      <c r="A150" s="303"/>
      <c r="B150" s="303"/>
      <c r="C150" s="303"/>
    </row>
    <row r="151">
      <c r="A151" s="303"/>
      <c r="B151" s="303"/>
      <c r="C151" s="303"/>
    </row>
    <row r="152">
      <c r="A152" s="303"/>
      <c r="B152" s="303"/>
      <c r="C152" s="303"/>
    </row>
    <row r="153">
      <c r="A153" s="303"/>
      <c r="B153" s="303"/>
      <c r="C153" s="303"/>
    </row>
    <row r="154">
      <c r="A154" s="303"/>
      <c r="B154" s="303"/>
      <c r="C154" s="303"/>
    </row>
    <row r="155">
      <c r="A155" s="303"/>
      <c r="B155" s="303"/>
      <c r="C155" s="303"/>
    </row>
    <row r="156">
      <c r="A156" s="303"/>
      <c r="B156" s="303"/>
      <c r="C156" s="303"/>
    </row>
    <row r="157">
      <c r="A157" s="303"/>
      <c r="B157" s="303"/>
      <c r="C157" s="303"/>
    </row>
    <row r="158">
      <c r="A158" s="303"/>
      <c r="B158" s="303"/>
      <c r="C158" s="303"/>
    </row>
    <row r="159">
      <c r="A159" s="303"/>
      <c r="B159" s="303"/>
      <c r="C159" s="303"/>
    </row>
    <row r="160">
      <c r="A160" s="303"/>
      <c r="B160" s="303"/>
      <c r="C160" s="303"/>
    </row>
    <row r="161">
      <c r="A161" s="303"/>
      <c r="B161" s="303"/>
      <c r="C161" s="303"/>
    </row>
    <row r="162">
      <c r="A162" s="303"/>
      <c r="B162" s="303"/>
      <c r="C162" s="303"/>
    </row>
    <row r="163">
      <c r="A163" s="303"/>
      <c r="B163" s="303"/>
      <c r="C163" s="303"/>
    </row>
    <row r="164">
      <c r="A164" s="303"/>
      <c r="B164" s="303"/>
      <c r="C164" s="303"/>
    </row>
    <row r="165">
      <c r="A165" s="303"/>
      <c r="B165" s="303"/>
      <c r="C165" s="303"/>
    </row>
    <row r="166">
      <c r="A166" s="303"/>
      <c r="B166" s="303"/>
      <c r="C166" s="303"/>
    </row>
    <row r="167">
      <c r="A167" s="303"/>
      <c r="B167" s="303"/>
      <c r="C167" s="303"/>
    </row>
    <row r="168">
      <c r="A168" s="303"/>
      <c r="B168" s="303"/>
      <c r="C168" s="303"/>
    </row>
    <row r="169">
      <c r="A169" s="303"/>
      <c r="B169" s="303"/>
      <c r="C169" s="303"/>
    </row>
    <row r="170">
      <c r="A170" s="303"/>
      <c r="B170" s="303"/>
      <c r="C170" s="303"/>
    </row>
    <row r="171">
      <c r="A171" s="303"/>
      <c r="B171" s="303"/>
      <c r="C171" s="303"/>
    </row>
    <row r="172">
      <c r="A172" s="303"/>
      <c r="B172" s="303"/>
      <c r="C172" s="303"/>
    </row>
    <row r="173">
      <c r="A173" s="303"/>
      <c r="B173" s="303"/>
      <c r="C173" s="303"/>
    </row>
    <row r="174">
      <c r="A174" s="303"/>
      <c r="B174" s="303"/>
      <c r="C174" s="303"/>
    </row>
    <row r="175">
      <c r="A175" s="303"/>
      <c r="B175" s="303"/>
      <c r="C175" s="303"/>
    </row>
    <row r="176">
      <c r="A176" s="303"/>
      <c r="B176" s="303"/>
      <c r="C176" s="303"/>
    </row>
    <row r="177">
      <c r="A177" s="303"/>
      <c r="B177" s="303"/>
      <c r="C177" s="303"/>
    </row>
    <row r="178">
      <c r="A178" s="303"/>
      <c r="B178" s="303"/>
      <c r="C178" s="303"/>
    </row>
    <row r="179">
      <c r="A179" s="303"/>
      <c r="B179" s="303"/>
      <c r="C179" s="303"/>
    </row>
    <row r="180">
      <c r="A180" s="303"/>
      <c r="B180" s="303"/>
      <c r="C180" s="303"/>
    </row>
    <row r="181">
      <c r="A181" s="303"/>
      <c r="B181" s="303"/>
      <c r="C181" s="303"/>
    </row>
    <row r="182">
      <c r="A182" s="303"/>
      <c r="B182" s="303"/>
      <c r="C182" s="303"/>
    </row>
    <row r="183">
      <c r="A183" s="303"/>
      <c r="B183" s="303"/>
      <c r="C183" s="303"/>
    </row>
    <row r="184">
      <c r="A184" s="303"/>
      <c r="B184" s="303"/>
      <c r="C184" s="303"/>
    </row>
    <row r="185">
      <c r="A185" s="303"/>
      <c r="B185" s="303"/>
      <c r="C185" s="303"/>
    </row>
    <row r="186">
      <c r="A186" s="303"/>
      <c r="B186" s="303"/>
      <c r="C186" s="303"/>
    </row>
    <row r="187">
      <c r="A187" s="303"/>
      <c r="B187" s="303"/>
      <c r="C187" s="303"/>
    </row>
    <row r="188">
      <c r="A188" s="303"/>
      <c r="B188" s="303"/>
      <c r="C188" s="303"/>
    </row>
    <row r="189">
      <c r="A189" s="303"/>
      <c r="B189" s="303"/>
      <c r="C189" s="303"/>
    </row>
    <row r="190">
      <c r="A190" s="303"/>
      <c r="B190" s="303"/>
      <c r="C190" s="303"/>
    </row>
    <row r="191">
      <c r="A191" s="303"/>
      <c r="B191" s="303"/>
      <c r="C191" s="303"/>
    </row>
    <row r="192">
      <c r="A192" s="303"/>
      <c r="B192" s="303"/>
      <c r="C192" s="303"/>
    </row>
    <row r="193">
      <c r="A193" s="303"/>
      <c r="B193" s="303"/>
      <c r="C193" s="303"/>
    </row>
    <row r="194">
      <c r="A194" s="303"/>
      <c r="B194" s="303"/>
      <c r="C194" s="303"/>
    </row>
    <row r="195">
      <c r="A195" s="303"/>
      <c r="B195" s="303"/>
      <c r="C195" s="303"/>
    </row>
    <row r="196">
      <c r="A196" s="303"/>
      <c r="B196" s="303"/>
      <c r="C196" s="303"/>
    </row>
    <row r="197">
      <c r="A197" s="303"/>
      <c r="B197" s="303"/>
      <c r="C197" s="303"/>
    </row>
    <row r="198">
      <c r="A198" s="303"/>
      <c r="B198" s="303"/>
      <c r="C198" s="303"/>
    </row>
    <row r="199">
      <c r="A199" s="303"/>
      <c r="B199" s="303"/>
      <c r="C199" s="303"/>
    </row>
    <row r="200">
      <c r="A200" s="303"/>
      <c r="B200" s="303"/>
      <c r="C200" s="303"/>
    </row>
    <row r="201">
      <c r="A201" s="303"/>
      <c r="B201" s="303"/>
      <c r="C201" s="303"/>
    </row>
    <row r="202">
      <c r="A202" s="303"/>
      <c r="B202" s="303"/>
      <c r="C202" s="303"/>
    </row>
    <row r="203">
      <c r="A203" s="303"/>
      <c r="B203" s="303"/>
      <c r="C203" s="303"/>
    </row>
    <row r="204">
      <c r="A204" s="303"/>
      <c r="B204" s="303"/>
      <c r="C204" s="303"/>
    </row>
    <row r="205">
      <c r="A205" s="303"/>
      <c r="B205" s="303"/>
      <c r="C205" s="303"/>
    </row>
    <row r="206">
      <c r="A206" s="303"/>
      <c r="B206" s="303"/>
      <c r="C206" s="303"/>
    </row>
    <row r="207">
      <c r="A207" s="303"/>
      <c r="B207" s="303"/>
      <c r="C207" s="303"/>
    </row>
    <row r="208">
      <c r="A208" s="303"/>
      <c r="B208" s="303"/>
      <c r="C208" s="303"/>
    </row>
    <row r="209">
      <c r="A209" s="303"/>
      <c r="B209" s="303"/>
      <c r="C209" s="303"/>
    </row>
    <row r="210">
      <c r="A210" s="303"/>
      <c r="B210" s="303"/>
      <c r="C210" s="303"/>
    </row>
    <row r="211">
      <c r="A211" s="303"/>
      <c r="B211" s="303"/>
      <c r="C211" s="303"/>
    </row>
    <row r="212">
      <c r="A212" s="303"/>
      <c r="B212" s="303"/>
      <c r="C212" s="303"/>
    </row>
    <row r="213">
      <c r="A213" s="303"/>
      <c r="B213" s="303"/>
      <c r="C213" s="303"/>
    </row>
    <row r="214">
      <c r="A214" s="303"/>
      <c r="B214" s="303"/>
      <c r="C214" s="303"/>
    </row>
    <row r="215">
      <c r="A215" s="303"/>
      <c r="B215" s="303"/>
      <c r="C215" s="303"/>
    </row>
    <row r="216">
      <c r="A216" s="303"/>
      <c r="B216" s="303"/>
      <c r="C216" s="303"/>
    </row>
    <row r="217">
      <c r="A217" s="303"/>
      <c r="B217" s="303"/>
      <c r="C217" s="303"/>
    </row>
    <row r="218">
      <c r="A218" s="303"/>
      <c r="B218" s="303"/>
      <c r="C218" s="303"/>
    </row>
    <row r="219">
      <c r="A219" s="303"/>
      <c r="B219" s="303"/>
      <c r="C219" s="303"/>
    </row>
    <row r="220">
      <c r="A220" s="303"/>
      <c r="B220" s="303"/>
      <c r="C220" s="303"/>
    </row>
    <row r="221">
      <c r="A221" s="303"/>
      <c r="B221" s="303"/>
      <c r="C221" s="303"/>
    </row>
    <row r="222">
      <c r="A222" s="303"/>
      <c r="B222" s="303"/>
      <c r="C222" s="303"/>
    </row>
    <row r="223">
      <c r="A223" s="303"/>
      <c r="B223" s="303"/>
      <c r="C223" s="303"/>
    </row>
    <row r="224">
      <c r="A224" s="303"/>
      <c r="B224" s="303"/>
      <c r="C224" s="303"/>
    </row>
    <row r="225">
      <c r="A225" s="303"/>
      <c r="B225" s="303"/>
      <c r="C225" s="303"/>
    </row>
    <row r="226">
      <c r="A226" s="303"/>
      <c r="B226" s="303"/>
      <c r="C226" s="303"/>
    </row>
    <row r="227">
      <c r="A227" s="303"/>
      <c r="B227" s="303"/>
      <c r="C227" s="303"/>
    </row>
    <row r="228">
      <c r="A228" s="303"/>
      <c r="B228" s="303"/>
      <c r="C228" s="303"/>
    </row>
    <row r="229">
      <c r="A229" s="303"/>
      <c r="B229" s="303"/>
      <c r="C229" s="303"/>
    </row>
    <row r="230">
      <c r="A230" s="303"/>
      <c r="B230" s="303"/>
      <c r="C230" s="303"/>
    </row>
    <row r="231">
      <c r="A231" s="303"/>
      <c r="B231" s="303"/>
      <c r="C231" s="303"/>
    </row>
    <row r="232">
      <c r="A232" s="303"/>
      <c r="B232" s="303"/>
      <c r="C232" s="303"/>
    </row>
    <row r="233">
      <c r="A233" s="303"/>
      <c r="B233" s="303"/>
      <c r="C233" s="303"/>
    </row>
    <row r="234">
      <c r="A234" s="303"/>
      <c r="B234" s="303"/>
      <c r="C234" s="303"/>
    </row>
    <row r="235">
      <c r="A235" s="303"/>
      <c r="B235" s="303"/>
      <c r="C235" s="303"/>
    </row>
    <row r="236">
      <c r="A236" s="303"/>
      <c r="B236" s="303"/>
      <c r="C236" s="303"/>
    </row>
    <row r="237">
      <c r="A237" s="303"/>
      <c r="B237" s="303"/>
      <c r="C237" s="303"/>
    </row>
    <row r="238">
      <c r="A238" s="303"/>
      <c r="B238" s="303"/>
      <c r="C238" s="303"/>
    </row>
    <row r="239">
      <c r="A239" s="303"/>
      <c r="B239" s="303"/>
      <c r="C239" s="303"/>
    </row>
    <row r="240">
      <c r="A240" s="303"/>
      <c r="B240" s="303"/>
      <c r="C240" s="303"/>
    </row>
    <row r="241">
      <c r="A241" s="303"/>
      <c r="B241" s="303"/>
      <c r="C241" s="303"/>
    </row>
    <row r="242">
      <c r="A242" s="303"/>
      <c r="B242" s="303"/>
      <c r="C242" s="303"/>
    </row>
    <row r="243">
      <c r="A243" s="303"/>
      <c r="B243" s="303"/>
      <c r="C243" s="303"/>
    </row>
    <row r="244">
      <c r="A244" s="303"/>
      <c r="B244" s="303"/>
      <c r="C244" s="303"/>
    </row>
    <row r="245">
      <c r="A245" s="303"/>
      <c r="B245" s="303"/>
      <c r="C245" s="303"/>
    </row>
    <row r="246">
      <c r="A246" s="303"/>
      <c r="B246" s="303"/>
      <c r="C246" s="303"/>
    </row>
    <row r="247">
      <c r="A247" s="303"/>
      <c r="B247" s="303"/>
      <c r="C247" s="303"/>
    </row>
    <row r="248">
      <c r="A248" s="303"/>
      <c r="B248" s="303"/>
      <c r="C248" s="303"/>
    </row>
    <row r="249">
      <c r="A249" s="303"/>
      <c r="B249" s="303"/>
      <c r="C249" s="303"/>
    </row>
    <row r="250">
      <c r="A250" s="303"/>
      <c r="B250" s="303"/>
      <c r="C250" s="303"/>
    </row>
    <row r="251">
      <c r="A251" s="303"/>
      <c r="B251" s="303"/>
      <c r="C251" s="303"/>
    </row>
    <row r="252">
      <c r="A252" s="303"/>
      <c r="B252" s="303"/>
      <c r="C252" s="303"/>
    </row>
    <row r="253">
      <c r="A253" s="303"/>
      <c r="B253" s="303"/>
      <c r="C253" s="303"/>
    </row>
    <row r="254">
      <c r="A254" s="303"/>
      <c r="B254" s="303"/>
      <c r="C254" s="303"/>
    </row>
    <row r="255">
      <c r="A255" s="303"/>
      <c r="B255" s="303"/>
      <c r="C255" s="303"/>
    </row>
    <row r="256">
      <c r="A256" s="303"/>
      <c r="B256" s="303"/>
      <c r="C256" s="303"/>
    </row>
    <row r="257">
      <c r="A257" s="303"/>
      <c r="B257" s="303"/>
      <c r="C257" s="303"/>
    </row>
    <row r="258">
      <c r="A258" s="303"/>
      <c r="B258" s="303"/>
      <c r="C258" s="303"/>
    </row>
    <row r="259">
      <c r="A259" s="303"/>
      <c r="B259" s="303"/>
      <c r="C259" s="303"/>
    </row>
    <row r="260">
      <c r="A260" s="303"/>
      <c r="B260" s="303"/>
      <c r="C260" s="303"/>
    </row>
    <row r="261">
      <c r="A261" s="303"/>
      <c r="B261" s="303"/>
      <c r="C261" s="303"/>
    </row>
    <row r="262">
      <c r="A262" s="303"/>
      <c r="B262" s="303"/>
      <c r="C262" s="303"/>
    </row>
    <row r="263">
      <c r="A263" s="303"/>
      <c r="B263" s="303"/>
      <c r="C263" s="303"/>
    </row>
    <row r="264">
      <c r="A264" s="303"/>
      <c r="B264" s="303"/>
      <c r="C264" s="303"/>
    </row>
    <row r="265">
      <c r="A265" s="303"/>
      <c r="B265" s="303"/>
      <c r="C265" s="303"/>
    </row>
    <row r="266">
      <c r="A266" s="303"/>
      <c r="B266" s="303"/>
      <c r="C266" s="303"/>
    </row>
    <row r="267">
      <c r="A267" s="303"/>
      <c r="B267" s="303"/>
      <c r="C267" s="303"/>
    </row>
    <row r="268">
      <c r="A268" s="303"/>
      <c r="B268" s="303"/>
      <c r="C268" s="303"/>
    </row>
    <row r="269">
      <c r="A269" s="303"/>
      <c r="B269" s="303"/>
      <c r="C269" s="303"/>
    </row>
    <row r="270">
      <c r="A270" s="303"/>
      <c r="B270" s="303"/>
      <c r="C270" s="303"/>
    </row>
    <row r="271">
      <c r="A271" s="303"/>
      <c r="B271" s="303"/>
      <c r="C271" s="303"/>
    </row>
    <row r="272">
      <c r="A272" s="303"/>
      <c r="B272" s="303"/>
      <c r="C272" s="303"/>
    </row>
    <row r="273">
      <c r="A273" s="303"/>
      <c r="B273" s="303"/>
      <c r="C273" s="303"/>
    </row>
    <row r="274">
      <c r="A274" s="303"/>
      <c r="B274" s="303"/>
      <c r="C274" s="303"/>
    </row>
    <row r="275">
      <c r="A275" s="303"/>
      <c r="B275" s="303"/>
      <c r="C275" s="303"/>
    </row>
    <row r="276">
      <c r="A276" s="303"/>
      <c r="B276" s="303"/>
      <c r="C276" s="303"/>
    </row>
    <row r="277">
      <c r="A277" s="303"/>
      <c r="B277" s="303"/>
      <c r="C277" s="303"/>
    </row>
    <row r="278">
      <c r="A278" s="303"/>
      <c r="B278" s="303"/>
      <c r="C278" s="303"/>
    </row>
    <row r="279">
      <c r="A279" s="303"/>
      <c r="B279" s="303"/>
      <c r="C279" s="303"/>
    </row>
    <row r="280">
      <c r="A280" s="303"/>
      <c r="B280" s="303"/>
      <c r="C280" s="303"/>
    </row>
    <row r="281">
      <c r="A281" s="303"/>
      <c r="B281" s="303"/>
      <c r="C281" s="303"/>
    </row>
    <row r="282">
      <c r="A282" s="303"/>
      <c r="B282" s="303"/>
      <c r="C282" s="303"/>
    </row>
    <row r="283">
      <c r="A283" s="303"/>
      <c r="B283" s="303"/>
      <c r="C283" s="303"/>
    </row>
    <row r="284">
      <c r="A284" s="303"/>
      <c r="B284" s="303"/>
      <c r="C284" s="303"/>
    </row>
    <row r="285">
      <c r="A285" s="303"/>
      <c r="B285" s="303"/>
      <c r="C285" s="303"/>
    </row>
    <row r="286">
      <c r="A286" s="303"/>
      <c r="B286" s="303"/>
      <c r="C286" s="303"/>
    </row>
    <row r="287">
      <c r="A287" s="303"/>
      <c r="B287" s="303"/>
      <c r="C287" s="303"/>
    </row>
    <row r="288">
      <c r="A288" s="303"/>
      <c r="B288" s="303"/>
      <c r="C288" s="303"/>
    </row>
    <row r="289">
      <c r="A289" s="303"/>
      <c r="B289" s="303"/>
      <c r="C289" s="303"/>
    </row>
    <row r="290">
      <c r="A290" s="303"/>
      <c r="B290" s="303"/>
      <c r="C290" s="303"/>
    </row>
    <row r="291">
      <c r="A291" s="303"/>
      <c r="B291" s="303"/>
      <c r="C291" s="303"/>
    </row>
    <row r="292">
      <c r="A292" s="303"/>
      <c r="B292" s="303"/>
      <c r="C292" s="303"/>
    </row>
    <row r="293">
      <c r="A293" s="303"/>
      <c r="B293" s="303"/>
      <c r="C293" s="303"/>
    </row>
    <row r="294">
      <c r="A294" s="303"/>
      <c r="B294" s="303"/>
      <c r="C294" s="303"/>
    </row>
    <row r="295">
      <c r="A295" s="303"/>
      <c r="B295" s="303"/>
      <c r="C295" s="303"/>
    </row>
    <row r="296">
      <c r="A296" s="303"/>
      <c r="B296" s="303"/>
      <c r="C296" s="303"/>
    </row>
    <row r="297">
      <c r="A297" s="303"/>
      <c r="B297" s="303"/>
      <c r="C297" s="303"/>
    </row>
    <row r="298">
      <c r="A298" s="303"/>
      <c r="B298" s="303"/>
      <c r="C298" s="303"/>
    </row>
    <row r="299">
      <c r="A299" s="303"/>
      <c r="B299" s="303"/>
      <c r="C299" s="303"/>
    </row>
    <row r="300">
      <c r="A300" s="303"/>
      <c r="B300" s="303"/>
      <c r="C300" s="303"/>
    </row>
    <row r="301">
      <c r="A301" s="303"/>
      <c r="B301" s="303"/>
      <c r="C301" s="303"/>
    </row>
    <row r="302">
      <c r="A302" s="303"/>
      <c r="B302" s="303"/>
      <c r="C302" s="303"/>
    </row>
    <row r="303">
      <c r="A303" s="303"/>
      <c r="B303" s="303"/>
      <c r="C303" s="303"/>
    </row>
    <row r="304">
      <c r="A304" s="303"/>
      <c r="B304" s="303"/>
      <c r="C304" s="303"/>
    </row>
    <row r="305">
      <c r="A305" s="303"/>
      <c r="B305" s="303"/>
      <c r="C305" s="303"/>
    </row>
    <row r="306">
      <c r="A306" s="303"/>
      <c r="B306" s="303"/>
      <c r="C306" s="303"/>
    </row>
    <row r="307">
      <c r="A307" s="303"/>
      <c r="B307" s="303"/>
      <c r="C307" s="303"/>
    </row>
    <row r="308">
      <c r="A308" s="303"/>
      <c r="B308" s="303"/>
      <c r="C308" s="303"/>
    </row>
    <row r="309">
      <c r="A309" s="303"/>
      <c r="B309" s="303"/>
      <c r="C309" s="303"/>
    </row>
    <row r="310">
      <c r="A310" s="303"/>
      <c r="B310" s="303"/>
      <c r="C310" s="303"/>
    </row>
    <row r="311">
      <c r="A311" s="303"/>
      <c r="B311" s="303"/>
      <c r="C311" s="303"/>
    </row>
    <row r="312">
      <c r="A312" s="303"/>
      <c r="B312" s="303"/>
      <c r="C312" s="303"/>
    </row>
    <row r="313">
      <c r="A313" s="303"/>
      <c r="B313" s="303"/>
      <c r="C313" s="303"/>
    </row>
    <row r="314">
      <c r="A314" s="303"/>
      <c r="B314" s="303"/>
      <c r="C314" s="303"/>
    </row>
    <row r="315">
      <c r="A315" s="303"/>
      <c r="B315" s="303"/>
      <c r="C315" s="303"/>
    </row>
    <row r="316">
      <c r="A316" s="303"/>
      <c r="B316" s="303"/>
      <c r="C316" s="303"/>
    </row>
    <row r="317">
      <c r="A317" s="303"/>
      <c r="B317" s="303"/>
      <c r="C317" s="303"/>
    </row>
    <row r="318">
      <c r="A318" s="303"/>
      <c r="B318" s="303"/>
      <c r="C318" s="303"/>
    </row>
    <row r="319">
      <c r="A319" s="303"/>
      <c r="B319" s="303"/>
      <c r="C319" s="303"/>
    </row>
    <row r="320">
      <c r="A320" s="303"/>
      <c r="B320" s="303"/>
      <c r="C320" s="303"/>
    </row>
    <row r="321">
      <c r="A321" s="303"/>
      <c r="B321" s="303"/>
      <c r="C321" s="303"/>
    </row>
    <row r="322">
      <c r="A322" s="303"/>
      <c r="B322" s="303"/>
      <c r="C322" s="303"/>
    </row>
    <row r="323">
      <c r="A323" s="303"/>
      <c r="B323" s="303"/>
      <c r="C323" s="303"/>
    </row>
    <row r="324">
      <c r="A324" s="303"/>
      <c r="B324" s="303"/>
      <c r="C324" s="303"/>
    </row>
    <row r="325">
      <c r="A325" s="303"/>
      <c r="B325" s="303"/>
      <c r="C325" s="303"/>
    </row>
    <row r="326">
      <c r="A326" s="303"/>
      <c r="B326" s="303"/>
      <c r="C326" s="303"/>
    </row>
    <row r="327">
      <c r="A327" s="303"/>
      <c r="B327" s="303"/>
      <c r="C327" s="303"/>
    </row>
    <row r="328">
      <c r="A328" s="303"/>
      <c r="B328" s="303"/>
      <c r="C328" s="303"/>
    </row>
    <row r="329">
      <c r="A329" s="303"/>
      <c r="B329" s="303"/>
      <c r="C329" s="303"/>
    </row>
    <row r="330">
      <c r="A330" s="303"/>
      <c r="B330" s="303"/>
      <c r="C330" s="303"/>
    </row>
    <row r="331">
      <c r="A331" s="303"/>
      <c r="B331" s="303"/>
      <c r="C331" s="303"/>
    </row>
    <row r="332">
      <c r="A332" s="303"/>
      <c r="B332" s="303"/>
      <c r="C332" s="303"/>
    </row>
    <row r="333">
      <c r="A333" s="303"/>
      <c r="B333" s="303"/>
      <c r="C333" s="303"/>
    </row>
    <row r="334">
      <c r="A334" s="303"/>
      <c r="B334" s="303"/>
      <c r="C334" s="303"/>
    </row>
    <row r="335">
      <c r="A335" s="303"/>
      <c r="B335" s="303"/>
      <c r="C335" s="303"/>
    </row>
    <row r="336">
      <c r="A336" s="303"/>
      <c r="B336" s="303"/>
      <c r="C336" s="303"/>
    </row>
    <row r="337">
      <c r="A337" s="303"/>
      <c r="B337" s="303"/>
      <c r="C337" s="303"/>
    </row>
    <row r="338">
      <c r="A338" s="303"/>
      <c r="B338" s="303"/>
      <c r="C338" s="303"/>
    </row>
    <row r="339">
      <c r="A339" s="303"/>
      <c r="B339" s="303"/>
      <c r="C339" s="303"/>
    </row>
    <row r="340">
      <c r="A340" s="303"/>
      <c r="B340" s="303"/>
      <c r="C340" s="303"/>
    </row>
    <row r="341">
      <c r="A341" s="303"/>
      <c r="B341" s="303"/>
      <c r="C341" s="303"/>
    </row>
    <row r="342">
      <c r="A342" s="303"/>
      <c r="B342" s="303"/>
      <c r="C342" s="303"/>
    </row>
    <row r="343">
      <c r="A343" s="303"/>
      <c r="B343" s="303"/>
      <c r="C343" s="303"/>
    </row>
    <row r="344">
      <c r="A344" s="303"/>
      <c r="B344" s="303"/>
      <c r="C344" s="303"/>
    </row>
    <row r="345">
      <c r="A345" s="303"/>
      <c r="B345" s="303"/>
      <c r="C345" s="303"/>
    </row>
    <row r="346">
      <c r="A346" s="303"/>
      <c r="B346" s="303"/>
      <c r="C346" s="303"/>
    </row>
    <row r="347">
      <c r="A347" s="303"/>
      <c r="B347" s="303"/>
      <c r="C347" s="303"/>
    </row>
    <row r="348">
      <c r="A348" s="303"/>
      <c r="B348" s="303"/>
      <c r="C348" s="303"/>
    </row>
    <row r="349">
      <c r="A349" s="303"/>
      <c r="B349" s="303"/>
      <c r="C349" s="303"/>
    </row>
    <row r="350">
      <c r="A350" s="303"/>
      <c r="B350" s="303"/>
      <c r="C350" s="303"/>
    </row>
    <row r="351">
      <c r="A351" s="303"/>
      <c r="B351" s="303"/>
      <c r="C351" s="303"/>
    </row>
    <row r="352">
      <c r="A352" s="303"/>
      <c r="B352" s="303"/>
      <c r="C352" s="303"/>
    </row>
    <row r="353">
      <c r="A353" s="303"/>
      <c r="B353" s="303"/>
      <c r="C353" s="303"/>
    </row>
    <row r="354">
      <c r="A354" s="303"/>
      <c r="B354" s="303"/>
      <c r="C354" s="303"/>
    </row>
    <row r="355">
      <c r="A355" s="303"/>
      <c r="B355" s="303"/>
      <c r="C355" s="303"/>
    </row>
    <row r="356">
      <c r="A356" s="303"/>
      <c r="B356" s="303"/>
      <c r="C356" s="303"/>
    </row>
    <row r="357">
      <c r="A357" s="303"/>
      <c r="B357" s="303"/>
      <c r="C357" s="303"/>
    </row>
    <row r="358">
      <c r="A358" s="303"/>
      <c r="B358" s="303"/>
      <c r="C358" s="303"/>
    </row>
    <row r="359">
      <c r="A359" s="303"/>
      <c r="B359" s="303"/>
      <c r="C359" s="303"/>
    </row>
    <row r="360">
      <c r="A360" s="303"/>
      <c r="B360" s="303"/>
      <c r="C360" s="303"/>
    </row>
    <row r="361">
      <c r="A361" s="303"/>
      <c r="B361" s="303"/>
      <c r="C361" s="303"/>
    </row>
    <row r="362">
      <c r="A362" s="303"/>
      <c r="B362" s="303"/>
      <c r="C362" s="303"/>
    </row>
    <row r="363">
      <c r="A363" s="303"/>
      <c r="B363" s="303"/>
      <c r="C363" s="303"/>
    </row>
    <row r="364">
      <c r="A364" s="303"/>
      <c r="B364" s="303"/>
      <c r="C364" s="303"/>
    </row>
    <row r="365">
      <c r="A365" s="303"/>
      <c r="B365" s="303"/>
      <c r="C365" s="303"/>
    </row>
    <row r="366">
      <c r="A366" s="303"/>
      <c r="B366" s="303"/>
      <c r="C366" s="303"/>
    </row>
    <row r="367">
      <c r="A367" s="303"/>
      <c r="B367" s="303"/>
      <c r="C367" s="303"/>
    </row>
    <row r="368">
      <c r="A368" s="303"/>
      <c r="B368" s="303"/>
      <c r="C368" s="303"/>
    </row>
    <row r="369">
      <c r="A369" s="303"/>
      <c r="B369" s="303"/>
      <c r="C369" s="303"/>
    </row>
    <row r="370">
      <c r="A370" s="303"/>
      <c r="B370" s="303"/>
      <c r="C370" s="303"/>
    </row>
    <row r="371">
      <c r="A371" s="303"/>
      <c r="B371" s="303"/>
      <c r="C371" s="303"/>
    </row>
    <row r="372">
      <c r="A372" s="303"/>
      <c r="B372" s="303"/>
      <c r="C372" s="303"/>
    </row>
    <row r="373">
      <c r="A373" s="303"/>
      <c r="B373" s="303"/>
      <c r="C373" s="303"/>
    </row>
    <row r="374">
      <c r="A374" s="303"/>
      <c r="B374" s="303"/>
      <c r="C374" s="303"/>
    </row>
    <row r="375">
      <c r="A375" s="303"/>
      <c r="B375" s="303"/>
      <c r="C375" s="303"/>
    </row>
    <row r="376">
      <c r="A376" s="303"/>
      <c r="B376" s="303"/>
      <c r="C376" s="303"/>
    </row>
    <row r="377">
      <c r="A377" s="303"/>
      <c r="B377" s="303"/>
      <c r="C377" s="303"/>
    </row>
    <row r="378">
      <c r="A378" s="303"/>
      <c r="B378" s="303"/>
      <c r="C378" s="303"/>
    </row>
    <row r="379">
      <c r="A379" s="303"/>
      <c r="B379" s="303"/>
      <c r="C379" s="303"/>
    </row>
    <row r="380">
      <c r="A380" s="303"/>
      <c r="B380" s="303"/>
      <c r="C380" s="303"/>
    </row>
    <row r="381">
      <c r="A381" s="303"/>
      <c r="B381" s="303"/>
      <c r="C381" s="303"/>
    </row>
    <row r="382">
      <c r="A382" s="303"/>
      <c r="B382" s="303"/>
      <c r="C382" s="303"/>
    </row>
    <row r="383">
      <c r="A383" s="303"/>
      <c r="B383" s="303"/>
      <c r="C383" s="303"/>
    </row>
    <row r="384">
      <c r="A384" s="303"/>
      <c r="B384" s="303"/>
      <c r="C384" s="303"/>
    </row>
    <row r="385">
      <c r="A385" s="303"/>
      <c r="B385" s="303"/>
      <c r="C385" s="303"/>
    </row>
    <row r="386">
      <c r="A386" s="303"/>
      <c r="B386" s="303"/>
      <c r="C386" s="303"/>
    </row>
    <row r="387">
      <c r="A387" s="303"/>
      <c r="B387" s="303"/>
      <c r="C387" s="303"/>
    </row>
    <row r="388">
      <c r="A388" s="303"/>
      <c r="B388" s="303"/>
      <c r="C388" s="303"/>
    </row>
    <row r="389">
      <c r="A389" s="303"/>
      <c r="B389" s="303"/>
      <c r="C389" s="303"/>
    </row>
    <row r="390">
      <c r="A390" s="303"/>
      <c r="B390" s="303"/>
      <c r="C390" s="303"/>
    </row>
    <row r="391">
      <c r="A391" s="303"/>
      <c r="B391" s="303"/>
      <c r="C391" s="303"/>
    </row>
    <row r="392">
      <c r="A392" s="303"/>
      <c r="B392" s="303"/>
      <c r="C392" s="303"/>
    </row>
    <row r="393">
      <c r="A393" s="303"/>
      <c r="B393" s="303"/>
      <c r="C393" s="303"/>
    </row>
    <row r="394">
      <c r="A394" s="303"/>
      <c r="B394" s="303"/>
      <c r="C394" s="303"/>
    </row>
    <row r="395">
      <c r="A395" s="303"/>
      <c r="B395" s="303"/>
      <c r="C395" s="303"/>
    </row>
    <row r="396">
      <c r="A396" s="303"/>
      <c r="B396" s="303"/>
      <c r="C396" s="303"/>
    </row>
    <row r="397">
      <c r="A397" s="303"/>
      <c r="B397" s="303"/>
      <c r="C397" s="303"/>
    </row>
    <row r="398">
      <c r="A398" s="303"/>
      <c r="B398" s="303"/>
      <c r="C398" s="303"/>
    </row>
    <row r="399">
      <c r="A399" s="303"/>
      <c r="B399" s="303"/>
      <c r="C399" s="303"/>
    </row>
    <row r="400">
      <c r="A400" s="303"/>
      <c r="B400" s="303"/>
      <c r="C400" s="303"/>
    </row>
    <row r="401">
      <c r="A401" s="303"/>
      <c r="B401" s="303"/>
      <c r="C401" s="303"/>
    </row>
    <row r="402">
      <c r="A402" s="303"/>
      <c r="B402" s="303"/>
      <c r="C402" s="303"/>
    </row>
    <row r="403">
      <c r="A403" s="303"/>
      <c r="B403" s="303"/>
      <c r="C403" s="303"/>
    </row>
    <row r="404">
      <c r="A404" s="303"/>
      <c r="B404" s="303"/>
      <c r="C404" s="303"/>
    </row>
    <row r="405">
      <c r="A405" s="303"/>
      <c r="B405" s="303"/>
      <c r="C405" s="303"/>
    </row>
    <row r="406">
      <c r="A406" s="303"/>
      <c r="B406" s="303"/>
      <c r="C406" s="303"/>
    </row>
    <row r="407">
      <c r="A407" s="303"/>
      <c r="B407" s="303"/>
      <c r="C407" s="303"/>
    </row>
    <row r="408">
      <c r="A408" s="303"/>
      <c r="B408" s="303"/>
      <c r="C408" s="303"/>
    </row>
    <row r="409">
      <c r="A409" s="303"/>
      <c r="B409" s="303"/>
      <c r="C409" s="303"/>
    </row>
    <row r="410">
      <c r="A410" s="303"/>
      <c r="B410" s="303"/>
      <c r="C410" s="303"/>
    </row>
    <row r="411">
      <c r="A411" s="303"/>
      <c r="B411" s="303"/>
      <c r="C411" s="303"/>
    </row>
    <row r="412">
      <c r="A412" s="303"/>
      <c r="B412" s="303"/>
      <c r="C412" s="303"/>
    </row>
    <row r="413">
      <c r="A413" s="303"/>
      <c r="B413" s="303"/>
      <c r="C413" s="303"/>
    </row>
    <row r="414">
      <c r="A414" s="303"/>
      <c r="B414" s="303"/>
      <c r="C414" s="303"/>
    </row>
    <row r="415">
      <c r="A415" s="303"/>
      <c r="B415" s="303"/>
      <c r="C415" s="303"/>
    </row>
    <row r="416">
      <c r="A416" s="303"/>
      <c r="B416" s="303"/>
      <c r="C416" s="303"/>
    </row>
    <row r="417">
      <c r="A417" s="303"/>
      <c r="B417" s="303"/>
      <c r="C417" s="303"/>
    </row>
    <row r="418">
      <c r="A418" s="303"/>
      <c r="B418" s="303"/>
      <c r="C418" s="303"/>
    </row>
    <row r="419">
      <c r="A419" s="303"/>
      <c r="B419" s="303"/>
      <c r="C419" s="303"/>
    </row>
    <row r="420">
      <c r="A420" s="303"/>
      <c r="B420" s="303"/>
      <c r="C420" s="303"/>
    </row>
    <row r="421">
      <c r="A421" s="303"/>
      <c r="B421" s="303"/>
      <c r="C421" s="303"/>
    </row>
    <row r="422">
      <c r="A422" s="303"/>
      <c r="B422" s="303"/>
      <c r="C422" s="303"/>
    </row>
    <row r="423">
      <c r="A423" s="303"/>
      <c r="B423" s="303"/>
      <c r="C423" s="303"/>
    </row>
    <row r="424">
      <c r="A424" s="303"/>
      <c r="B424" s="303"/>
      <c r="C424" s="303"/>
    </row>
    <row r="425">
      <c r="A425" s="303"/>
      <c r="B425" s="303"/>
      <c r="C425" s="303"/>
    </row>
    <row r="426">
      <c r="A426" s="303"/>
      <c r="B426" s="303"/>
      <c r="C426" s="303"/>
    </row>
    <row r="427">
      <c r="A427" s="303"/>
      <c r="B427" s="303"/>
      <c r="C427" s="303"/>
    </row>
    <row r="428">
      <c r="A428" s="303"/>
      <c r="B428" s="303"/>
      <c r="C428" s="303"/>
    </row>
    <row r="429">
      <c r="A429" s="303"/>
      <c r="B429" s="303"/>
      <c r="C429" s="303"/>
    </row>
    <row r="430">
      <c r="A430" s="303"/>
      <c r="B430" s="303"/>
      <c r="C430" s="303"/>
    </row>
    <row r="431">
      <c r="A431" s="303"/>
      <c r="B431" s="303"/>
      <c r="C431" s="303"/>
    </row>
    <row r="432">
      <c r="A432" s="303"/>
      <c r="B432" s="303"/>
      <c r="C432" s="303"/>
    </row>
    <row r="433">
      <c r="A433" s="303"/>
      <c r="B433" s="303"/>
      <c r="C433" s="303"/>
    </row>
    <row r="434">
      <c r="A434" s="303"/>
      <c r="B434" s="303"/>
      <c r="C434" s="303"/>
    </row>
    <row r="435">
      <c r="A435" s="303"/>
      <c r="B435" s="303"/>
      <c r="C435" s="303"/>
    </row>
    <row r="436">
      <c r="A436" s="303"/>
      <c r="B436" s="303"/>
      <c r="C436" s="303"/>
    </row>
    <row r="437">
      <c r="A437" s="303"/>
      <c r="B437" s="303"/>
      <c r="C437" s="303"/>
    </row>
    <row r="438">
      <c r="A438" s="303"/>
      <c r="B438" s="303"/>
      <c r="C438" s="303"/>
    </row>
    <row r="439">
      <c r="A439" s="303"/>
      <c r="B439" s="303"/>
      <c r="C439" s="303"/>
    </row>
    <row r="440">
      <c r="A440" s="303"/>
      <c r="B440" s="303"/>
      <c r="C440" s="303"/>
    </row>
    <row r="441">
      <c r="A441" s="303"/>
      <c r="B441" s="303"/>
      <c r="C441" s="303"/>
    </row>
    <row r="442">
      <c r="A442" s="303"/>
      <c r="B442" s="303"/>
      <c r="C442" s="303"/>
    </row>
    <row r="443">
      <c r="A443" s="303"/>
      <c r="B443" s="303"/>
      <c r="C443" s="303"/>
    </row>
    <row r="444">
      <c r="A444" s="303"/>
      <c r="B444" s="303"/>
      <c r="C444" s="303"/>
    </row>
    <row r="445">
      <c r="A445" s="303"/>
      <c r="B445" s="303"/>
      <c r="C445" s="303"/>
    </row>
    <row r="446">
      <c r="A446" s="303"/>
      <c r="B446" s="303"/>
      <c r="C446" s="303"/>
    </row>
    <row r="447">
      <c r="A447" s="303"/>
      <c r="B447" s="303"/>
      <c r="C447" s="303"/>
    </row>
    <row r="448">
      <c r="A448" s="303"/>
      <c r="B448" s="303"/>
      <c r="C448" s="303"/>
    </row>
    <row r="449">
      <c r="A449" s="303"/>
      <c r="B449" s="303"/>
      <c r="C449" s="303"/>
    </row>
    <row r="450">
      <c r="A450" s="303"/>
      <c r="B450" s="303"/>
      <c r="C450" s="303"/>
    </row>
    <row r="451">
      <c r="A451" s="303"/>
      <c r="B451" s="303"/>
      <c r="C451" s="303"/>
    </row>
    <row r="452">
      <c r="A452" s="303"/>
      <c r="B452" s="303"/>
      <c r="C452" s="303"/>
    </row>
    <row r="453">
      <c r="A453" s="303"/>
      <c r="B453" s="303"/>
      <c r="C453" s="303"/>
    </row>
    <row r="454">
      <c r="A454" s="303"/>
      <c r="B454" s="303"/>
      <c r="C454" s="303"/>
    </row>
    <row r="455">
      <c r="A455" s="303"/>
      <c r="B455" s="303"/>
      <c r="C455" s="303"/>
    </row>
    <row r="456">
      <c r="A456" s="303"/>
      <c r="B456" s="303"/>
      <c r="C456" s="303"/>
    </row>
    <row r="457">
      <c r="A457" s="303"/>
      <c r="B457" s="303"/>
      <c r="C457" s="303"/>
    </row>
    <row r="458">
      <c r="A458" s="303"/>
      <c r="B458" s="303"/>
      <c r="C458" s="303"/>
    </row>
    <row r="459">
      <c r="A459" s="303"/>
      <c r="B459" s="303"/>
      <c r="C459" s="303"/>
    </row>
    <row r="460">
      <c r="A460" s="303"/>
      <c r="B460" s="303"/>
      <c r="C460" s="303"/>
    </row>
    <row r="461">
      <c r="A461" s="303"/>
      <c r="B461" s="303"/>
      <c r="C461" s="303"/>
    </row>
    <row r="462">
      <c r="A462" s="303"/>
      <c r="B462" s="303"/>
      <c r="C462" s="303"/>
    </row>
    <row r="463">
      <c r="A463" s="303"/>
      <c r="B463" s="303"/>
      <c r="C463" s="303"/>
    </row>
    <row r="464">
      <c r="A464" s="303"/>
      <c r="B464" s="303"/>
      <c r="C464" s="303"/>
    </row>
    <row r="465">
      <c r="A465" s="303"/>
      <c r="B465" s="303"/>
      <c r="C465" s="303"/>
    </row>
    <row r="466">
      <c r="A466" s="303"/>
      <c r="B466" s="303"/>
      <c r="C466" s="303"/>
    </row>
    <row r="467">
      <c r="A467" s="303"/>
      <c r="B467" s="303"/>
      <c r="C467" s="303"/>
    </row>
    <row r="468">
      <c r="A468" s="303"/>
      <c r="B468" s="303"/>
      <c r="C468" s="303"/>
    </row>
    <row r="469">
      <c r="A469" s="303"/>
      <c r="B469" s="303"/>
      <c r="C469" s="303"/>
    </row>
    <row r="470">
      <c r="A470" s="303"/>
      <c r="B470" s="303"/>
      <c r="C470" s="303"/>
    </row>
    <row r="471">
      <c r="A471" s="303"/>
      <c r="B471" s="303"/>
      <c r="C471" s="303"/>
    </row>
    <row r="472">
      <c r="A472" s="303"/>
      <c r="B472" s="303"/>
      <c r="C472" s="303"/>
    </row>
    <row r="473">
      <c r="A473" s="303"/>
      <c r="B473" s="303"/>
      <c r="C473" s="303"/>
    </row>
    <row r="474">
      <c r="A474" s="303"/>
      <c r="B474" s="303"/>
      <c r="C474" s="303"/>
    </row>
    <row r="475">
      <c r="A475" s="303"/>
      <c r="B475" s="303"/>
      <c r="C475" s="303"/>
    </row>
    <row r="476">
      <c r="A476" s="303"/>
      <c r="B476" s="303"/>
      <c r="C476" s="303"/>
    </row>
    <row r="477">
      <c r="A477" s="303"/>
      <c r="B477" s="303"/>
      <c r="C477" s="303"/>
    </row>
    <row r="478">
      <c r="A478" s="303"/>
      <c r="B478" s="303"/>
      <c r="C478" s="303"/>
    </row>
    <row r="479">
      <c r="A479" s="303"/>
      <c r="B479" s="303"/>
      <c r="C479" s="303"/>
    </row>
    <row r="480">
      <c r="A480" s="303"/>
      <c r="B480" s="303"/>
      <c r="C480" s="303"/>
    </row>
    <row r="481">
      <c r="A481" s="303"/>
      <c r="B481" s="303"/>
      <c r="C481" s="303"/>
    </row>
    <row r="482">
      <c r="A482" s="303"/>
      <c r="B482" s="303"/>
      <c r="C482" s="303"/>
    </row>
    <row r="483">
      <c r="A483" s="303"/>
      <c r="B483" s="303"/>
      <c r="C483" s="303"/>
    </row>
    <row r="484">
      <c r="A484" s="303"/>
      <c r="B484" s="303"/>
      <c r="C484" s="303"/>
    </row>
    <row r="485">
      <c r="A485" s="303"/>
      <c r="B485" s="303"/>
      <c r="C485" s="303"/>
    </row>
    <row r="486">
      <c r="A486" s="303"/>
      <c r="B486" s="303"/>
      <c r="C486" s="303"/>
    </row>
    <row r="487">
      <c r="A487" s="303"/>
      <c r="B487" s="303"/>
      <c r="C487" s="303"/>
    </row>
    <row r="488">
      <c r="A488" s="303"/>
      <c r="B488" s="303"/>
      <c r="C488" s="303"/>
    </row>
    <row r="489">
      <c r="A489" s="303"/>
      <c r="B489" s="303"/>
      <c r="C489" s="303"/>
    </row>
    <row r="490">
      <c r="A490" s="303"/>
      <c r="B490" s="303"/>
      <c r="C490" s="303"/>
    </row>
    <row r="491">
      <c r="A491" s="303"/>
      <c r="B491" s="303"/>
      <c r="C491" s="303"/>
    </row>
    <row r="492">
      <c r="A492" s="303"/>
      <c r="B492" s="303"/>
      <c r="C492" s="303"/>
    </row>
    <row r="493">
      <c r="A493" s="303"/>
      <c r="B493" s="303"/>
      <c r="C493" s="303"/>
    </row>
    <row r="494">
      <c r="A494" s="303"/>
      <c r="B494" s="303"/>
      <c r="C494" s="303"/>
    </row>
    <row r="495">
      <c r="A495" s="303"/>
      <c r="B495" s="303"/>
      <c r="C495" s="303"/>
    </row>
    <row r="496">
      <c r="A496" s="303"/>
      <c r="B496" s="303"/>
      <c r="C496" s="303"/>
    </row>
    <row r="497">
      <c r="A497" s="303"/>
      <c r="B497" s="303"/>
      <c r="C497" s="303"/>
    </row>
    <row r="498">
      <c r="A498" s="303"/>
      <c r="B498" s="303"/>
      <c r="C498" s="303"/>
    </row>
    <row r="499">
      <c r="A499" s="303"/>
      <c r="B499" s="303"/>
      <c r="C499" s="303"/>
    </row>
    <row r="500">
      <c r="A500" s="303"/>
      <c r="B500" s="303"/>
      <c r="C500" s="303"/>
    </row>
    <row r="501">
      <c r="A501" s="303"/>
      <c r="B501" s="303"/>
      <c r="C501" s="303"/>
    </row>
    <row r="502">
      <c r="A502" s="303"/>
      <c r="B502" s="303"/>
      <c r="C502" s="303"/>
    </row>
    <row r="503">
      <c r="A503" s="303"/>
      <c r="B503" s="303"/>
      <c r="C503" s="303"/>
    </row>
    <row r="504">
      <c r="A504" s="303"/>
      <c r="B504" s="303"/>
      <c r="C504" s="303"/>
    </row>
    <row r="505">
      <c r="A505" s="303"/>
      <c r="B505" s="303"/>
      <c r="C505" s="303"/>
    </row>
    <row r="506">
      <c r="A506" s="303"/>
      <c r="B506" s="303"/>
      <c r="C506" s="303"/>
    </row>
    <row r="507">
      <c r="A507" s="303"/>
      <c r="B507" s="303"/>
      <c r="C507" s="303"/>
    </row>
    <row r="508">
      <c r="A508" s="303"/>
      <c r="B508" s="303"/>
      <c r="C508" s="303"/>
    </row>
    <row r="509">
      <c r="A509" s="303"/>
      <c r="B509" s="303"/>
      <c r="C509" s="303"/>
    </row>
    <row r="510">
      <c r="A510" s="303"/>
      <c r="B510" s="303"/>
      <c r="C510" s="303"/>
    </row>
    <row r="511">
      <c r="A511" s="303"/>
      <c r="B511" s="303"/>
      <c r="C511" s="303"/>
    </row>
    <row r="512">
      <c r="A512" s="303"/>
      <c r="B512" s="303"/>
      <c r="C512" s="303"/>
    </row>
    <row r="513">
      <c r="A513" s="303"/>
      <c r="B513" s="303"/>
      <c r="C513" s="303"/>
    </row>
    <row r="514">
      <c r="A514" s="303"/>
      <c r="B514" s="303"/>
      <c r="C514" s="303"/>
    </row>
    <row r="515">
      <c r="A515" s="303"/>
      <c r="B515" s="303"/>
      <c r="C515" s="303"/>
    </row>
    <row r="516">
      <c r="A516" s="303"/>
      <c r="B516" s="303"/>
      <c r="C516" s="303"/>
    </row>
    <row r="517">
      <c r="A517" s="303"/>
      <c r="B517" s="303"/>
      <c r="C517" s="303"/>
    </row>
    <row r="518">
      <c r="A518" s="303"/>
      <c r="B518" s="303"/>
      <c r="C518" s="303"/>
    </row>
    <row r="519">
      <c r="A519" s="303"/>
      <c r="B519" s="303"/>
      <c r="C519" s="303"/>
    </row>
    <row r="520">
      <c r="A520" s="303"/>
      <c r="B520" s="303"/>
      <c r="C520" s="303"/>
    </row>
    <row r="521">
      <c r="A521" s="303"/>
      <c r="B521" s="303"/>
      <c r="C521" s="303"/>
    </row>
    <row r="522">
      <c r="A522" s="303"/>
      <c r="B522" s="303"/>
      <c r="C522" s="303"/>
    </row>
    <row r="523">
      <c r="A523" s="303"/>
      <c r="B523" s="303"/>
      <c r="C523" s="303"/>
    </row>
    <row r="524">
      <c r="A524" s="303"/>
      <c r="B524" s="303"/>
      <c r="C524" s="303"/>
    </row>
    <row r="525">
      <c r="A525" s="303"/>
      <c r="B525" s="303"/>
      <c r="C525" s="303"/>
    </row>
    <row r="526">
      <c r="A526" s="303"/>
      <c r="B526" s="303"/>
      <c r="C526" s="303"/>
    </row>
    <row r="527">
      <c r="A527" s="303"/>
      <c r="B527" s="303"/>
      <c r="C527" s="303"/>
    </row>
    <row r="528">
      <c r="A528" s="303"/>
      <c r="B528" s="303"/>
      <c r="C528" s="303"/>
    </row>
    <row r="529">
      <c r="A529" s="303"/>
      <c r="B529" s="303"/>
      <c r="C529" s="303"/>
    </row>
    <row r="530">
      <c r="A530" s="303"/>
      <c r="B530" s="303"/>
      <c r="C530" s="303"/>
    </row>
    <row r="531">
      <c r="A531" s="303"/>
      <c r="B531" s="303"/>
      <c r="C531" s="303"/>
    </row>
    <row r="532">
      <c r="A532" s="303"/>
      <c r="B532" s="303"/>
      <c r="C532" s="303"/>
    </row>
    <row r="533">
      <c r="A533" s="303"/>
      <c r="B533" s="303"/>
      <c r="C533" s="303"/>
    </row>
    <row r="534">
      <c r="A534" s="303"/>
      <c r="B534" s="303"/>
      <c r="C534" s="303"/>
    </row>
    <row r="535">
      <c r="A535" s="303"/>
      <c r="B535" s="303"/>
      <c r="C535" s="303"/>
    </row>
    <row r="536">
      <c r="A536" s="303"/>
      <c r="B536" s="303"/>
      <c r="C536" s="303"/>
    </row>
    <row r="537">
      <c r="A537" s="303"/>
      <c r="B537" s="303"/>
      <c r="C537" s="303"/>
    </row>
    <row r="538">
      <c r="A538" s="303"/>
      <c r="B538" s="303"/>
      <c r="C538" s="303"/>
    </row>
    <row r="539">
      <c r="A539" s="303"/>
      <c r="B539" s="303"/>
      <c r="C539" s="303"/>
    </row>
    <row r="540">
      <c r="A540" s="303"/>
      <c r="B540" s="303"/>
      <c r="C540" s="303"/>
    </row>
    <row r="541">
      <c r="A541" s="303"/>
      <c r="B541" s="303"/>
      <c r="C541" s="303"/>
    </row>
    <row r="542">
      <c r="A542" s="303"/>
      <c r="B542" s="303"/>
      <c r="C542" s="303"/>
    </row>
    <row r="543">
      <c r="A543" s="303"/>
      <c r="B543" s="303"/>
      <c r="C543" s="303"/>
    </row>
    <row r="544">
      <c r="A544" s="303"/>
      <c r="B544" s="303"/>
      <c r="C544" s="303"/>
    </row>
    <row r="545">
      <c r="A545" s="303"/>
      <c r="B545" s="303"/>
      <c r="C545" s="303"/>
    </row>
    <row r="546">
      <c r="A546" s="303"/>
      <c r="B546" s="303"/>
      <c r="C546" s="303"/>
    </row>
    <row r="547">
      <c r="A547" s="303"/>
      <c r="B547" s="303"/>
      <c r="C547" s="303"/>
    </row>
    <row r="548">
      <c r="A548" s="303"/>
      <c r="B548" s="303"/>
      <c r="C548" s="303"/>
    </row>
    <row r="549">
      <c r="A549" s="303"/>
      <c r="B549" s="303"/>
      <c r="C549" s="303"/>
    </row>
    <row r="550">
      <c r="A550" s="303"/>
      <c r="B550" s="303"/>
      <c r="C550" s="303"/>
    </row>
    <row r="551">
      <c r="A551" s="303"/>
      <c r="B551" s="303"/>
      <c r="C551" s="303"/>
    </row>
    <row r="552">
      <c r="A552" s="303"/>
      <c r="B552" s="303"/>
      <c r="C552" s="303"/>
    </row>
    <row r="553">
      <c r="A553" s="303"/>
      <c r="B553" s="303"/>
      <c r="C553" s="303"/>
    </row>
    <row r="554">
      <c r="A554" s="303"/>
      <c r="B554" s="303"/>
      <c r="C554" s="303"/>
    </row>
    <row r="555">
      <c r="A555" s="303"/>
      <c r="B555" s="303"/>
      <c r="C555" s="303"/>
    </row>
    <row r="556">
      <c r="A556" s="303"/>
      <c r="B556" s="303"/>
      <c r="C556" s="303"/>
    </row>
    <row r="557">
      <c r="A557" s="303"/>
      <c r="B557" s="303"/>
      <c r="C557" s="303"/>
    </row>
    <row r="558">
      <c r="A558" s="303"/>
      <c r="B558" s="303"/>
      <c r="C558" s="303"/>
    </row>
    <row r="559">
      <c r="A559" s="303"/>
      <c r="B559" s="303"/>
      <c r="C559" s="303"/>
    </row>
    <row r="560">
      <c r="A560" s="303"/>
      <c r="B560" s="303"/>
      <c r="C560" s="303"/>
    </row>
    <row r="561">
      <c r="A561" s="303"/>
      <c r="B561" s="303"/>
      <c r="C561" s="303"/>
    </row>
    <row r="562">
      <c r="A562" s="303"/>
      <c r="B562" s="303"/>
      <c r="C562" s="303"/>
    </row>
    <row r="563">
      <c r="A563" s="303"/>
      <c r="B563" s="303"/>
      <c r="C563" s="303"/>
    </row>
    <row r="564">
      <c r="A564" s="303"/>
      <c r="B564" s="303"/>
      <c r="C564" s="303"/>
    </row>
    <row r="565">
      <c r="A565" s="303"/>
      <c r="B565" s="303"/>
      <c r="C565" s="303"/>
    </row>
    <row r="566">
      <c r="A566" s="303"/>
      <c r="B566" s="303"/>
      <c r="C566" s="303"/>
    </row>
    <row r="567">
      <c r="A567" s="303"/>
      <c r="B567" s="303"/>
      <c r="C567" s="303"/>
    </row>
    <row r="568">
      <c r="A568" s="303"/>
      <c r="B568" s="303"/>
      <c r="C568" s="303"/>
    </row>
    <row r="569">
      <c r="A569" s="303"/>
      <c r="B569" s="303"/>
      <c r="C569" s="303"/>
    </row>
    <row r="570">
      <c r="A570" s="303"/>
      <c r="B570" s="303"/>
      <c r="C570" s="303"/>
    </row>
    <row r="571">
      <c r="A571" s="303"/>
      <c r="B571" s="303"/>
      <c r="C571" s="303"/>
    </row>
    <row r="572">
      <c r="A572" s="303"/>
      <c r="B572" s="303"/>
      <c r="C572" s="303"/>
    </row>
    <row r="573">
      <c r="A573" s="303"/>
      <c r="B573" s="303"/>
      <c r="C573" s="303"/>
    </row>
    <row r="574">
      <c r="A574" s="303"/>
      <c r="B574" s="303"/>
      <c r="C574" s="303"/>
    </row>
    <row r="575">
      <c r="A575" s="303"/>
      <c r="B575" s="303"/>
      <c r="C575" s="303"/>
    </row>
    <row r="576">
      <c r="A576" s="303"/>
      <c r="B576" s="303"/>
      <c r="C576" s="303"/>
    </row>
    <row r="577">
      <c r="A577" s="303"/>
      <c r="B577" s="303"/>
      <c r="C577" s="303"/>
    </row>
    <row r="578">
      <c r="A578" s="303"/>
      <c r="B578" s="303"/>
      <c r="C578" s="303"/>
    </row>
    <row r="579">
      <c r="A579" s="303"/>
      <c r="B579" s="303"/>
      <c r="C579" s="303"/>
    </row>
    <row r="580">
      <c r="A580" s="303"/>
      <c r="B580" s="303"/>
      <c r="C580" s="303"/>
    </row>
    <row r="581">
      <c r="A581" s="303"/>
      <c r="B581" s="303"/>
      <c r="C581" s="303"/>
    </row>
    <row r="582">
      <c r="A582" s="303"/>
      <c r="B582" s="303"/>
      <c r="C582" s="303"/>
    </row>
    <row r="583">
      <c r="A583" s="303"/>
      <c r="B583" s="303"/>
      <c r="C583" s="303"/>
    </row>
    <row r="584">
      <c r="A584" s="303"/>
      <c r="B584" s="303"/>
      <c r="C584" s="303"/>
    </row>
    <row r="585">
      <c r="A585" s="303"/>
      <c r="B585" s="303"/>
      <c r="C585" s="303"/>
    </row>
    <row r="586">
      <c r="A586" s="303"/>
      <c r="B586" s="303"/>
      <c r="C586" s="303"/>
    </row>
    <row r="587">
      <c r="A587" s="303"/>
      <c r="B587" s="303"/>
      <c r="C587" s="303"/>
    </row>
    <row r="588">
      <c r="A588" s="303"/>
      <c r="B588" s="303"/>
      <c r="C588" s="303"/>
    </row>
    <row r="589">
      <c r="A589" s="303"/>
      <c r="B589" s="303"/>
      <c r="C589" s="303"/>
    </row>
    <row r="590">
      <c r="A590" s="303"/>
      <c r="B590" s="303"/>
      <c r="C590" s="303"/>
    </row>
    <row r="591">
      <c r="A591" s="303"/>
      <c r="B591" s="303"/>
      <c r="C591" s="303"/>
    </row>
    <row r="592">
      <c r="A592" s="303"/>
      <c r="B592" s="303"/>
      <c r="C592" s="303"/>
    </row>
    <row r="593">
      <c r="A593" s="303"/>
      <c r="B593" s="303"/>
      <c r="C593" s="303"/>
    </row>
    <row r="594">
      <c r="A594" s="303"/>
      <c r="B594" s="303"/>
      <c r="C594" s="303"/>
    </row>
    <row r="595">
      <c r="A595" s="303"/>
      <c r="B595" s="303"/>
      <c r="C595" s="303"/>
    </row>
    <row r="596">
      <c r="A596" s="303"/>
      <c r="B596" s="303"/>
      <c r="C596" s="303"/>
    </row>
    <row r="597">
      <c r="A597" s="303"/>
      <c r="B597" s="303"/>
      <c r="C597" s="303"/>
    </row>
    <row r="598">
      <c r="A598" s="303"/>
      <c r="B598" s="303"/>
      <c r="C598" s="303"/>
    </row>
    <row r="599">
      <c r="A599" s="303"/>
      <c r="B599" s="303"/>
      <c r="C599" s="303"/>
    </row>
    <row r="600">
      <c r="A600" s="303"/>
      <c r="B600" s="303"/>
      <c r="C600" s="303"/>
    </row>
    <row r="601">
      <c r="A601" s="303"/>
      <c r="B601" s="303"/>
      <c r="C601" s="303"/>
    </row>
    <row r="602">
      <c r="A602" s="303"/>
      <c r="B602" s="303"/>
      <c r="C602" s="303"/>
    </row>
    <row r="603">
      <c r="A603" s="303"/>
      <c r="B603" s="303"/>
      <c r="C603" s="303"/>
    </row>
    <row r="604">
      <c r="A604" s="303"/>
      <c r="B604" s="303"/>
      <c r="C604" s="303"/>
    </row>
    <row r="605">
      <c r="A605" s="303"/>
      <c r="B605" s="303"/>
      <c r="C605" s="303"/>
    </row>
    <row r="606">
      <c r="A606" s="303"/>
      <c r="B606" s="303"/>
      <c r="C606" s="303"/>
    </row>
    <row r="607">
      <c r="A607" s="303"/>
      <c r="B607" s="303"/>
      <c r="C607" s="303"/>
    </row>
    <row r="608">
      <c r="A608" s="303"/>
      <c r="B608" s="303"/>
      <c r="C608" s="303"/>
    </row>
    <row r="609">
      <c r="A609" s="303"/>
      <c r="B609" s="303"/>
      <c r="C609" s="303"/>
    </row>
    <row r="610">
      <c r="A610" s="303"/>
      <c r="B610" s="303"/>
      <c r="C610" s="303"/>
    </row>
    <row r="611">
      <c r="A611" s="303"/>
      <c r="B611" s="303"/>
      <c r="C611" s="303"/>
    </row>
    <row r="612">
      <c r="A612" s="303"/>
      <c r="B612" s="303"/>
      <c r="C612" s="303"/>
    </row>
    <row r="613">
      <c r="A613" s="303"/>
      <c r="B613" s="303"/>
      <c r="C613" s="303"/>
    </row>
    <row r="614">
      <c r="A614" s="303"/>
      <c r="B614" s="303"/>
      <c r="C614" s="303"/>
    </row>
    <row r="615">
      <c r="A615" s="303"/>
      <c r="B615" s="303"/>
      <c r="C615" s="303"/>
    </row>
    <row r="616">
      <c r="A616" s="303"/>
      <c r="B616" s="303"/>
      <c r="C616" s="303"/>
    </row>
    <row r="617">
      <c r="A617" s="303"/>
      <c r="B617" s="303"/>
      <c r="C617" s="303"/>
    </row>
    <row r="618">
      <c r="A618" s="303"/>
      <c r="B618" s="303"/>
      <c r="C618" s="303"/>
    </row>
    <row r="619">
      <c r="A619" s="303"/>
      <c r="B619" s="303"/>
      <c r="C619" s="303"/>
    </row>
    <row r="620">
      <c r="A620" s="303"/>
      <c r="B620" s="303"/>
      <c r="C620" s="303"/>
    </row>
    <row r="621">
      <c r="A621" s="303"/>
      <c r="B621" s="303"/>
      <c r="C621" s="303"/>
    </row>
    <row r="622">
      <c r="A622" s="303"/>
      <c r="B622" s="303"/>
      <c r="C622" s="303"/>
    </row>
    <row r="623">
      <c r="A623" s="303"/>
      <c r="B623" s="303"/>
      <c r="C623" s="303"/>
    </row>
    <row r="624">
      <c r="A624" s="303"/>
      <c r="B624" s="303"/>
      <c r="C624" s="303"/>
    </row>
    <row r="625">
      <c r="A625" s="303"/>
      <c r="B625" s="303"/>
      <c r="C625" s="303"/>
    </row>
    <row r="626">
      <c r="A626" s="303"/>
      <c r="B626" s="303"/>
      <c r="C626" s="303"/>
    </row>
    <row r="627">
      <c r="A627" s="303"/>
      <c r="B627" s="303"/>
      <c r="C627" s="303"/>
    </row>
    <row r="628">
      <c r="A628" s="303"/>
      <c r="B628" s="303"/>
      <c r="C628" s="303"/>
    </row>
    <row r="629">
      <c r="A629" s="303"/>
      <c r="B629" s="303"/>
      <c r="C629" s="303"/>
    </row>
    <row r="630">
      <c r="A630" s="303"/>
      <c r="B630" s="303"/>
      <c r="C630" s="303"/>
    </row>
    <row r="631">
      <c r="A631" s="303"/>
      <c r="B631" s="303"/>
      <c r="C631" s="303"/>
    </row>
    <row r="632">
      <c r="A632" s="303"/>
      <c r="B632" s="303"/>
      <c r="C632" s="303"/>
    </row>
    <row r="633">
      <c r="A633" s="303"/>
      <c r="B633" s="303"/>
      <c r="C633" s="303"/>
    </row>
    <row r="634">
      <c r="A634" s="303"/>
      <c r="B634" s="303"/>
      <c r="C634" s="303"/>
    </row>
    <row r="635">
      <c r="A635" s="303"/>
      <c r="B635" s="303"/>
      <c r="C635" s="303"/>
    </row>
    <row r="636">
      <c r="A636" s="303"/>
      <c r="B636" s="303"/>
      <c r="C636" s="303"/>
    </row>
    <row r="637">
      <c r="A637" s="303"/>
      <c r="B637" s="303"/>
      <c r="C637" s="303"/>
    </row>
    <row r="638">
      <c r="A638" s="303"/>
      <c r="B638" s="303"/>
      <c r="C638" s="303"/>
    </row>
    <row r="639">
      <c r="A639" s="303"/>
      <c r="B639" s="303"/>
      <c r="C639" s="303"/>
    </row>
    <row r="640">
      <c r="A640" s="303"/>
      <c r="B640" s="303"/>
      <c r="C640" s="303"/>
    </row>
    <row r="641">
      <c r="A641" s="303"/>
      <c r="B641" s="303"/>
      <c r="C641" s="303"/>
    </row>
    <row r="642">
      <c r="A642" s="303"/>
      <c r="B642" s="303"/>
      <c r="C642" s="303"/>
    </row>
    <row r="643">
      <c r="A643" s="303"/>
      <c r="B643" s="303"/>
      <c r="C643" s="303"/>
    </row>
    <row r="644">
      <c r="A644" s="303"/>
      <c r="B644" s="303"/>
      <c r="C644" s="303"/>
    </row>
    <row r="645">
      <c r="A645" s="303"/>
      <c r="B645" s="303"/>
      <c r="C645" s="303"/>
    </row>
    <row r="646">
      <c r="A646" s="303"/>
      <c r="B646" s="303"/>
      <c r="C646" s="303"/>
    </row>
    <row r="647">
      <c r="A647" s="303"/>
      <c r="B647" s="303"/>
      <c r="C647" s="303"/>
    </row>
    <row r="648">
      <c r="A648" s="303"/>
      <c r="B648" s="303"/>
      <c r="C648" s="303"/>
    </row>
    <row r="649">
      <c r="A649" s="303"/>
      <c r="B649" s="303"/>
      <c r="C649" s="303"/>
    </row>
    <row r="650">
      <c r="A650" s="303"/>
      <c r="B650" s="303"/>
      <c r="C650" s="303"/>
    </row>
    <row r="651">
      <c r="A651" s="303"/>
      <c r="B651" s="303"/>
      <c r="C651" s="303"/>
    </row>
    <row r="652">
      <c r="A652" s="303"/>
      <c r="B652" s="303"/>
      <c r="C652" s="303"/>
    </row>
    <row r="653">
      <c r="A653" s="303"/>
      <c r="B653" s="303"/>
      <c r="C653" s="303"/>
    </row>
    <row r="654">
      <c r="A654" s="303"/>
      <c r="B654" s="303"/>
      <c r="C654" s="303"/>
    </row>
    <row r="655">
      <c r="A655" s="303"/>
      <c r="B655" s="303"/>
      <c r="C655" s="303"/>
    </row>
    <row r="656">
      <c r="A656" s="303"/>
      <c r="B656" s="303"/>
      <c r="C656" s="303"/>
    </row>
    <row r="657">
      <c r="A657" s="303"/>
      <c r="B657" s="303"/>
      <c r="C657" s="303"/>
    </row>
    <row r="658">
      <c r="A658" s="303"/>
      <c r="B658" s="303"/>
      <c r="C658" s="303"/>
    </row>
    <row r="659">
      <c r="A659" s="303"/>
      <c r="B659" s="303"/>
      <c r="C659" s="303"/>
    </row>
    <row r="660">
      <c r="A660" s="303"/>
      <c r="B660" s="303"/>
      <c r="C660" s="303"/>
    </row>
    <row r="661">
      <c r="A661" s="303"/>
      <c r="B661" s="303"/>
      <c r="C661" s="303"/>
    </row>
    <row r="662">
      <c r="A662" s="303"/>
      <c r="B662" s="303"/>
      <c r="C662" s="303"/>
    </row>
    <row r="663">
      <c r="A663" s="303"/>
      <c r="B663" s="303"/>
      <c r="C663" s="303"/>
    </row>
    <row r="664">
      <c r="A664" s="303"/>
      <c r="B664" s="303"/>
      <c r="C664" s="303"/>
    </row>
    <row r="665">
      <c r="A665" s="303"/>
      <c r="B665" s="303"/>
      <c r="C665" s="303"/>
    </row>
    <row r="666">
      <c r="A666" s="303"/>
      <c r="B666" s="303"/>
      <c r="C666" s="303"/>
    </row>
    <row r="667">
      <c r="A667" s="303"/>
      <c r="B667" s="303"/>
      <c r="C667" s="303"/>
    </row>
    <row r="668">
      <c r="A668" s="303"/>
      <c r="B668" s="303"/>
      <c r="C668" s="303"/>
    </row>
    <row r="669">
      <c r="A669" s="303"/>
      <c r="B669" s="303"/>
      <c r="C669" s="303"/>
    </row>
    <row r="670">
      <c r="A670" s="303"/>
      <c r="B670" s="303"/>
      <c r="C670" s="303"/>
    </row>
    <row r="671">
      <c r="A671" s="303"/>
      <c r="B671" s="303"/>
      <c r="C671" s="303"/>
    </row>
    <row r="672">
      <c r="A672" s="303"/>
      <c r="B672" s="303"/>
      <c r="C672" s="303"/>
    </row>
    <row r="673">
      <c r="A673" s="303"/>
      <c r="B673" s="303"/>
      <c r="C673" s="303"/>
    </row>
    <row r="674">
      <c r="A674" s="303"/>
      <c r="B674" s="303"/>
      <c r="C674" s="303"/>
    </row>
    <row r="675">
      <c r="A675" s="303"/>
      <c r="B675" s="303"/>
      <c r="C675" s="303"/>
    </row>
    <row r="676">
      <c r="A676" s="303"/>
      <c r="B676" s="303"/>
      <c r="C676" s="303"/>
    </row>
    <row r="677">
      <c r="A677" s="303"/>
      <c r="B677" s="303"/>
      <c r="C677" s="303"/>
    </row>
    <row r="678">
      <c r="A678" s="303"/>
      <c r="B678" s="303"/>
      <c r="C678" s="303"/>
    </row>
    <row r="679">
      <c r="A679" s="303"/>
      <c r="B679" s="303"/>
      <c r="C679" s="303"/>
    </row>
    <row r="680">
      <c r="A680" s="303"/>
      <c r="B680" s="303"/>
      <c r="C680" s="303"/>
    </row>
    <row r="681">
      <c r="A681" s="303"/>
      <c r="B681" s="303"/>
      <c r="C681" s="303"/>
    </row>
    <row r="682">
      <c r="A682" s="303"/>
      <c r="B682" s="303"/>
      <c r="C682" s="303"/>
    </row>
    <row r="683">
      <c r="A683" s="303"/>
      <c r="B683" s="303"/>
      <c r="C683" s="303"/>
    </row>
    <row r="684">
      <c r="A684" s="303"/>
      <c r="B684" s="303"/>
      <c r="C684" s="303"/>
    </row>
    <row r="685">
      <c r="A685" s="303"/>
      <c r="B685" s="303"/>
      <c r="C685" s="303"/>
    </row>
    <row r="686">
      <c r="A686" s="303"/>
      <c r="B686" s="303"/>
      <c r="C686" s="303"/>
    </row>
    <row r="687">
      <c r="A687" s="303"/>
      <c r="B687" s="303"/>
      <c r="C687" s="303"/>
    </row>
    <row r="688">
      <c r="A688" s="303"/>
      <c r="B688" s="303"/>
      <c r="C688" s="303"/>
    </row>
    <row r="689">
      <c r="A689" s="303"/>
      <c r="B689" s="303"/>
      <c r="C689" s="303"/>
    </row>
    <row r="690">
      <c r="A690" s="303"/>
      <c r="B690" s="303"/>
      <c r="C690" s="303"/>
    </row>
    <row r="691">
      <c r="A691" s="303"/>
      <c r="B691" s="303"/>
      <c r="C691" s="303"/>
    </row>
    <row r="692">
      <c r="A692" s="303"/>
      <c r="B692" s="303"/>
      <c r="C692" s="303"/>
    </row>
    <row r="693">
      <c r="A693" s="303"/>
      <c r="B693" s="303"/>
      <c r="C693" s="303"/>
    </row>
    <row r="694">
      <c r="A694" s="303"/>
      <c r="B694" s="303"/>
      <c r="C694" s="303"/>
    </row>
    <row r="695">
      <c r="A695" s="303"/>
      <c r="B695" s="303"/>
      <c r="C695" s="303"/>
    </row>
    <row r="696">
      <c r="A696" s="303"/>
      <c r="B696" s="303"/>
      <c r="C696" s="303"/>
    </row>
    <row r="697">
      <c r="A697" s="303"/>
      <c r="B697" s="303"/>
      <c r="C697" s="303"/>
    </row>
    <row r="698">
      <c r="A698" s="303"/>
      <c r="B698" s="303"/>
      <c r="C698" s="303"/>
    </row>
    <row r="699">
      <c r="A699" s="303"/>
      <c r="B699" s="303"/>
      <c r="C699" s="303"/>
    </row>
    <row r="700">
      <c r="A700" s="303"/>
      <c r="B700" s="303"/>
      <c r="C700" s="303"/>
    </row>
    <row r="701">
      <c r="A701" s="303"/>
      <c r="B701" s="303"/>
      <c r="C701" s="303"/>
    </row>
    <row r="702">
      <c r="A702" s="303"/>
      <c r="B702" s="303"/>
      <c r="C702" s="303"/>
    </row>
    <row r="703">
      <c r="A703" s="303"/>
      <c r="B703" s="303"/>
      <c r="C703" s="303"/>
    </row>
    <row r="704">
      <c r="A704" s="303"/>
      <c r="B704" s="303"/>
      <c r="C704" s="303"/>
    </row>
    <row r="705">
      <c r="A705" s="303"/>
      <c r="B705" s="303"/>
      <c r="C705" s="303"/>
    </row>
    <row r="706">
      <c r="A706" s="303"/>
      <c r="B706" s="303"/>
      <c r="C706" s="303"/>
    </row>
    <row r="707">
      <c r="A707" s="303"/>
      <c r="B707" s="303"/>
      <c r="C707" s="303"/>
    </row>
    <row r="708">
      <c r="A708" s="303"/>
      <c r="B708" s="303"/>
      <c r="C708" s="303"/>
    </row>
    <row r="709">
      <c r="A709" s="303"/>
      <c r="B709" s="303"/>
      <c r="C709" s="303"/>
    </row>
    <row r="710">
      <c r="A710" s="303"/>
      <c r="B710" s="303"/>
      <c r="C710" s="303"/>
    </row>
    <row r="711">
      <c r="A711" s="303"/>
      <c r="B711" s="303"/>
      <c r="C711" s="303"/>
    </row>
    <row r="712">
      <c r="A712" s="303"/>
      <c r="B712" s="303"/>
      <c r="C712" s="303"/>
    </row>
    <row r="713">
      <c r="A713" s="303"/>
      <c r="B713" s="303"/>
      <c r="C713" s="303"/>
    </row>
    <row r="714">
      <c r="A714" s="303"/>
      <c r="B714" s="303"/>
      <c r="C714" s="303"/>
    </row>
    <row r="715">
      <c r="A715" s="303"/>
      <c r="B715" s="303"/>
      <c r="C715" s="303"/>
    </row>
    <row r="716">
      <c r="A716" s="303"/>
      <c r="B716" s="303"/>
      <c r="C716" s="303"/>
    </row>
    <row r="717">
      <c r="A717" s="303"/>
      <c r="B717" s="303"/>
      <c r="C717" s="303"/>
    </row>
    <row r="718">
      <c r="A718" s="303"/>
      <c r="B718" s="303"/>
      <c r="C718" s="303"/>
    </row>
    <row r="719">
      <c r="A719" s="303"/>
      <c r="B719" s="303"/>
      <c r="C719" s="303"/>
    </row>
    <row r="720">
      <c r="A720" s="303"/>
      <c r="B720" s="303"/>
      <c r="C720" s="303"/>
    </row>
    <row r="721">
      <c r="A721" s="303"/>
      <c r="B721" s="303"/>
      <c r="C721" s="303"/>
    </row>
    <row r="722">
      <c r="A722" s="303"/>
      <c r="B722" s="303"/>
      <c r="C722" s="303"/>
    </row>
    <row r="723">
      <c r="A723" s="303"/>
      <c r="B723" s="303"/>
      <c r="C723" s="303"/>
    </row>
    <row r="724">
      <c r="A724" s="303"/>
      <c r="B724" s="303"/>
      <c r="C724" s="303"/>
    </row>
    <row r="725">
      <c r="A725" s="303"/>
      <c r="B725" s="303"/>
      <c r="C725" s="303"/>
    </row>
    <row r="726">
      <c r="A726" s="303"/>
      <c r="B726" s="303"/>
      <c r="C726" s="303"/>
    </row>
    <row r="727">
      <c r="A727" s="303"/>
      <c r="B727" s="303"/>
      <c r="C727" s="303"/>
    </row>
    <row r="728">
      <c r="A728" s="303"/>
      <c r="B728" s="303"/>
      <c r="C728" s="303"/>
    </row>
    <row r="729">
      <c r="A729" s="303"/>
      <c r="B729" s="303"/>
      <c r="C729" s="303"/>
    </row>
    <row r="730">
      <c r="A730" s="303"/>
      <c r="B730" s="303"/>
      <c r="C730" s="303"/>
    </row>
    <row r="731">
      <c r="A731" s="303"/>
      <c r="B731" s="303"/>
      <c r="C731" s="303"/>
    </row>
    <row r="732">
      <c r="A732" s="303"/>
      <c r="B732" s="303"/>
      <c r="C732" s="303"/>
    </row>
    <row r="733">
      <c r="A733" s="303"/>
      <c r="B733" s="303"/>
      <c r="C733" s="303"/>
    </row>
    <row r="734">
      <c r="A734" s="303"/>
      <c r="B734" s="303"/>
      <c r="C734" s="303"/>
    </row>
    <row r="735">
      <c r="A735" s="303"/>
      <c r="B735" s="303"/>
      <c r="C735" s="303"/>
    </row>
    <row r="736">
      <c r="A736" s="303"/>
      <c r="B736" s="303"/>
      <c r="C736" s="303"/>
    </row>
    <row r="737">
      <c r="A737" s="303"/>
      <c r="B737" s="303"/>
      <c r="C737" s="303"/>
    </row>
    <row r="738">
      <c r="A738" s="303"/>
      <c r="B738" s="303"/>
      <c r="C738" s="303"/>
    </row>
    <row r="739">
      <c r="A739" s="303"/>
      <c r="B739" s="303"/>
      <c r="C739" s="303"/>
    </row>
    <row r="740">
      <c r="A740" s="303"/>
      <c r="B740" s="303"/>
      <c r="C740" s="303"/>
    </row>
    <row r="741">
      <c r="A741" s="303"/>
      <c r="B741" s="303"/>
      <c r="C741" s="303"/>
    </row>
    <row r="742">
      <c r="A742" s="303"/>
      <c r="B742" s="303"/>
      <c r="C742" s="303"/>
    </row>
    <row r="743">
      <c r="A743" s="303"/>
      <c r="B743" s="303"/>
      <c r="C743" s="303"/>
    </row>
    <row r="744">
      <c r="A744" s="303"/>
      <c r="B744" s="303"/>
      <c r="C744" s="303"/>
    </row>
    <row r="745">
      <c r="A745" s="303"/>
      <c r="B745" s="303"/>
      <c r="C745" s="303"/>
    </row>
    <row r="746">
      <c r="A746" s="303"/>
      <c r="B746" s="303"/>
      <c r="C746" s="303"/>
    </row>
    <row r="747">
      <c r="A747" s="303"/>
      <c r="B747" s="303"/>
      <c r="C747" s="303"/>
    </row>
    <row r="748">
      <c r="A748" s="303"/>
      <c r="B748" s="303"/>
      <c r="C748" s="303"/>
    </row>
    <row r="749">
      <c r="A749" s="303"/>
      <c r="B749" s="303"/>
      <c r="C749" s="303"/>
    </row>
    <row r="750">
      <c r="A750" s="303"/>
      <c r="B750" s="303"/>
      <c r="C750" s="303"/>
    </row>
    <row r="751">
      <c r="A751" s="303"/>
      <c r="B751" s="303"/>
      <c r="C751" s="303"/>
    </row>
    <row r="752">
      <c r="A752" s="303"/>
      <c r="B752" s="303"/>
      <c r="C752" s="303"/>
    </row>
    <row r="753">
      <c r="A753" s="303"/>
      <c r="B753" s="303"/>
      <c r="C753" s="303"/>
    </row>
    <row r="754">
      <c r="A754" s="303"/>
      <c r="B754" s="303"/>
      <c r="C754" s="303"/>
    </row>
    <row r="755">
      <c r="A755" s="303"/>
      <c r="B755" s="303"/>
      <c r="C755" s="303"/>
    </row>
    <row r="756">
      <c r="A756" s="303"/>
      <c r="B756" s="303"/>
      <c r="C756" s="303"/>
    </row>
    <row r="757">
      <c r="A757" s="303"/>
      <c r="B757" s="303"/>
      <c r="C757" s="303"/>
    </row>
    <row r="758">
      <c r="A758" s="303"/>
      <c r="B758" s="303"/>
      <c r="C758" s="303"/>
    </row>
    <row r="759">
      <c r="A759" s="303"/>
      <c r="B759" s="303"/>
      <c r="C759" s="303"/>
    </row>
    <row r="760">
      <c r="A760" s="303"/>
      <c r="B760" s="303"/>
      <c r="C760" s="303"/>
    </row>
    <row r="761">
      <c r="A761" s="303"/>
      <c r="B761" s="303"/>
      <c r="C761" s="303"/>
    </row>
    <row r="762">
      <c r="A762" s="303"/>
      <c r="B762" s="303"/>
      <c r="C762" s="303"/>
    </row>
    <row r="763">
      <c r="A763" s="303"/>
      <c r="B763" s="303"/>
      <c r="C763" s="303"/>
    </row>
    <row r="764">
      <c r="A764" s="303"/>
      <c r="B764" s="303"/>
      <c r="C764" s="303"/>
    </row>
    <row r="765">
      <c r="A765" s="303"/>
      <c r="B765" s="303"/>
      <c r="C765" s="303"/>
    </row>
    <row r="766">
      <c r="A766" s="303"/>
      <c r="B766" s="303"/>
      <c r="C766" s="303"/>
    </row>
    <row r="767">
      <c r="A767" s="303"/>
      <c r="B767" s="303"/>
      <c r="C767" s="303"/>
    </row>
    <row r="768">
      <c r="A768" s="303"/>
      <c r="B768" s="303"/>
      <c r="C768" s="303"/>
    </row>
    <row r="769">
      <c r="A769" s="303"/>
      <c r="B769" s="303"/>
      <c r="C769" s="303"/>
    </row>
    <row r="770">
      <c r="A770" s="303"/>
      <c r="B770" s="303"/>
      <c r="C770" s="303"/>
    </row>
    <row r="771">
      <c r="A771" s="303"/>
      <c r="B771" s="303"/>
      <c r="C771" s="303"/>
    </row>
    <row r="772">
      <c r="A772" s="303"/>
      <c r="B772" s="303"/>
      <c r="C772" s="303"/>
    </row>
    <row r="773">
      <c r="A773" s="303"/>
      <c r="B773" s="303"/>
      <c r="C773" s="303"/>
    </row>
    <row r="774">
      <c r="A774" s="303"/>
      <c r="B774" s="303"/>
      <c r="C774" s="303"/>
    </row>
    <row r="775">
      <c r="A775" s="303"/>
      <c r="B775" s="303"/>
      <c r="C775" s="303"/>
    </row>
    <row r="776">
      <c r="A776" s="303"/>
      <c r="B776" s="303"/>
      <c r="C776" s="303"/>
    </row>
    <row r="777">
      <c r="A777" s="303"/>
      <c r="B777" s="303"/>
      <c r="C777" s="303"/>
    </row>
    <row r="778">
      <c r="A778" s="303"/>
      <c r="B778" s="303"/>
      <c r="C778" s="303"/>
    </row>
    <row r="779">
      <c r="A779" s="303"/>
      <c r="B779" s="303"/>
      <c r="C779" s="303"/>
    </row>
    <row r="780">
      <c r="A780" s="303"/>
      <c r="B780" s="303"/>
      <c r="C780" s="303"/>
    </row>
    <row r="781">
      <c r="A781" s="303"/>
      <c r="B781" s="303"/>
      <c r="C781" s="303"/>
    </row>
    <row r="782">
      <c r="A782" s="303"/>
      <c r="B782" s="303"/>
      <c r="C782" s="303"/>
    </row>
    <row r="783">
      <c r="A783" s="303"/>
      <c r="B783" s="303"/>
      <c r="C783" s="303"/>
    </row>
    <row r="784">
      <c r="A784" s="303"/>
      <c r="B784" s="303"/>
      <c r="C784" s="303"/>
    </row>
    <row r="785">
      <c r="A785" s="303"/>
      <c r="B785" s="303"/>
      <c r="C785" s="303"/>
    </row>
    <row r="786">
      <c r="A786" s="303"/>
      <c r="B786" s="303"/>
      <c r="C786" s="303"/>
    </row>
    <row r="787">
      <c r="A787" s="303"/>
      <c r="B787" s="303"/>
      <c r="C787" s="303"/>
    </row>
    <row r="788">
      <c r="A788" s="303"/>
      <c r="B788" s="303"/>
      <c r="C788" s="303"/>
    </row>
    <row r="789">
      <c r="A789" s="303"/>
      <c r="B789" s="303"/>
      <c r="C789" s="303"/>
    </row>
    <row r="790">
      <c r="A790" s="303"/>
      <c r="B790" s="303"/>
      <c r="C790" s="303"/>
    </row>
    <row r="791">
      <c r="A791" s="303"/>
      <c r="B791" s="303"/>
      <c r="C791" s="303"/>
    </row>
    <row r="792">
      <c r="A792" s="303"/>
      <c r="B792" s="303"/>
      <c r="C792" s="303"/>
    </row>
    <row r="793">
      <c r="A793" s="303"/>
      <c r="B793" s="303"/>
      <c r="C793" s="303"/>
    </row>
    <row r="794">
      <c r="A794" s="303"/>
      <c r="B794" s="303"/>
      <c r="C794" s="303"/>
    </row>
    <row r="795">
      <c r="A795" s="303"/>
      <c r="B795" s="303"/>
      <c r="C795" s="303"/>
    </row>
    <row r="796">
      <c r="A796" s="303"/>
      <c r="B796" s="303"/>
      <c r="C796" s="303"/>
    </row>
    <row r="797">
      <c r="A797" s="303"/>
      <c r="B797" s="303"/>
      <c r="C797" s="303"/>
    </row>
    <row r="798">
      <c r="A798" s="303"/>
      <c r="B798" s="303"/>
      <c r="C798" s="303"/>
    </row>
    <row r="799">
      <c r="A799" s="303"/>
      <c r="B799" s="303"/>
      <c r="C799" s="303"/>
    </row>
    <row r="800">
      <c r="A800" s="303"/>
      <c r="B800" s="303"/>
      <c r="C800" s="303"/>
    </row>
    <row r="801">
      <c r="A801" s="303"/>
      <c r="B801" s="303"/>
      <c r="C801" s="303"/>
    </row>
    <row r="802">
      <c r="A802" s="303"/>
      <c r="B802" s="303"/>
      <c r="C802" s="303"/>
    </row>
    <row r="803">
      <c r="A803" s="303"/>
      <c r="B803" s="303"/>
      <c r="C803" s="303"/>
    </row>
    <row r="804">
      <c r="A804" s="303"/>
      <c r="B804" s="303"/>
      <c r="C804" s="303"/>
    </row>
    <row r="805">
      <c r="A805" s="303"/>
      <c r="B805" s="303"/>
      <c r="C805" s="303"/>
    </row>
    <row r="806">
      <c r="A806" s="303"/>
      <c r="B806" s="303"/>
      <c r="C806" s="303"/>
    </row>
    <row r="807">
      <c r="A807" s="303"/>
      <c r="B807" s="303"/>
      <c r="C807" s="303"/>
    </row>
    <row r="808">
      <c r="A808" s="303"/>
      <c r="B808" s="303"/>
      <c r="C808" s="303"/>
    </row>
    <row r="809">
      <c r="A809" s="303"/>
      <c r="B809" s="303"/>
      <c r="C809" s="303"/>
    </row>
    <row r="810">
      <c r="A810" s="303"/>
      <c r="B810" s="303"/>
      <c r="C810" s="303"/>
    </row>
    <row r="811">
      <c r="A811" s="303"/>
      <c r="B811" s="303"/>
      <c r="C811" s="303"/>
    </row>
    <row r="812">
      <c r="A812" s="303"/>
      <c r="B812" s="303"/>
      <c r="C812" s="303"/>
    </row>
    <row r="813">
      <c r="A813" s="303"/>
      <c r="B813" s="303"/>
      <c r="C813" s="303"/>
    </row>
    <row r="814">
      <c r="A814" s="303"/>
      <c r="B814" s="303"/>
      <c r="C814" s="303"/>
    </row>
    <row r="815">
      <c r="A815" s="303"/>
      <c r="B815" s="303"/>
      <c r="C815" s="303"/>
    </row>
    <row r="816">
      <c r="A816" s="303"/>
      <c r="B816" s="303"/>
      <c r="C816" s="303"/>
    </row>
    <row r="817">
      <c r="A817" s="303"/>
      <c r="B817" s="303"/>
      <c r="C817" s="303"/>
    </row>
    <row r="818">
      <c r="A818" s="303"/>
      <c r="B818" s="303"/>
      <c r="C818" s="303"/>
    </row>
    <row r="819">
      <c r="A819" s="303"/>
      <c r="B819" s="303"/>
      <c r="C819" s="303"/>
    </row>
    <row r="820">
      <c r="A820" s="303"/>
      <c r="B820" s="303"/>
      <c r="C820" s="303"/>
    </row>
    <row r="821">
      <c r="A821" s="303"/>
      <c r="B821" s="303"/>
      <c r="C821" s="303"/>
    </row>
    <row r="822">
      <c r="A822" s="303"/>
      <c r="B822" s="303"/>
      <c r="C822" s="303"/>
    </row>
    <row r="823">
      <c r="A823" s="303"/>
      <c r="B823" s="303"/>
      <c r="C823" s="303"/>
    </row>
    <row r="824">
      <c r="A824" s="303"/>
      <c r="B824" s="303"/>
      <c r="C824" s="303"/>
    </row>
    <row r="825">
      <c r="A825" s="303"/>
      <c r="B825" s="303"/>
      <c r="C825" s="303"/>
    </row>
    <row r="826">
      <c r="A826" s="303"/>
      <c r="B826" s="303"/>
      <c r="C826" s="303"/>
    </row>
    <row r="827">
      <c r="A827" s="303"/>
      <c r="B827" s="303"/>
      <c r="C827" s="303"/>
    </row>
    <row r="828">
      <c r="A828" s="303"/>
      <c r="B828" s="303"/>
      <c r="C828" s="303"/>
    </row>
    <row r="829">
      <c r="A829" s="303"/>
      <c r="B829" s="303"/>
      <c r="C829" s="303"/>
    </row>
    <row r="830">
      <c r="A830" s="303"/>
      <c r="B830" s="303"/>
      <c r="C830" s="303"/>
    </row>
    <row r="831">
      <c r="A831" s="303"/>
      <c r="B831" s="303"/>
      <c r="C831" s="303"/>
    </row>
    <row r="832">
      <c r="A832" s="303"/>
      <c r="B832" s="303"/>
      <c r="C832" s="303"/>
    </row>
    <row r="833">
      <c r="A833" s="303"/>
      <c r="B833" s="303"/>
      <c r="C833" s="303"/>
    </row>
    <row r="834">
      <c r="A834" s="303"/>
      <c r="B834" s="303"/>
      <c r="C834" s="303"/>
    </row>
    <row r="835">
      <c r="A835" s="303"/>
      <c r="B835" s="303"/>
      <c r="C835" s="303"/>
    </row>
    <row r="836">
      <c r="A836" s="303"/>
      <c r="B836" s="303"/>
      <c r="C836" s="303"/>
    </row>
    <row r="837">
      <c r="A837" s="303"/>
      <c r="B837" s="303"/>
      <c r="C837" s="303"/>
    </row>
    <row r="838">
      <c r="A838" s="303"/>
      <c r="B838" s="303"/>
      <c r="C838" s="303"/>
    </row>
    <row r="839">
      <c r="A839" s="303"/>
      <c r="B839" s="303"/>
      <c r="C839" s="303"/>
    </row>
    <row r="840">
      <c r="A840" s="303"/>
      <c r="B840" s="303"/>
      <c r="C840" s="303"/>
    </row>
    <row r="841">
      <c r="A841" s="303"/>
      <c r="B841" s="303"/>
      <c r="C841" s="303"/>
    </row>
    <row r="842">
      <c r="A842" s="303"/>
      <c r="B842" s="303"/>
      <c r="C842" s="303"/>
    </row>
    <row r="843">
      <c r="A843" s="303"/>
      <c r="B843" s="303"/>
      <c r="C843" s="303"/>
    </row>
    <row r="844">
      <c r="A844" s="303"/>
      <c r="B844" s="303"/>
      <c r="C844" s="303"/>
    </row>
    <row r="845">
      <c r="A845" s="303"/>
      <c r="B845" s="303"/>
      <c r="C845" s="303"/>
    </row>
    <row r="846">
      <c r="A846" s="303"/>
      <c r="B846" s="303"/>
      <c r="C846" s="303"/>
    </row>
    <row r="847">
      <c r="A847" s="303"/>
      <c r="B847" s="303"/>
      <c r="C847" s="303"/>
    </row>
    <row r="848">
      <c r="A848" s="303"/>
      <c r="B848" s="303"/>
      <c r="C848" s="303"/>
    </row>
    <row r="849">
      <c r="A849" s="303"/>
      <c r="B849" s="303"/>
      <c r="C849" s="303"/>
    </row>
    <row r="850">
      <c r="A850" s="303"/>
      <c r="B850" s="303"/>
      <c r="C850" s="303"/>
    </row>
    <row r="851">
      <c r="A851" s="303"/>
      <c r="B851" s="303"/>
      <c r="C851" s="303"/>
    </row>
    <row r="852">
      <c r="A852" s="303"/>
      <c r="B852" s="303"/>
      <c r="C852" s="303"/>
    </row>
    <row r="853">
      <c r="A853" s="303"/>
      <c r="B853" s="303"/>
      <c r="C853" s="303"/>
    </row>
    <row r="854">
      <c r="A854" s="303"/>
      <c r="B854" s="303"/>
      <c r="C854" s="303"/>
    </row>
    <row r="855">
      <c r="A855" s="303"/>
      <c r="B855" s="303"/>
      <c r="C855" s="303"/>
    </row>
    <row r="856">
      <c r="A856" s="303"/>
      <c r="B856" s="303"/>
      <c r="C856" s="303"/>
    </row>
    <row r="857">
      <c r="A857" s="303"/>
      <c r="B857" s="303"/>
      <c r="C857" s="303"/>
    </row>
    <row r="858">
      <c r="A858" s="303"/>
      <c r="B858" s="303"/>
      <c r="C858" s="303"/>
    </row>
    <row r="859">
      <c r="A859" s="303"/>
      <c r="B859" s="303"/>
      <c r="C859" s="303"/>
    </row>
    <row r="860">
      <c r="A860" s="303"/>
      <c r="B860" s="303"/>
      <c r="C860" s="303"/>
    </row>
    <row r="861">
      <c r="A861" s="303"/>
      <c r="B861" s="303"/>
      <c r="C861" s="303"/>
    </row>
    <row r="862">
      <c r="A862" s="303"/>
      <c r="B862" s="303"/>
      <c r="C862" s="303"/>
    </row>
    <row r="863">
      <c r="A863" s="303"/>
      <c r="B863" s="303"/>
      <c r="C863" s="303"/>
    </row>
    <row r="864">
      <c r="A864" s="303"/>
      <c r="B864" s="303"/>
      <c r="C864" s="303"/>
    </row>
    <row r="865">
      <c r="A865" s="303"/>
      <c r="B865" s="303"/>
      <c r="C865" s="303"/>
    </row>
    <row r="866">
      <c r="A866" s="303"/>
      <c r="B866" s="303"/>
      <c r="C866" s="303"/>
    </row>
    <row r="867">
      <c r="A867" s="303"/>
      <c r="B867" s="303"/>
      <c r="C867" s="303"/>
    </row>
    <row r="868">
      <c r="A868" s="303"/>
      <c r="B868" s="303"/>
      <c r="C868" s="303"/>
    </row>
    <row r="869">
      <c r="A869" s="303"/>
      <c r="B869" s="303"/>
      <c r="C869" s="303"/>
    </row>
    <row r="870">
      <c r="A870" s="303"/>
      <c r="B870" s="303"/>
      <c r="C870" s="303"/>
    </row>
    <row r="871">
      <c r="A871" s="303"/>
      <c r="B871" s="303"/>
      <c r="C871" s="303"/>
    </row>
    <row r="872">
      <c r="A872" s="303"/>
      <c r="B872" s="303"/>
      <c r="C872" s="303"/>
    </row>
    <row r="873">
      <c r="A873" s="303"/>
      <c r="B873" s="303"/>
      <c r="C873" s="303"/>
    </row>
    <row r="874">
      <c r="A874" s="303"/>
      <c r="B874" s="303"/>
      <c r="C874" s="303"/>
    </row>
    <row r="875">
      <c r="A875" s="303"/>
      <c r="B875" s="303"/>
      <c r="C875" s="303"/>
    </row>
    <row r="876">
      <c r="A876" s="303"/>
      <c r="B876" s="303"/>
      <c r="C876" s="303"/>
    </row>
    <row r="877">
      <c r="A877" s="303"/>
      <c r="B877" s="303"/>
      <c r="C877" s="303"/>
    </row>
    <row r="878">
      <c r="A878" s="303"/>
      <c r="B878" s="303"/>
      <c r="C878" s="303"/>
    </row>
    <row r="879">
      <c r="A879" s="303"/>
      <c r="B879" s="303"/>
      <c r="C879" s="303"/>
    </row>
    <row r="880">
      <c r="A880" s="303"/>
      <c r="B880" s="303"/>
      <c r="C880" s="303"/>
    </row>
    <row r="881">
      <c r="A881" s="303"/>
      <c r="B881" s="303"/>
      <c r="C881" s="303"/>
    </row>
    <row r="882">
      <c r="A882" s="303"/>
      <c r="B882" s="303"/>
      <c r="C882" s="303"/>
    </row>
    <row r="883">
      <c r="A883" s="303"/>
      <c r="B883" s="303"/>
      <c r="C883" s="303"/>
    </row>
    <row r="884">
      <c r="A884" s="303"/>
      <c r="B884" s="303"/>
      <c r="C884" s="303"/>
    </row>
    <row r="885">
      <c r="A885" s="303"/>
      <c r="B885" s="303"/>
      <c r="C885" s="303"/>
    </row>
    <row r="886">
      <c r="A886" s="303"/>
      <c r="B886" s="303"/>
      <c r="C886" s="303"/>
    </row>
    <row r="887">
      <c r="A887" s="303"/>
      <c r="B887" s="303"/>
      <c r="C887" s="303"/>
    </row>
    <row r="888">
      <c r="A888" s="303"/>
      <c r="B888" s="303"/>
      <c r="C888" s="303"/>
    </row>
    <row r="889">
      <c r="A889" s="303"/>
      <c r="B889" s="303"/>
      <c r="C889" s="303"/>
    </row>
    <row r="890">
      <c r="A890" s="303"/>
      <c r="B890" s="303"/>
      <c r="C890" s="303"/>
    </row>
    <row r="891">
      <c r="A891" s="303"/>
      <c r="B891" s="303"/>
      <c r="C891" s="303"/>
    </row>
    <row r="892">
      <c r="A892" s="303"/>
      <c r="B892" s="303"/>
      <c r="C892" s="303"/>
    </row>
    <row r="893">
      <c r="A893" s="303"/>
      <c r="B893" s="303"/>
      <c r="C893" s="303"/>
    </row>
    <row r="894">
      <c r="A894" s="303"/>
      <c r="B894" s="303"/>
      <c r="C894" s="303"/>
    </row>
    <row r="895">
      <c r="A895" s="303"/>
      <c r="B895" s="303"/>
      <c r="C895" s="303"/>
    </row>
    <row r="896">
      <c r="A896" s="303"/>
      <c r="B896" s="303"/>
      <c r="C896" s="303"/>
    </row>
    <row r="897">
      <c r="A897" s="303"/>
      <c r="B897" s="303"/>
      <c r="C897" s="303"/>
    </row>
    <row r="898">
      <c r="A898" s="303"/>
      <c r="B898" s="303"/>
      <c r="C898" s="303"/>
    </row>
    <row r="899">
      <c r="A899" s="303"/>
      <c r="B899" s="303"/>
      <c r="C899" s="303"/>
    </row>
    <row r="900">
      <c r="A900" s="303"/>
      <c r="B900" s="303"/>
      <c r="C900" s="303"/>
    </row>
    <row r="901">
      <c r="A901" s="303"/>
      <c r="B901" s="303"/>
      <c r="C901" s="303"/>
    </row>
    <row r="902">
      <c r="A902" s="303"/>
      <c r="B902" s="303"/>
      <c r="C902" s="303"/>
    </row>
    <row r="903">
      <c r="A903" s="303"/>
      <c r="B903" s="303"/>
      <c r="C903" s="303"/>
    </row>
    <row r="904">
      <c r="A904" s="303"/>
      <c r="B904" s="303"/>
      <c r="C904" s="303"/>
    </row>
    <row r="905">
      <c r="A905" s="303"/>
      <c r="B905" s="303"/>
      <c r="C905" s="303"/>
    </row>
    <row r="906">
      <c r="A906" s="303"/>
      <c r="B906" s="303"/>
      <c r="C906" s="303"/>
    </row>
    <row r="907">
      <c r="A907" s="303"/>
      <c r="B907" s="303"/>
      <c r="C907" s="303"/>
    </row>
    <row r="908">
      <c r="A908" s="303"/>
      <c r="B908" s="303"/>
      <c r="C908" s="303"/>
    </row>
    <row r="909">
      <c r="A909" s="303"/>
      <c r="B909" s="303"/>
      <c r="C909" s="303"/>
    </row>
    <row r="910">
      <c r="A910" s="303"/>
      <c r="B910" s="303"/>
      <c r="C910" s="303"/>
    </row>
    <row r="911">
      <c r="A911" s="303"/>
      <c r="B911" s="303"/>
      <c r="C911" s="303"/>
    </row>
    <row r="912">
      <c r="A912" s="303"/>
      <c r="B912" s="303"/>
      <c r="C912" s="303"/>
    </row>
    <row r="913">
      <c r="A913" s="303"/>
      <c r="B913" s="303"/>
      <c r="C913" s="303"/>
    </row>
    <row r="914">
      <c r="A914" s="303"/>
      <c r="B914" s="303"/>
      <c r="C914" s="303"/>
    </row>
    <row r="915">
      <c r="A915" s="303"/>
      <c r="B915" s="303"/>
      <c r="C915" s="303"/>
    </row>
    <row r="916">
      <c r="A916" s="303"/>
      <c r="B916" s="303"/>
      <c r="C916" s="303"/>
    </row>
    <row r="917">
      <c r="A917" s="303"/>
      <c r="B917" s="303"/>
      <c r="C917" s="303"/>
    </row>
    <row r="918">
      <c r="A918" s="303"/>
      <c r="B918" s="303"/>
      <c r="C918" s="303"/>
    </row>
    <row r="919">
      <c r="A919" s="303"/>
      <c r="B919" s="303"/>
      <c r="C919" s="303"/>
    </row>
    <row r="920">
      <c r="A920" s="303"/>
      <c r="B920" s="303"/>
      <c r="C920" s="303"/>
    </row>
    <row r="921">
      <c r="A921" s="303"/>
      <c r="B921" s="303"/>
      <c r="C921" s="303"/>
    </row>
    <row r="922">
      <c r="A922" s="303"/>
      <c r="B922" s="303"/>
      <c r="C922" s="303"/>
    </row>
    <row r="923">
      <c r="A923" s="303"/>
      <c r="B923" s="303"/>
      <c r="C923" s="303"/>
    </row>
    <row r="924">
      <c r="A924" s="303"/>
      <c r="B924" s="303"/>
      <c r="C924" s="303"/>
    </row>
    <row r="925">
      <c r="A925" s="303"/>
      <c r="B925" s="303"/>
      <c r="C925" s="303"/>
    </row>
    <row r="926">
      <c r="A926" s="303"/>
      <c r="B926" s="303"/>
      <c r="C926" s="303"/>
    </row>
    <row r="927">
      <c r="A927" s="303"/>
      <c r="B927" s="303"/>
      <c r="C927" s="303"/>
    </row>
    <row r="928">
      <c r="A928" s="303"/>
      <c r="B928" s="303"/>
      <c r="C928" s="303"/>
    </row>
    <row r="929">
      <c r="A929" s="303"/>
      <c r="B929" s="303"/>
      <c r="C929" s="303"/>
    </row>
    <row r="930">
      <c r="A930" s="303"/>
      <c r="B930" s="303"/>
      <c r="C930" s="303"/>
    </row>
    <row r="931">
      <c r="A931" s="303"/>
      <c r="B931" s="303"/>
      <c r="C931" s="303"/>
    </row>
    <row r="932">
      <c r="A932" s="303"/>
      <c r="B932" s="303"/>
      <c r="C932" s="303"/>
    </row>
    <row r="933">
      <c r="A933" s="303"/>
      <c r="B933" s="303"/>
      <c r="C933" s="303"/>
    </row>
    <row r="934">
      <c r="A934" s="303"/>
      <c r="B934" s="303"/>
      <c r="C934" s="303"/>
    </row>
    <row r="935">
      <c r="A935" s="303"/>
      <c r="B935" s="303"/>
      <c r="C935" s="303"/>
    </row>
    <row r="936">
      <c r="A936" s="303"/>
      <c r="B936" s="303"/>
      <c r="C936" s="303"/>
    </row>
    <row r="937">
      <c r="A937" s="303"/>
      <c r="B937" s="303"/>
      <c r="C937" s="303"/>
    </row>
    <row r="938">
      <c r="A938" s="303"/>
      <c r="B938" s="303"/>
      <c r="C938" s="303"/>
    </row>
    <row r="939">
      <c r="A939" s="303"/>
      <c r="B939" s="303"/>
      <c r="C939" s="303"/>
    </row>
    <row r="940">
      <c r="A940" s="303"/>
      <c r="B940" s="303"/>
      <c r="C940" s="303"/>
    </row>
    <row r="941">
      <c r="A941" s="303"/>
      <c r="B941" s="303"/>
      <c r="C941" s="303"/>
    </row>
    <row r="942">
      <c r="A942" s="303"/>
      <c r="B942" s="303"/>
      <c r="C942" s="303"/>
    </row>
    <row r="943">
      <c r="A943" s="303"/>
      <c r="B943" s="303"/>
      <c r="C943" s="303"/>
    </row>
    <row r="944">
      <c r="A944" s="303"/>
      <c r="B944" s="303"/>
      <c r="C944" s="303"/>
    </row>
    <row r="945">
      <c r="A945" s="303"/>
      <c r="B945" s="303"/>
      <c r="C945" s="303"/>
    </row>
    <row r="946">
      <c r="A946" s="303"/>
      <c r="B946" s="303"/>
      <c r="C946" s="303"/>
    </row>
    <row r="947">
      <c r="A947" s="303"/>
      <c r="B947" s="303"/>
      <c r="C947" s="303"/>
    </row>
    <row r="948">
      <c r="A948" s="303"/>
      <c r="B948" s="303"/>
      <c r="C948" s="303"/>
    </row>
    <row r="949">
      <c r="A949" s="303"/>
      <c r="B949" s="303"/>
      <c r="C949" s="303"/>
    </row>
    <row r="950">
      <c r="A950" s="303"/>
      <c r="B950" s="303"/>
      <c r="C950" s="303"/>
    </row>
    <row r="951">
      <c r="A951" s="303"/>
      <c r="B951" s="303"/>
      <c r="C951" s="303"/>
    </row>
    <row r="952">
      <c r="A952" s="303"/>
      <c r="B952" s="303"/>
      <c r="C952" s="303"/>
    </row>
    <row r="953">
      <c r="A953" s="303"/>
      <c r="B953" s="303"/>
      <c r="C953" s="303"/>
    </row>
    <row r="954">
      <c r="A954" s="303"/>
      <c r="B954" s="303"/>
      <c r="C954" s="303"/>
    </row>
    <row r="955">
      <c r="A955" s="303"/>
      <c r="B955" s="303"/>
      <c r="C955" s="303"/>
    </row>
    <row r="956">
      <c r="A956" s="303"/>
      <c r="B956" s="303"/>
      <c r="C956" s="303"/>
    </row>
    <row r="957">
      <c r="A957" s="303"/>
      <c r="B957" s="303"/>
      <c r="C957" s="303"/>
    </row>
    <row r="958">
      <c r="A958" s="303"/>
      <c r="B958" s="303"/>
      <c r="C958" s="303"/>
    </row>
    <row r="959">
      <c r="A959" s="303"/>
      <c r="B959" s="303"/>
      <c r="C959" s="303"/>
    </row>
    <row r="960">
      <c r="A960" s="303"/>
      <c r="B960" s="303"/>
      <c r="C960" s="303"/>
    </row>
    <row r="961">
      <c r="A961" s="303"/>
      <c r="B961" s="303"/>
      <c r="C961" s="303"/>
    </row>
    <row r="962">
      <c r="A962" s="303"/>
      <c r="B962" s="303"/>
      <c r="C962" s="303"/>
    </row>
    <row r="963">
      <c r="A963" s="303"/>
      <c r="B963" s="303"/>
      <c r="C963" s="303"/>
    </row>
    <row r="964">
      <c r="A964" s="303"/>
      <c r="B964" s="303"/>
      <c r="C964" s="303"/>
    </row>
    <row r="965">
      <c r="A965" s="303"/>
      <c r="B965" s="303"/>
      <c r="C965" s="303"/>
    </row>
    <row r="966">
      <c r="A966" s="303"/>
      <c r="B966" s="303"/>
      <c r="C966" s="303"/>
    </row>
    <row r="967">
      <c r="A967" s="303"/>
      <c r="B967" s="303"/>
      <c r="C967" s="303"/>
    </row>
    <row r="968">
      <c r="A968" s="303"/>
      <c r="B968" s="303"/>
      <c r="C968" s="303"/>
    </row>
    <row r="969">
      <c r="A969" s="303"/>
      <c r="B969" s="303"/>
      <c r="C969" s="303"/>
    </row>
    <row r="970">
      <c r="A970" s="303"/>
      <c r="B970" s="303"/>
      <c r="C970" s="303"/>
    </row>
    <row r="971">
      <c r="A971" s="303"/>
      <c r="B971" s="303"/>
      <c r="C971" s="303"/>
    </row>
    <row r="972">
      <c r="A972" s="303"/>
      <c r="B972" s="303"/>
      <c r="C972" s="303"/>
    </row>
    <row r="973">
      <c r="A973" s="303"/>
      <c r="B973" s="303"/>
      <c r="C973" s="303"/>
    </row>
    <row r="974">
      <c r="A974" s="303"/>
      <c r="B974" s="303"/>
      <c r="C974" s="303"/>
    </row>
    <row r="975">
      <c r="A975" s="303"/>
      <c r="B975" s="303"/>
      <c r="C975" s="303"/>
    </row>
    <row r="976">
      <c r="A976" s="303"/>
      <c r="B976" s="303"/>
      <c r="C976" s="303"/>
    </row>
    <row r="977">
      <c r="A977" s="303"/>
      <c r="B977" s="303"/>
      <c r="C977" s="303"/>
    </row>
    <row r="978">
      <c r="A978" s="303"/>
      <c r="B978" s="303"/>
      <c r="C978" s="303"/>
    </row>
    <row r="979">
      <c r="A979" s="303"/>
      <c r="B979" s="303"/>
      <c r="C979" s="303"/>
    </row>
    <row r="980">
      <c r="A980" s="303"/>
      <c r="B980" s="303"/>
      <c r="C980" s="303"/>
    </row>
    <row r="981">
      <c r="A981" s="303"/>
      <c r="B981" s="303"/>
      <c r="C981" s="303"/>
    </row>
    <row r="982">
      <c r="A982" s="303"/>
      <c r="B982" s="303"/>
      <c r="C982" s="303"/>
    </row>
    <row r="983">
      <c r="A983" s="303"/>
      <c r="B983" s="303"/>
      <c r="C983" s="303"/>
    </row>
    <row r="984">
      <c r="A984" s="303"/>
      <c r="B984" s="303"/>
      <c r="C984" s="303"/>
    </row>
    <row r="985">
      <c r="A985" s="303"/>
      <c r="B985" s="303"/>
      <c r="C985" s="303"/>
    </row>
    <row r="986">
      <c r="A986" s="303"/>
      <c r="B986" s="303"/>
      <c r="C986" s="303"/>
    </row>
    <row r="987">
      <c r="A987" s="303"/>
      <c r="B987" s="303"/>
      <c r="C987" s="303"/>
    </row>
    <row r="988">
      <c r="A988" s="303"/>
      <c r="B988" s="303"/>
      <c r="C988" s="303"/>
    </row>
    <row r="989">
      <c r="A989" s="303"/>
      <c r="B989" s="303"/>
      <c r="C989" s="303"/>
    </row>
    <row r="990">
      <c r="A990" s="303"/>
      <c r="B990" s="303"/>
      <c r="C990" s="303"/>
    </row>
    <row r="991">
      <c r="A991" s="303"/>
      <c r="B991" s="303"/>
      <c r="C991" s="303"/>
    </row>
    <row r="992">
      <c r="A992" s="303"/>
      <c r="B992" s="303"/>
      <c r="C992" s="303"/>
    </row>
    <row r="993">
      <c r="A993" s="303"/>
      <c r="B993" s="303"/>
      <c r="C993" s="303"/>
    </row>
    <row r="994">
      <c r="A994" s="303"/>
      <c r="B994" s="303"/>
      <c r="C994" s="303"/>
    </row>
    <row r="995">
      <c r="A995" s="303"/>
      <c r="B995" s="303"/>
      <c r="C995" s="303"/>
    </row>
    <row r="996">
      <c r="A996" s="303"/>
      <c r="B996" s="303"/>
      <c r="C996" s="303"/>
    </row>
    <row r="997">
      <c r="A997" s="303"/>
      <c r="B997" s="303"/>
      <c r="C997" s="303"/>
    </row>
    <row r="998">
      <c r="A998" s="303"/>
      <c r="B998" s="303"/>
      <c r="C998" s="303"/>
    </row>
    <row r="999">
      <c r="A999" s="303"/>
      <c r="B999" s="303"/>
      <c r="C999" s="303"/>
    </row>
    <row r="1000">
      <c r="A1000" s="303"/>
      <c r="B1000" s="303"/>
      <c r="C1000" s="30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43"/>
    <col customWidth="1" min="2" max="23" width="4.71"/>
  </cols>
  <sheetData>
    <row r="1" ht="15.0" customHeight="1">
      <c r="A1" s="304"/>
      <c r="B1" s="305" t="s">
        <v>328</v>
      </c>
      <c r="C1" s="306" t="s">
        <v>329</v>
      </c>
      <c r="D1" s="306" t="s">
        <v>330</v>
      </c>
      <c r="E1" s="306" t="s">
        <v>331</v>
      </c>
      <c r="F1" s="307" t="s">
        <v>123</v>
      </c>
      <c r="G1" s="305" t="s">
        <v>332</v>
      </c>
      <c r="H1" s="306" t="s">
        <v>333</v>
      </c>
      <c r="I1" s="306" t="s">
        <v>334</v>
      </c>
      <c r="J1" s="306" t="s">
        <v>335</v>
      </c>
      <c r="K1" s="307" t="s">
        <v>336</v>
      </c>
      <c r="L1" s="305" t="s">
        <v>337</v>
      </c>
      <c r="M1" s="306" t="s">
        <v>124</v>
      </c>
      <c r="N1" s="306" t="s">
        <v>338</v>
      </c>
      <c r="O1" s="307" t="s">
        <v>49</v>
      </c>
      <c r="P1" s="306" t="s">
        <v>172</v>
      </c>
      <c r="Q1" s="306" t="s">
        <v>339</v>
      </c>
      <c r="R1" s="306" t="s">
        <v>340</v>
      </c>
      <c r="S1" s="307" t="s">
        <v>341</v>
      </c>
      <c r="T1" s="305" t="s">
        <v>342</v>
      </c>
      <c r="U1" s="306" t="s">
        <v>343</v>
      </c>
      <c r="V1" s="306" t="s">
        <v>280</v>
      </c>
      <c r="W1" s="306" t="s">
        <v>344</v>
      </c>
    </row>
    <row r="2" ht="15.0" customHeight="1">
      <c r="A2" s="304" t="s">
        <v>345</v>
      </c>
      <c r="B2" s="308"/>
      <c r="C2" s="309"/>
      <c r="D2" s="309"/>
      <c r="E2" s="309"/>
      <c r="F2" s="310"/>
      <c r="G2" s="308"/>
      <c r="H2" s="309"/>
      <c r="I2" s="309"/>
      <c r="J2" s="309"/>
      <c r="K2" s="310"/>
      <c r="L2" s="308"/>
      <c r="M2" s="309"/>
      <c r="N2" s="309"/>
      <c r="O2" s="310"/>
      <c r="P2" s="309"/>
      <c r="Q2" s="309"/>
      <c r="R2" s="309"/>
      <c r="S2" s="311"/>
      <c r="T2" s="312"/>
      <c r="U2" s="309"/>
      <c r="V2" s="309"/>
      <c r="W2" s="309"/>
    </row>
    <row r="3" ht="15.0" customHeight="1">
      <c r="A3" s="304" t="s">
        <v>273</v>
      </c>
      <c r="B3" s="308"/>
      <c r="C3" s="309"/>
      <c r="D3" s="309"/>
      <c r="E3" s="309"/>
      <c r="F3" s="310"/>
      <c r="G3" s="308"/>
      <c r="H3" s="309"/>
      <c r="I3" s="309"/>
      <c r="J3" s="309"/>
      <c r="K3" s="310"/>
      <c r="L3" s="308"/>
      <c r="M3" s="309"/>
      <c r="N3" s="309"/>
      <c r="O3" s="310"/>
      <c r="P3" s="309"/>
      <c r="Q3" s="309"/>
      <c r="R3" s="309"/>
      <c r="S3" s="311"/>
      <c r="T3" s="312"/>
      <c r="U3" s="309">
        <v>4.0</v>
      </c>
      <c r="V3" s="309">
        <v>3.0</v>
      </c>
      <c r="W3" s="309"/>
    </row>
    <row r="4" ht="15.0" customHeight="1">
      <c r="A4" s="304" t="s">
        <v>346</v>
      </c>
      <c r="B4" s="308">
        <v>0.0</v>
      </c>
      <c r="C4" s="309">
        <v>100.0</v>
      </c>
      <c r="D4" s="309">
        <v>60.0</v>
      </c>
      <c r="E4" s="313"/>
      <c r="F4" s="311"/>
      <c r="G4" s="308"/>
      <c r="H4" s="309"/>
      <c r="I4" s="309"/>
      <c r="J4" s="313"/>
      <c r="K4" s="311"/>
      <c r="L4" s="308">
        <v>88.0</v>
      </c>
      <c r="M4" s="313"/>
      <c r="N4" s="313"/>
      <c r="O4" s="311"/>
      <c r="P4" s="309"/>
      <c r="Q4" s="309">
        <v>0.5</v>
      </c>
      <c r="R4" s="313"/>
      <c r="S4" s="310" t="s">
        <v>35</v>
      </c>
      <c r="T4" s="312"/>
      <c r="U4" s="309">
        <v>4.0</v>
      </c>
      <c r="V4" s="309">
        <v>10.0</v>
      </c>
      <c r="W4" s="309"/>
    </row>
    <row r="5" ht="15.0" customHeight="1">
      <c r="A5" s="304" t="s">
        <v>347</v>
      </c>
      <c r="B5" s="308">
        <v>60.0</v>
      </c>
      <c r="C5" s="309">
        <v>72.0</v>
      </c>
      <c r="D5" s="309">
        <v>-2.0</v>
      </c>
      <c r="E5" s="313"/>
      <c r="F5" s="311"/>
      <c r="G5" s="308">
        <v>0.0</v>
      </c>
      <c r="H5" s="309">
        <v>3.0</v>
      </c>
      <c r="I5" s="309">
        <v>2.0</v>
      </c>
      <c r="J5" s="313"/>
      <c r="K5" s="311"/>
      <c r="L5" s="308">
        <v>75.0</v>
      </c>
      <c r="M5" s="313"/>
      <c r="N5" s="313"/>
      <c r="O5" s="311"/>
      <c r="P5" s="309"/>
      <c r="Q5" s="309"/>
      <c r="R5" s="313"/>
      <c r="S5" s="310"/>
      <c r="T5" s="312"/>
      <c r="U5" s="309">
        <v>5.0</v>
      </c>
      <c r="V5" s="309">
        <v>6.0</v>
      </c>
      <c r="W5" s="309"/>
    </row>
    <row r="6" ht="15.0" customHeight="1">
      <c r="A6" s="304" t="s">
        <v>348</v>
      </c>
      <c r="B6" s="312"/>
      <c r="C6" s="309"/>
      <c r="D6" s="309">
        <v>102.0</v>
      </c>
      <c r="E6" s="313"/>
      <c r="F6" s="311"/>
      <c r="G6" s="312"/>
      <c r="H6" s="313"/>
      <c r="I6" s="313"/>
      <c r="J6" s="313"/>
      <c r="K6" s="311"/>
      <c r="L6" s="308">
        <v>85.0</v>
      </c>
      <c r="M6" s="313"/>
      <c r="N6" s="313"/>
      <c r="O6" s="311"/>
      <c r="P6" s="309">
        <v>0.0</v>
      </c>
      <c r="Q6" s="309">
        <f>('Sheet 1'!$D$13-'Sheet 1'!$P$15)*0.005</f>
        <v>0.495</v>
      </c>
      <c r="R6" s="313"/>
      <c r="S6" s="310" t="s">
        <v>144</v>
      </c>
      <c r="T6" s="312"/>
      <c r="U6" s="309">
        <v>4.0</v>
      </c>
      <c r="V6" s="309">
        <v>14.0</v>
      </c>
      <c r="W6" s="309"/>
    </row>
    <row r="7" ht="15.0" customHeight="1">
      <c r="A7" s="304" t="s">
        <v>349</v>
      </c>
      <c r="B7" s="308">
        <v>75.0</v>
      </c>
      <c r="C7" s="309">
        <v>40.0</v>
      </c>
      <c r="D7" s="309">
        <v>-4.0</v>
      </c>
      <c r="E7" s="313"/>
      <c r="F7" s="311"/>
      <c r="G7" s="312"/>
      <c r="H7" s="313"/>
      <c r="I7" s="313"/>
      <c r="J7" s="309">
        <v>1.0</v>
      </c>
      <c r="K7" s="311"/>
      <c r="L7" s="308">
        <v>75.0</v>
      </c>
      <c r="M7" s="313"/>
      <c r="N7" s="313"/>
      <c r="O7" s="311"/>
      <c r="P7" s="309">
        <v>0.25</v>
      </c>
      <c r="Q7" s="309">
        <v>-0.15</v>
      </c>
      <c r="R7" s="313"/>
      <c r="S7" s="310" t="s">
        <v>143</v>
      </c>
      <c r="T7" s="312"/>
      <c r="U7" s="309">
        <v>4.0</v>
      </c>
      <c r="V7" s="309">
        <v>4.0</v>
      </c>
      <c r="W7" s="309"/>
    </row>
    <row r="8" ht="15.0" customHeight="1">
      <c r="A8" s="304" t="s">
        <v>350</v>
      </c>
      <c r="B8" s="308"/>
      <c r="C8" s="309">
        <v>90.0</v>
      </c>
      <c r="D8" s="313"/>
      <c r="E8" s="313"/>
      <c r="F8" s="311"/>
      <c r="G8" s="312"/>
      <c r="H8" s="313"/>
      <c r="I8" s="313"/>
      <c r="J8" s="313"/>
      <c r="K8" s="311"/>
      <c r="L8" s="308">
        <v>86.0</v>
      </c>
      <c r="M8" s="313"/>
      <c r="N8" s="313"/>
      <c r="O8" s="311"/>
      <c r="P8" s="309">
        <v>0.25</v>
      </c>
      <c r="Q8" s="309">
        <v>0.0</v>
      </c>
      <c r="R8" s="313"/>
      <c r="S8" s="310" t="s">
        <v>143</v>
      </c>
      <c r="T8" s="312"/>
      <c r="U8" s="309">
        <v>4.0</v>
      </c>
      <c r="V8" s="309">
        <v>13.0</v>
      </c>
      <c r="W8" s="309"/>
    </row>
    <row r="9" ht="15.0" customHeight="1">
      <c r="A9" s="304" t="s">
        <v>351</v>
      </c>
      <c r="B9" s="312"/>
      <c r="C9" s="309">
        <v>82.0</v>
      </c>
      <c r="D9" s="313"/>
      <c r="E9" s="313"/>
      <c r="F9" s="311"/>
      <c r="G9" s="312"/>
      <c r="H9" s="313"/>
      <c r="I9" s="313"/>
      <c r="J9" s="313"/>
      <c r="K9" s="311"/>
      <c r="L9" s="308">
        <v>82.0</v>
      </c>
      <c r="M9" s="313"/>
      <c r="N9" s="313"/>
      <c r="O9" s="311"/>
      <c r="P9" s="309">
        <v>0.25</v>
      </c>
      <c r="Q9" s="309">
        <v>0.0</v>
      </c>
      <c r="R9" s="313"/>
      <c r="S9" s="310" t="s">
        <v>143</v>
      </c>
      <c r="T9" s="312"/>
      <c r="U9" s="309">
        <v>4.0</v>
      </c>
      <c r="V9" s="309">
        <v>13.0</v>
      </c>
      <c r="W9" s="309"/>
    </row>
    <row r="10" ht="15.0" customHeight="1">
      <c r="A10" s="304" t="s">
        <v>352</v>
      </c>
      <c r="B10" s="308">
        <v>10.0</v>
      </c>
      <c r="C10" s="309">
        <v>-2.0</v>
      </c>
      <c r="D10" s="309">
        <v>16.0</v>
      </c>
      <c r="E10" s="313"/>
      <c r="F10" s="311"/>
      <c r="G10" s="313"/>
      <c r="H10" s="313"/>
      <c r="I10" s="313"/>
      <c r="J10" s="313"/>
      <c r="K10" s="311"/>
      <c r="L10" s="308">
        <v>14.0</v>
      </c>
      <c r="M10" s="313"/>
      <c r="N10" s="313"/>
      <c r="O10" s="310">
        <v>3.0</v>
      </c>
      <c r="P10" s="309"/>
      <c r="Q10" s="309"/>
      <c r="R10" s="313"/>
      <c r="S10" s="310" t="s">
        <v>144</v>
      </c>
      <c r="T10" s="312"/>
      <c r="U10" s="309">
        <v>5.0</v>
      </c>
      <c r="V10" s="309">
        <v>7.0</v>
      </c>
      <c r="W10" s="309"/>
    </row>
    <row r="11" ht="15.0" customHeight="1">
      <c r="A11" s="304" t="s">
        <v>153</v>
      </c>
      <c r="B11" s="314">
        <v>10.0</v>
      </c>
      <c r="C11" s="315">
        <v>38.0</v>
      </c>
      <c r="D11" s="315">
        <v>-2.0</v>
      </c>
      <c r="E11" s="316"/>
      <c r="F11" s="317"/>
      <c r="G11" s="316"/>
      <c r="H11" s="315">
        <v>3.0</v>
      </c>
      <c r="I11" s="315">
        <v>2.0</v>
      </c>
      <c r="J11" s="315">
        <v>2.0</v>
      </c>
      <c r="K11" s="317"/>
      <c r="L11" s="314">
        <v>8.0</v>
      </c>
      <c r="M11" s="316"/>
      <c r="N11" s="316"/>
      <c r="O11" s="317"/>
      <c r="P11" s="318"/>
      <c r="Q11" s="319"/>
      <c r="R11" s="309"/>
      <c r="S11" s="310" t="s">
        <v>142</v>
      </c>
      <c r="T11" s="312"/>
      <c r="U11" s="309">
        <v>4.0</v>
      </c>
      <c r="V11" s="309">
        <v>6.0</v>
      </c>
      <c r="W11" s="309"/>
    </row>
    <row r="12" ht="15.0" customHeight="1">
      <c r="A12" s="304" t="s">
        <v>353</v>
      </c>
      <c r="B12" s="308"/>
      <c r="C12" s="309">
        <v>132.0</v>
      </c>
      <c r="D12" s="309">
        <v>80.0</v>
      </c>
      <c r="E12" s="309"/>
      <c r="F12" s="311"/>
      <c r="G12" s="312"/>
      <c r="H12" s="313"/>
      <c r="I12" s="313"/>
      <c r="J12" s="313"/>
      <c r="K12" s="311"/>
      <c r="L12" s="308">
        <v>132.0</v>
      </c>
      <c r="M12" s="313"/>
      <c r="N12" s="313"/>
      <c r="O12" s="310">
        <v>8.0</v>
      </c>
      <c r="P12" s="309">
        <v>1.0</v>
      </c>
      <c r="Q12" s="309">
        <v>0.1</v>
      </c>
      <c r="R12" s="309">
        <v>0.25</v>
      </c>
      <c r="S12" s="310" t="s">
        <v>143</v>
      </c>
      <c r="T12" s="312"/>
      <c r="U12" s="309">
        <v>6.0</v>
      </c>
      <c r="V12" s="309">
        <v>10.0</v>
      </c>
      <c r="W12" s="309"/>
    </row>
    <row r="13" ht="15.0" customHeight="1">
      <c r="A13" s="304" t="s">
        <v>354</v>
      </c>
      <c r="B13" s="308"/>
      <c r="C13" s="309">
        <v>132.0</v>
      </c>
      <c r="D13" s="309">
        <v>80.0</v>
      </c>
      <c r="E13" s="309"/>
      <c r="F13" s="311"/>
      <c r="G13" s="312"/>
      <c r="H13" s="313"/>
      <c r="I13" s="313"/>
      <c r="J13" s="313"/>
      <c r="K13" s="311"/>
      <c r="L13" s="308">
        <v>132.0</v>
      </c>
      <c r="M13" s="313"/>
      <c r="N13" s="313"/>
      <c r="O13" s="310">
        <v>8.0</v>
      </c>
      <c r="P13" s="309">
        <v>1.0</v>
      </c>
      <c r="Q13" s="309">
        <v>0.1</v>
      </c>
      <c r="R13" s="309">
        <v>0.1</v>
      </c>
      <c r="S13" s="310" t="s">
        <v>143</v>
      </c>
      <c r="T13" s="312"/>
      <c r="U13" s="309">
        <v>6.0</v>
      </c>
      <c r="V13" s="309">
        <v>10.0</v>
      </c>
      <c r="W13" s="309"/>
    </row>
    <row r="14" ht="15.0" customHeight="1">
      <c r="A14" s="304" t="s">
        <v>355</v>
      </c>
      <c r="B14" s="308">
        <v>-2.0</v>
      </c>
      <c r="C14" s="309">
        <v>10.0</v>
      </c>
      <c r="D14" s="309">
        <v>92.0</v>
      </c>
      <c r="E14" s="313"/>
      <c r="F14" s="311"/>
      <c r="G14" s="312"/>
      <c r="H14" s="313"/>
      <c r="I14" s="309">
        <v>20.0</v>
      </c>
      <c r="J14" s="313"/>
      <c r="K14" s="311"/>
      <c r="L14" s="308">
        <v>100.0</v>
      </c>
      <c r="M14" s="313"/>
      <c r="N14" s="313"/>
      <c r="O14" s="311"/>
      <c r="P14" s="309">
        <v>1.0</v>
      </c>
      <c r="Q14" s="309">
        <v>0.1</v>
      </c>
      <c r="R14" s="313"/>
      <c r="S14" s="310" t="s">
        <v>144</v>
      </c>
      <c r="T14" s="312"/>
      <c r="U14" s="309">
        <v>6.0</v>
      </c>
      <c r="V14" s="309">
        <v>7.0</v>
      </c>
      <c r="W14" s="309"/>
    </row>
    <row r="15" ht="15.0" customHeight="1">
      <c r="A15" s="304" t="s">
        <v>356</v>
      </c>
      <c r="B15" s="308"/>
      <c r="C15" s="309">
        <v>59.0</v>
      </c>
      <c r="D15" s="309"/>
      <c r="E15" s="313"/>
      <c r="F15" s="310">
        <v>69.0</v>
      </c>
      <c r="G15" s="312"/>
      <c r="H15" s="313"/>
      <c r="I15" s="309"/>
      <c r="J15" s="313"/>
      <c r="K15" s="311"/>
      <c r="L15" s="308">
        <v>71.0</v>
      </c>
      <c r="M15" s="309">
        <v>49.0</v>
      </c>
      <c r="N15" s="313"/>
      <c r="O15" s="311"/>
      <c r="P15" s="309"/>
      <c r="Q15" s="309"/>
      <c r="R15" s="313"/>
      <c r="S15" s="311"/>
      <c r="T15" s="312"/>
      <c r="U15" s="309">
        <v>5.0</v>
      </c>
      <c r="V15" s="309">
        <v>18.0</v>
      </c>
      <c r="W15" s="309"/>
    </row>
    <row r="16" ht="15.0" customHeight="1">
      <c r="A16" s="304" t="s">
        <v>357</v>
      </c>
      <c r="B16" s="308">
        <v>55.0</v>
      </c>
      <c r="C16" s="309">
        <v>94.0</v>
      </c>
      <c r="D16" s="309"/>
      <c r="E16" s="309"/>
      <c r="F16" s="311"/>
      <c r="G16" s="312"/>
      <c r="H16" s="313"/>
      <c r="I16" s="313"/>
      <c r="J16" s="309"/>
      <c r="K16" s="311"/>
      <c r="L16" s="308">
        <v>89.0</v>
      </c>
      <c r="M16" s="313"/>
      <c r="N16" s="313"/>
      <c r="O16" s="311"/>
      <c r="P16" s="313"/>
      <c r="Q16" s="313"/>
      <c r="R16" s="313"/>
      <c r="S16" s="311"/>
      <c r="T16" s="312"/>
      <c r="U16" s="309">
        <v>4.0</v>
      </c>
      <c r="V16" s="309">
        <v>6.0</v>
      </c>
      <c r="W16" s="309"/>
    </row>
    <row r="17" ht="15.0" customHeight="1">
      <c r="A17" s="304" t="s">
        <v>358</v>
      </c>
      <c r="B17" s="308">
        <v>5.0</v>
      </c>
      <c r="C17" s="309">
        <v>3.0</v>
      </c>
      <c r="D17" s="309">
        <v>-4.0</v>
      </c>
      <c r="E17" s="309">
        <v>1.0</v>
      </c>
      <c r="F17" s="311"/>
      <c r="G17" s="312"/>
      <c r="H17" s="313"/>
      <c r="I17" s="313"/>
      <c r="J17" s="309">
        <v>1.0</v>
      </c>
      <c r="K17" s="311"/>
      <c r="L17" s="308">
        <v>4.0</v>
      </c>
      <c r="M17" s="313"/>
      <c r="N17" s="313"/>
      <c r="O17" s="311"/>
      <c r="P17" s="313"/>
      <c r="Q17" s="313"/>
      <c r="R17" s="313"/>
      <c r="S17" s="311"/>
      <c r="T17" s="312"/>
      <c r="U17" s="309">
        <v>4.0</v>
      </c>
      <c r="V17" s="309">
        <v>4.0</v>
      </c>
      <c r="W17" s="309"/>
    </row>
    <row r="18" ht="15.0" customHeight="1">
      <c r="A18" s="304" t="s">
        <v>359</v>
      </c>
      <c r="B18" s="308">
        <v>7.0</v>
      </c>
      <c r="C18" s="309">
        <v>47.0</v>
      </c>
      <c r="D18" s="309">
        <v>-2.0</v>
      </c>
      <c r="E18" s="313"/>
      <c r="F18" s="311"/>
      <c r="G18" s="312"/>
      <c r="H18" s="313"/>
      <c r="I18" s="313"/>
      <c r="J18" s="313"/>
      <c r="K18" s="311"/>
      <c r="L18" s="308">
        <v>46.0</v>
      </c>
      <c r="M18" s="313"/>
      <c r="N18" s="313"/>
      <c r="O18" s="311"/>
      <c r="P18" s="313"/>
      <c r="Q18" s="313"/>
      <c r="R18" s="313"/>
      <c r="S18" s="311"/>
      <c r="T18" s="312"/>
      <c r="U18" s="309">
        <v>4.0</v>
      </c>
      <c r="V18" s="309">
        <v>5.0</v>
      </c>
      <c r="W18" s="309"/>
    </row>
    <row r="19" ht="15.0" customHeight="1">
      <c r="A19" s="304" t="s">
        <v>360</v>
      </c>
      <c r="B19" s="308">
        <v>85.0</v>
      </c>
      <c r="C19" s="309">
        <v>110.0</v>
      </c>
      <c r="D19" s="313"/>
      <c r="E19" s="309">
        <v>-4.0</v>
      </c>
      <c r="F19" s="311"/>
      <c r="G19" s="308">
        <v>-1.0</v>
      </c>
      <c r="H19" s="309">
        <v>4.0</v>
      </c>
      <c r="I19" s="309">
        <v>5.0</v>
      </c>
      <c r="J19" s="313"/>
      <c r="K19" s="311"/>
      <c r="L19" s="308">
        <v>118.0</v>
      </c>
      <c r="M19" s="313"/>
      <c r="N19" s="313"/>
      <c r="O19" s="311"/>
      <c r="P19" s="309">
        <v>-0.25</v>
      </c>
      <c r="Q19" s="309">
        <v>0.1</v>
      </c>
      <c r="R19" s="313"/>
      <c r="S19" s="310" t="s">
        <v>143</v>
      </c>
      <c r="T19" s="312"/>
      <c r="U19" s="309">
        <v>7.0</v>
      </c>
      <c r="V19" s="309">
        <v>11.0</v>
      </c>
      <c r="W19" s="309"/>
    </row>
    <row r="20" ht="15.0" customHeight="1">
      <c r="A20" s="304" t="s">
        <v>361</v>
      </c>
      <c r="B20" s="308">
        <v>68.0</v>
      </c>
      <c r="C20" s="309">
        <v>68.0</v>
      </c>
      <c r="D20" s="309">
        <v>4.0</v>
      </c>
      <c r="E20" s="309">
        <v>0.0</v>
      </c>
      <c r="F20" s="310">
        <v>0.0</v>
      </c>
      <c r="G20" s="308">
        <v>0.0</v>
      </c>
      <c r="H20" s="309">
        <v>0.0</v>
      </c>
      <c r="I20" s="309">
        <v>0.0</v>
      </c>
      <c r="J20" s="309">
        <v>0.0</v>
      </c>
      <c r="K20" s="310">
        <v>0.0</v>
      </c>
      <c r="L20" s="308">
        <v>42.0</v>
      </c>
      <c r="M20" s="309">
        <v>0.0</v>
      </c>
      <c r="N20" s="309">
        <v>0.0</v>
      </c>
      <c r="O20" s="310">
        <v>1.0</v>
      </c>
      <c r="P20" s="313"/>
      <c r="Q20" s="313"/>
      <c r="R20" s="309"/>
      <c r="S20" s="310"/>
      <c r="T20" s="312"/>
      <c r="U20" s="309">
        <v>4.0</v>
      </c>
      <c r="V20" s="309">
        <v>11.0</v>
      </c>
      <c r="W20" s="309"/>
    </row>
    <row r="21" ht="15.0" customHeight="1">
      <c r="A21" s="304" t="s">
        <v>362</v>
      </c>
      <c r="B21" s="308">
        <v>114.0</v>
      </c>
      <c r="C21" s="309">
        <v>114.0</v>
      </c>
      <c r="D21" s="309">
        <v>12.0</v>
      </c>
      <c r="E21" s="309">
        <v>0.0</v>
      </c>
      <c r="F21" s="310">
        <v>0.0</v>
      </c>
      <c r="G21" s="308">
        <v>0.0</v>
      </c>
      <c r="H21" s="309">
        <v>0.0</v>
      </c>
      <c r="I21" s="309">
        <v>0.0</v>
      </c>
      <c r="J21" s="309">
        <v>0.0</v>
      </c>
      <c r="K21" s="310">
        <v>0.0</v>
      </c>
      <c r="L21" s="308">
        <v>88.0</v>
      </c>
      <c r="M21" s="309">
        <v>0.0</v>
      </c>
      <c r="N21" s="309">
        <v>0.0</v>
      </c>
      <c r="O21" s="310">
        <v>2.0</v>
      </c>
      <c r="P21" s="313"/>
      <c r="Q21" s="313"/>
      <c r="R21" s="309"/>
      <c r="S21" s="310"/>
      <c r="T21" s="312"/>
      <c r="U21" s="309">
        <v>4.0</v>
      </c>
      <c r="V21" s="309">
        <v>11.0</v>
      </c>
      <c r="W21" s="309"/>
    </row>
    <row r="22" ht="15.0" customHeight="1">
      <c r="A22" s="304" t="s">
        <v>363</v>
      </c>
      <c r="B22" s="308">
        <v>166.0</v>
      </c>
      <c r="C22" s="309">
        <v>166.0</v>
      </c>
      <c r="D22" s="309">
        <v>28.0</v>
      </c>
      <c r="E22" s="309">
        <v>0.0</v>
      </c>
      <c r="F22" s="310">
        <v>0.0</v>
      </c>
      <c r="G22" s="308">
        <v>0.0</v>
      </c>
      <c r="H22" s="309">
        <v>0.0</v>
      </c>
      <c r="I22" s="309">
        <v>0.0</v>
      </c>
      <c r="J22" s="309">
        <v>0.0</v>
      </c>
      <c r="K22" s="310">
        <v>0.0</v>
      </c>
      <c r="L22" s="308">
        <v>138.0</v>
      </c>
      <c r="M22" s="309">
        <v>0.0</v>
      </c>
      <c r="N22" s="309">
        <v>0.0</v>
      </c>
      <c r="O22" s="310">
        <v>3.0</v>
      </c>
      <c r="P22" s="313"/>
      <c r="Q22" s="313"/>
      <c r="R22" s="309"/>
      <c r="S22" s="310"/>
      <c r="T22" s="312"/>
      <c r="U22" s="309">
        <v>4.0</v>
      </c>
      <c r="V22" s="309">
        <v>11.0</v>
      </c>
      <c r="W22" s="309"/>
    </row>
    <row r="23" ht="15.0" customHeight="1">
      <c r="A23" s="304" t="s">
        <v>364</v>
      </c>
      <c r="B23" s="308">
        <v>8.0</v>
      </c>
      <c r="C23" s="309">
        <v>10.0</v>
      </c>
      <c r="D23" s="309">
        <v>16.0</v>
      </c>
      <c r="E23" s="309">
        <v>0.0</v>
      </c>
      <c r="F23" s="310">
        <v>0.0</v>
      </c>
      <c r="G23" s="308">
        <v>0.0</v>
      </c>
      <c r="H23" s="309">
        <v>0.0</v>
      </c>
      <c r="I23" s="309">
        <v>0.0</v>
      </c>
      <c r="J23" s="309">
        <v>0.0</v>
      </c>
      <c r="K23" s="310">
        <v>0.0</v>
      </c>
      <c r="L23" s="308">
        <v>20.0</v>
      </c>
      <c r="M23" s="313"/>
      <c r="N23" s="313"/>
      <c r="O23" s="311"/>
      <c r="P23" s="313"/>
      <c r="Q23" s="313"/>
      <c r="R23" s="309"/>
      <c r="S23" s="310"/>
      <c r="T23" s="312"/>
      <c r="U23" s="309">
        <v>5.0</v>
      </c>
      <c r="V23" s="309">
        <v>9.0</v>
      </c>
      <c r="W23" s="309"/>
    </row>
    <row r="24" ht="15.0" customHeight="1">
      <c r="A24" s="304" t="s">
        <v>193</v>
      </c>
      <c r="B24" s="308">
        <v>10.0</v>
      </c>
      <c r="C24" s="309">
        <v>16.0</v>
      </c>
      <c r="D24" s="309">
        <v>-2.0</v>
      </c>
      <c r="E24" s="313"/>
      <c r="F24" s="311"/>
      <c r="G24" s="312"/>
      <c r="H24" s="309">
        <v>3.0</v>
      </c>
      <c r="I24" s="309">
        <v>2.0</v>
      </c>
      <c r="J24" s="309">
        <v>2.0</v>
      </c>
      <c r="K24" s="311"/>
      <c r="L24" s="308">
        <v>13.0</v>
      </c>
      <c r="M24" s="313"/>
      <c r="N24" s="313"/>
      <c r="O24" s="311"/>
      <c r="P24" s="313"/>
      <c r="Q24" s="313"/>
      <c r="R24" s="309"/>
      <c r="S24" s="310" t="s">
        <v>142</v>
      </c>
      <c r="T24" s="312"/>
      <c r="U24" s="309">
        <v>5.0</v>
      </c>
      <c r="V24" s="309">
        <v>6.0</v>
      </c>
      <c r="W24" s="309"/>
    </row>
    <row r="25" ht="15.0" customHeight="1">
      <c r="A25" s="304" t="s">
        <v>365</v>
      </c>
      <c r="B25" s="312"/>
      <c r="C25" s="309">
        <v>103.0</v>
      </c>
      <c r="D25" s="309">
        <v>95.0</v>
      </c>
      <c r="E25" s="309">
        <v>-4.0</v>
      </c>
      <c r="F25" s="311"/>
      <c r="G25" s="312"/>
      <c r="H25" s="313"/>
      <c r="I25" s="313"/>
      <c r="J25" s="313"/>
      <c r="K25" s="310">
        <v>-1.0</v>
      </c>
      <c r="L25" s="308">
        <v>105.0</v>
      </c>
      <c r="M25" s="313"/>
      <c r="N25" s="313"/>
      <c r="O25" s="311"/>
      <c r="P25" s="313"/>
      <c r="Q25" s="313"/>
      <c r="R25" s="313"/>
      <c r="S25" s="311"/>
      <c r="T25" s="312"/>
      <c r="U25" s="309">
        <v>7.0</v>
      </c>
      <c r="V25" s="309">
        <v>8.0</v>
      </c>
      <c r="W25" s="309"/>
    </row>
    <row r="26" ht="15.0" customHeight="1">
      <c r="A26" s="304" t="s">
        <v>366</v>
      </c>
      <c r="B26" s="308">
        <v>0.0</v>
      </c>
      <c r="C26" s="309">
        <v>0.0</v>
      </c>
      <c r="D26" s="309">
        <v>110.0</v>
      </c>
      <c r="E26" s="309">
        <v>0.0</v>
      </c>
      <c r="F26" s="310">
        <v>0.0</v>
      </c>
      <c r="G26" s="308">
        <v>141.0</v>
      </c>
      <c r="H26" s="309">
        <v>145.0</v>
      </c>
      <c r="I26" s="309">
        <v>145.0</v>
      </c>
      <c r="J26" s="309">
        <v>18.0</v>
      </c>
      <c r="K26" s="310">
        <v>148.0</v>
      </c>
      <c r="L26" s="308">
        <v>38.0</v>
      </c>
      <c r="M26" s="313"/>
      <c r="N26" s="313"/>
      <c r="O26" s="311"/>
      <c r="P26" s="309">
        <v>0.2</v>
      </c>
      <c r="Q26" s="309"/>
      <c r="R26" s="313"/>
      <c r="S26" s="310" t="s">
        <v>144</v>
      </c>
      <c r="T26" s="312"/>
      <c r="U26" s="309">
        <v>7.0</v>
      </c>
      <c r="V26" s="309">
        <v>21.0</v>
      </c>
      <c r="W26" s="309"/>
    </row>
    <row r="27" ht="15.0" customHeight="1">
      <c r="A27" s="304" t="s">
        <v>367</v>
      </c>
      <c r="B27" s="308">
        <v>-4.0</v>
      </c>
      <c r="C27" s="309">
        <v>92.0</v>
      </c>
      <c r="D27" s="309">
        <v>80.0</v>
      </c>
      <c r="E27" s="309">
        <v>-4.0</v>
      </c>
      <c r="F27" s="311"/>
      <c r="G27" s="312"/>
      <c r="H27" s="313"/>
      <c r="I27" s="313"/>
      <c r="J27" s="313"/>
      <c r="K27" s="310">
        <v>-1.0</v>
      </c>
      <c r="L27" s="308">
        <v>93.0</v>
      </c>
      <c r="M27" s="313"/>
      <c r="N27" s="313"/>
      <c r="O27" s="311"/>
      <c r="P27" s="309"/>
      <c r="Q27" s="309"/>
      <c r="R27" s="313"/>
      <c r="S27" s="310" t="s">
        <v>143</v>
      </c>
      <c r="T27" s="312"/>
      <c r="U27" s="309">
        <v>7.0</v>
      </c>
      <c r="V27" s="309">
        <v>10.0</v>
      </c>
      <c r="W27" s="309"/>
    </row>
    <row r="28" ht="15.0" customHeight="1">
      <c r="A28" s="304" t="s">
        <v>368</v>
      </c>
      <c r="B28" s="308">
        <v>-2.0</v>
      </c>
      <c r="C28" s="309">
        <v>70.0</v>
      </c>
      <c r="D28" s="309">
        <v>65.0</v>
      </c>
      <c r="E28" s="309"/>
      <c r="F28" s="311"/>
      <c r="G28" s="312"/>
      <c r="H28" s="313"/>
      <c r="I28" s="313"/>
      <c r="J28" s="313"/>
      <c r="K28" s="310">
        <v>-1.0</v>
      </c>
      <c r="L28" s="308">
        <v>85.0</v>
      </c>
      <c r="M28" s="313"/>
      <c r="N28" s="313"/>
      <c r="O28" s="311"/>
      <c r="P28" s="309"/>
      <c r="Q28" s="309"/>
      <c r="R28" s="313"/>
      <c r="S28" s="310" t="s">
        <v>143</v>
      </c>
      <c r="T28" s="312"/>
      <c r="U28" s="309">
        <v>6.0</v>
      </c>
      <c r="V28" s="309">
        <v>8.0</v>
      </c>
      <c r="W28" s="309"/>
    </row>
    <row r="29" ht="15.0" customHeight="1">
      <c r="A29" s="304" t="s">
        <v>369</v>
      </c>
      <c r="B29" s="308">
        <v>41.0</v>
      </c>
      <c r="C29" s="309">
        <v>57.0</v>
      </c>
      <c r="D29" s="309"/>
      <c r="E29" s="309"/>
      <c r="F29" s="311"/>
      <c r="G29" s="308">
        <v>13.0</v>
      </c>
      <c r="H29" s="309">
        <v>26.0</v>
      </c>
      <c r="I29" s="309">
        <v>7.0</v>
      </c>
      <c r="J29" s="313"/>
      <c r="K29" s="310"/>
      <c r="L29" s="308">
        <v>56.0</v>
      </c>
      <c r="M29" s="313"/>
      <c r="N29" s="313"/>
      <c r="O29" s="311"/>
      <c r="P29" s="309"/>
      <c r="Q29" s="309"/>
      <c r="R29" s="313"/>
      <c r="S29" s="310" t="s">
        <v>143</v>
      </c>
      <c r="T29" s="312"/>
      <c r="U29" s="309">
        <v>4.0</v>
      </c>
      <c r="V29" s="309">
        <v>6.0</v>
      </c>
      <c r="W29" s="309"/>
    </row>
    <row r="30" ht="15.0" customHeight="1">
      <c r="A30" s="304" t="s">
        <v>370</v>
      </c>
      <c r="B30" s="308">
        <v>40.0</v>
      </c>
      <c r="C30" s="309">
        <v>25.0</v>
      </c>
      <c r="D30" s="309">
        <v>-4.0</v>
      </c>
      <c r="E30" s="309">
        <v>1.0</v>
      </c>
      <c r="F30" s="311"/>
      <c r="G30" s="312"/>
      <c r="H30" s="313"/>
      <c r="I30" s="313"/>
      <c r="J30" s="313"/>
      <c r="K30" s="311"/>
      <c r="L30" s="308">
        <v>40.0</v>
      </c>
      <c r="M30" s="313"/>
      <c r="N30" s="313"/>
      <c r="O30" s="311"/>
      <c r="P30" s="309">
        <v>0.15</v>
      </c>
      <c r="Q30" s="309">
        <v>0.15</v>
      </c>
      <c r="R30" s="313"/>
      <c r="S30" s="310" t="s">
        <v>143</v>
      </c>
      <c r="T30" s="312"/>
      <c r="U30" s="309">
        <v>4.0</v>
      </c>
      <c r="V30" s="309">
        <v>4.0</v>
      </c>
      <c r="W30" s="309"/>
    </row>
    <row r="31" ht="15.0" customHeight="1">
      <c r="A31" s="304" t="s">
        <v>371</v>
      </c>
      <c r="B31" s="308">
        <v>70.0</v>
      </c>
      <c r="C31" s="309">
        <v>95.0</v>
      </c>
      <c r="D31" s="313"/>
      <c r="E31" s="309">
        <v>-4.0</v>
      </c>
      <c r="F31" s="311"/>
      <c r="G31" s="308">
        <v>-1.0</v>
      </c>
      <c r="H31" s="309">
        <v>4.0</v>
      </c>
      <c r="I31" s="309">
        <v>5.0</v>
      </c>
      <c r="J31" s="313"/>
      <c r="K31" s="311"/>
      <c r="L31" s="308">
        <v>89.0</v>
      </c>
      <c r="M31" s="313"/>
      <c r="N31" s="313"/>
      <c r="O31" s="311"/>
      <c r="P31" s="309">
        <v>-0.25</v>
      </c>
      <c r="Q31" s="309">
        <v>0.1</v>
      </c>
      <c r="R31" s="313"/>
      <c r="S31" s="310" t="s">
        <v>143</v>
      </c>
      <c r="T31" s="312"/>
      <c r="U31" s="309">
        <v>7.0</v>
      </c>
      <c r="V31" s="309">
        <v>11.0</v>
      </c>
      <c r="W31" s="309"/>
    </row>
    <row r="32" ht="15.0" customHeight="1">
      <c r="A32" s="304" t="s">
        <v>372</v>
      </c>
      <c r="B32" s="308">
        <v>55.0</v>
      </c>
      <c r="C32" s="309">
        <v>55.0</v>
      </c>
      <c r="D32" s="309">
        <v>55.0</v>
      </c>
      <c r="E32" s="309">
        <v>0.0</v>
      </c>
      <c r="F32" s="310">
        <v>0.0</v>
      </c>
      <c r="G32" s="308">
        <v>-15.0</v>
      </c>
      <c r="H32" s="309">
        <v>-15.0</v>
      </c>
      <c r="I32" s="309">
        <v>-12.0</v>
      </c>
      <c r="J32" s="309">
        <v>0.0</v>
      </c>
      <c r="K32" s="310">
        <v>-15.0</v>
      </c>
      <c r="L32" s="308">
        <v>60.0</v>
      </c>
      <c r="M32" s="313"/>
      <c r="N32" s="313"/>
      <c r="O32" s="311"/>
      <c r="P32" s="309">
        <v>1.0</v>
      </c>
      <c r="Q32" s="309">
        <v>0.5</v>
      </c>
      <c r="R32" s="313"/>
      <c r="S32" s="310" t="s">
        <v>142</v>
      </c>
      <c r="T32" s="312"/>
      <c r="U32" s="309">
        <v>4.0</v>
      </c>
      <c r="V32" s="309">
        <v>12.0</v>
      </c>
      <c r="W32" s="309"/>
    </row>
    <row r="33" ht="15.0" customHeight="1">
      <c r="A33" s="304" t="s">
        <v>373</v>
      </c>
      <c r="B33" s="308">
        <v>85.0</v>
      </c>
      <c r="C33" s="309">
        <v>65.0</v>
      </c>
      <c r="D33" s="309">
        <v>65.0</v>
      </c>
      <c r="E33" s="309">
        <v>0.0</v>
      </c>
      <c r="F33" s="310">
        <v>0.0</v>
      </c>
      <c r="G33" s="308">
        <v>0.0</v>
      </c>
      <c r="H33" s="309">
        <v>0.0</v>
      </c>
      <c r="I33" s="309">
        <v>0.0</v>
      </c>
      <c r="J33" s="309">
        <v>0.0</v>
      </c>
      <c r="K33" s="310">
        <v>0.0</v>
      </c>
      <c r="L33" s="308">
        <v>70.0</v>
      </c>
      <c r="M33" s="313"/>
      <c r="N33" s="313"/>
      <c r="O33" s="311"/>
      <c r="P33" s="309"/>
      <c r="Q33" s="309"/>
      <c r="R33" s="313"/>
      <c r="S33" s="310"/>
      <c r="T33" s="312"/>
      <c r="U33" s="309">
        <v>4.0</v>
      </c>
      <c r="V33" s="309">
        <v>12.0</v>
      </c>
      <c r="W33" s="309"/>
    </row>
    <row r="34" ht="15.0" customHeight="1">
      <c r="A34" s="304" t="s">
        <v>374</v>
      </c>
      <c r="B34" s="308">
        <v>58.0</v>
      </c>
      <c r="C34" s="309">
        <v>69.0</v>
      </c>
      <c r="D34" s="309">
        <v>-2.0</v>
      </c>
      <c r="E34" s="313"/>
      <c r="F34" s="311"/>
      <c r="G34" s="312"/>
      <c r="H34" s="309">
        <v>3.0</v>
      </c>
      <c r="I34" s="309">
        <v>2.0</v>
      </c>
      <c r="J34" s="313"/>
      <c r="K34" s="311"/>
      <c r="L34" s="308">
        <v>71.0</v>
      </c>
      <c r="M34" s="313"/>
      <c r="N34" s="313"/>
      <c r="O34" s="311"/>
      <c r="P34" s="309"/>
      <c r="Q34" s="309">
        <v>0.25</v>
      </c>
      <c r="R34" s="313"/>
      <c r="S34" s="310" t="s">
        <v>143</v>
      </c>
      <c r="T34" s="312"/>
      <c r="U34" s="309">
        <v>5.0</v>
      </c>
      <c r="V34" s="309">
        <v>6.0</v>
      </c>
      <c r="W34" s="309"/>
    </row>
    <row r="35" ht="15.0" customHeight="1">
      <c r="A35" s="304" t="s">
        <v>375</v>
      </c>
      <c r="B35" s="308">
        <v>40.0</v>
      </c>
      <c r="C35" s="309">
        <v>-2.0</v>
      </c>
      <c r="D35" s="309">
        <v>60.0</v>
      </c>
      <c r="E35" s="313"/>
      <c r="F35" s="311"/>
      <c r="G35" s="312"/>
      <c r="H35" s="313"/>
      <c r="I35" s="313"/>
      <c r="J35" s="313"/>
      <c r="K35" s="311"/>
      <c r="L35" s="308">
        <v>55.0</v>
      </c>
      <c r="M35" s="313"/>
      <c r="N35" s="313"/>
      <c r="O35" s="310">
        <v>5.0</v>
      </c>
      <c r="P35" s="309">
        <v>0.25</v>
      </c>
      <c r="Q35" s="309">
        <v>0.5</v>
      </c>
      <c r="R35" s="313"/>
      <c r="S35" s="310" t="s">
        <v>144</v>
      </c>
      <c r="T35" s="312"/>
      <c r="U35" s="309">
        <v>5.0</v>
      </c>
      <c r="V35" s="309">
        <v>7.0</v>
      </c>
      <c r="W35" s="309"/>
    </row>
    <row r="36" ht="15.0" customHeight="1">
      <c r="A36" s="304" t="s">
        <v>376</v>
      </c>
      <c r="B36" s="308">
        <v>8.0</v>
      </c>
      <c r="C36" s="309">
        <v>67.0</v>
      </c>
      <c r="D36" s="309">
        <v>-2.0</v>
      </c>
      <c r="E36" s="313"/>
      <c r="F36" s="311"/>
      <c r="G36" s="312"/>
      <c r="H36" s="309">
        <v>1.0</v>
      </c>
      <c r="I36" s="313"/>
      <c r="J36" s="313"/>
      <c r="K36" s="311"/>
      <c r="L36" s="308">
        <v>66.0</v>
      </c>
      <c r="M36" s="313"/>
      <c r="N36" s="313"/>
      <c r="O36" s="311"/>
      <c r="P36" s="309">
        <v>0.25</v>
      </c>
      <c r="Q36" s="313"/>
      <c r="R36" s="313"/>
      <c r="S36" s="310" t="s">
        <v>143</v>
      </c>
      <c r="T36" s="312"/>
      <c r="U36" s="309">
        <v>4.0</v>
      </c>
      <c r="V36" s="309">
        <v>6.0</v>
      </c>
      <c r="W36" s="309"/>
    </row>
    <row r="37" ht="15.0" customHeight="1">
      <c r="A37" s="304" t="s">
        <v>377</v>
      </c>
      <c r="B37" s="308">
        <v>55.0</v>
      </c>
      <c r="C37" s="309">
        <v>55.0</v>
      </c>
      <c r="D37" s="309">
        <v>55.0</v>
      </c>
      <c r="E37" s="313"/>
      <c r="F37" s="311"/>
      <c r="G37" s="308">
        <v>5.0</v>
      </c>
      <c r="H37" s="309">
        <v>5.0</v>
      </c>
      <c r="I37" s="309">
        <v>5.0</v>
      </c>
      <c r="J37" s="309">
        <v>5.0</v>
      </c>
      <c r="K37" s="310">
        <v>5.0</v>
      </c>
      <c r="L37" s="308">
        <v>60.0</v>
      </c>
      <c r="M37" s="313"/>
      <c r="N37" s="313"/>
      <c r="O37" s="311"/>
      <c r="P37" s="313"/>
      <c r="Q37" s="313"/>
      <c r="R37" s="313"/>
      <c r="S37" s="310"/>
      <c r="T37" s="312"/>
      <c r="U37" s="309">
        <v>5.0</v>
      </c>
      <c r="V37" s="309">
        <v>12.0</v>
      </c>
      <c r="W37" s="309"/>
    </row>
    <row r="38" ht="15.0" customHeight="1">
      <c r="A38" s="304" t="s">
        <v>378</v>
      </c>
      <c r="B38" s="308">
        <v>65.0</v>
      </c>
      <c r="C38" s="309">
        <v>55.0</v>
      </c>
      <c r="D38" s="309">
        <v>-2.0</v>
      </c>
      <c r="E38" s="313"/>
      <c r="F38" s="311"/>
      <c r="G38" s="312"/>
      <c r="H38" s="309">
        <v>2.0</v>
      </c>
      <c r="I38" s="309">
        <v>1.0</v>
      </c>
      <c r="J38" s="313"/>
      <c r="K38" s="311"/>
      <c r="L38" s="308">
        <v>63.0</v>
      </c>
      <c r="M38" s="313"/>
      <c r="N38" s="313"/>
      <c r="O38" s="311"/>
      <c r="P38" s="309">
        <v>0.25</v>
      </c>
      <c r="Q38" s="309">
        <v>0.25</v>
      </c>
      <c r="R38" s="313"/>
      <c r="S38" s="310" t="s">
        <v>142</v>
      </c>
      <c r="T38" s="312"/>
      <c r="U38" s="309">
        <v>4.0</v>
      </c>
      <c r="V38" s="309">
        <v>5.0</v>
      </c>
      <c r="W38" s="309"/>
    </row>
    <row r="39" ht="15.0" customHeight="1">
      <c r="A39" s="304" t="s">
        <v>379</v>
      </c>
      <c r="B39" s="308">
        <v>-4.0</v>
      </c>
      <c r="C39" s="309">
        <v>-4.0</v>
      </c>
      <c r="D39" s="309">
        <v>95.0</v>
      </c>
      <c r="E39" s="309">
        <v>-4.0</v>
      </c>
      <c r="F39" s="310">
        <v>0.0</v>
      </c>
      <c r="G39" s="312"/>
      <c r="H39" s="309"/>
      <c r="I39" s="313"/>
      <c r="J39" s="313"/>
      <c r="K39" s="311"/>
      <c r="L39" s="308">
        <v>85.0</v>
      </c>
      <c r="M39" s="313"/>
      <c r="N39" s="313"/>
      <c r="O39" s="311"/>
      <c r="P39" s="309"/>
      <c r="Q39" s="309">
        <v>0.5</v>
      </c>
      <c r="R39" s="313"/>
      <c r="S39" s="310" t="s">
        <v>144</v>
      </c>
      <c r="T39" s="312"/>
      <c r="U39" s="309">
        <v>6.0</v>
      </c>
      <c r="V39" s="309">
        <v>9.0</v>
      </c>
      <c r="W39" s="309"/>
    </row>
    <row r="40" ht="15.0" customHeight="1">
      <c r="A40" s="304" t="s">
        <v>380</v>
      </c>
      <c r="B40" s="308"/>
      <c r="C40" s="309"/>
      <c r="D40" s="309">
        <v>135.0</v>
      </c>
      <c r="E40" s="309"/>
      <c r="F40" s="310"/>
      <c r="G40" s="312"/>
      <c r="H40" s="309"/>
      <c r="I40" s="313"/>
      <c r="J40" s="313"/>
      <c r="K40" s="311"/>
      <c r="L40" s="308">
        <v>147.0</v>
      </c>
      <c r="M40" s="313"/>
      <c r="N40" s="313"/>
      <c r="O40" s="311"/>
      <c r="P40" s="309"/>
      <c r="Q40" s="309"/>
      <c r="R40" s="313"/>
      <c r="S40" s="310"/>
      <c r="T40" s="312"/>
      <c r="U40" s="309">
        <v>6.0</v>
      </c>
      <c r="V40" s="309">
        <v>9.0</v>
      </c>
      <c r="W40" s="309"/>
    </row>
    <row r="41" ht="15.0" customHeight="1">
      <c r="A41" s="304" t="s">
        <v>381</v>
      </c>
      <c r="B41" s="308"/>
      <c r="C41" s="309"/>
      <c r="D41" s="309"/>
      <c r="E41" s="309"/>
      <c r="F41" s="310"/>
      <c r="G41" s="312"/>
      <c r="H41" s="309"/>
      <c r="I41" s="313"/>
      <c r="J41" s="313"/>
      <c r="K41" s="311"/>
      <c r="L41" s="308"/>
      <c r="M41" s="313"/>
      <c r="N41" s="313"/>
      <c r="O41" s="311"/>
      <c r="P41" s="309"/>
      <c r="Q41" s="309"/>
      <c r="R41" s="313"/>
      <c r="S41" s="310"/>
      <c r="T41" s="312"/>
      <c r="U41" s="309">
        <v>3.0</v>
      </c>
      <c r="V41" s="309">
        <v>3.0</v>
      </c>
      <c r="W41" s="309"/>
    </row>
    <row r="42" ht="15.0" customHeight="1">
      <c r="A42" s="304" t="s">
        <v>382</v>
      </c>
      <c r="B42" s="308"/>
      <c r="C42" s="309"/>
      <c r="D42" s="309"/>
      <c r="E42" s="309"/>
      <c r="F42" s="310"/>
      <c r="G42" s="312"/>
      <c r="H42" s="309"/>
      <c r="I42" s="313"/>
      <c r="J42" s="313"/>
      <c r="K42" s="311"/>
      <c r="L42" s="308"/>
      <c r="M42" s="313"/>
      <c r="N42" s="313"/>
      <c r="O42" s="311"/>
      <c r="P42" s="309"/>
      <c r="Q42" s="309"/>
      <c r="R42" s="313"/>
      <c r="S42" s="310"/>
      <c r="T42" s="312"/>
      <c r="U42" s="309">
        <v>4.0</v>
      </c>
      <c r="V42" s="309">
        <v>14.0</v>
      </c>
      <c r="W42" s="309"/>
    </row>
    <row r="43" ht="15.0" customHeight="1">
      <c r="A43" s="304" t="s">
        <v>196</v>
      </c>
      <c r="B43" s="320">
        <v>-4.0</v>
      </c>
      <c r="C43" s="321">
        <v>-4.0</v>
      </c>
      <c r="D43" s="321">
        <v>35.0</v>
      </c>
      <c r="E43" s="313"/>
      <c r="F43" s="311"/>
      <c r="G43" s="312"/>
      <c r="H43" s="313"/>
      <c r="I43" s="313"/>
      <c r="J43" s="309"/>
      <c r="K43" s="311"/>
      <c r="L43" s="308">
        <v>35.0</v>
      </c>
      <c r="M43" s="313"/>
      <c r="N43" s="313"/>
      <c r="O43" s="310"/>
      <c r="P43" s="313"/>
      <c r="Q43" s="309"/>
      <c r="R43" s="309"/>
      <c r="S43" s="310" t="s">
        <v>144</v>
      </c>
      <c r="T43" s="312"/>
      <c r="U43" s="309">
        <v>5.0</v>
      </c>
      <c r="V43" s="309">
        <v>9.0</v>
      </c>
      <c r="W43" s="309"/>
    </row>
    <row r="44" ht="15.0" customHeight="1">
      <c r="A44" s="322" t="s">
        <v>383</v>
      </c>
      <c r="B44" s="318">
        <v>94.0</v>
      </c>
      <c r="C44" s="315">
        <v>55.0</v>
      </c>
      <c r="D44" s="315"/>
      <c r="E44" s="315"/>
      <c r="F44" s="323"/>
      <c r="G44" s="315">
        <v>0.0</v>
      </c>
      <c r="H44" s="315">
        <v>0.0</v>
      </c>
      <c r="I44" s="315">
        <v>0.0</v>
      </c>
      <c r="J44" s="315">
        <v>0.0</v>
      </c>
      <c r="K44" s="323">
        <v>0.0</v>
      </c>
      <c r="L44" s="324">
        <v>89.0</v>
      </c>
      <c r="M44" s="315"/>
      <c r="N44" s="315"/>
      <c r="O44" s="323"/>
      <c r="P44" s="325"/>
      <c r="Q44" s="325"/>
      <c r="R44" s="325"/>
      <c r="S44" s="326"/>
      <c r="T44" s="325"/>
      <c r="U44" s="318">
        <v>4.0</v>
      </c>
      <c r="V44" s="315">
        <v>5.0</v>
      </c>
      <c r="W44" s="315"/>
    </row>
    <row r="45" ht="15.0" customHeight="1">
      <c r="A45" s="304" t="s">
        <v>384</v>
      </c>
      <c r="B45" s="309">
        <v>52.0</v>
      </c>
      <c r="C45" s="309">
        <v>-4.0</v>
      </c>
      <c r="D45" s="309">
        <v>95.0</v>
      </c>
      <c r="E45" s="309"/>
      <c r="F45" s="310"/>
      <c r="G45" s="313"/>
      <c r="H45" s="309"/>
      <c r="I45" s="309"/>
      <c r="J45" s="313"/>
      <c r="K45" s="311"/>
      <c r="L45" s="308">
        <v>89.0</v>
      </c>
      <c r="M45" s="313"/>
      <c r="N45" s="313"/>
      <c r="O45" s="310">
        <v>2.0</v>
      </c>
      <c r="P45" s="309"/>
      <c r="Q45" s="313"/>
      <c r="R45" s="313"/>
      <c r="S45" s="310"/>
      <c r="T45" s="313"/>
      <c r="U45" s="309">
        <v>4.0</v>
      </c>
      <c r="V45" s="309">
        <v>7.0</v>
      </c>
      <c r="W45" s="309"/>
    </row>
    <row r="46" ht="15.0" customHeight="1">
      <c r="A46" s="304" t="s">
        <v>385</v>
      </c>
      <c r="B46" s="308">
        <v>0.0</v>
      </c>
      <c r="C46" s="309">
        <v>0.0</v>
      </c>
      <c r="D46" s="309">
        <v>57.0</v>
      </c>
      <c r="E46" s="309">
        <v>-3.0</v>
      </c>
      <c r="F46" s="310">
        <v>-1.0</v>
      </c>
      <c r="G46" s="312"/>
      <c r="H46" s="309"/>
      <c r="I46" s="309"/>
      <c r="J46" s="313"/>
      <c r="K46" s="311"/>
      <c r="L46" s="308">
        <v>56.0</v>
      </c>
      <c r="M46" s="313"/>
      <c r="N46" s="313"/>
      <c r="O46" s="311"/>
      <c r="P46" s="309">
        <v>0.5</v>
      </c>
      <c r="Q46" s="313"/>
      <c r="R46" s="313"/>
      <c r="S46" s="310" t="s">
        <v>144</v>
      </c>
      <c r="T46" s="312"/>
      <c r="U46" s="309">
        <v>4.0</v>
      </c>
      <c r="V46" s="309">
        <v>9.0</v>
      </c>
      <c r="W46" s="309"/>
    </row>
    <row r="47" ht="15.0" customHeight="1">
      <c r="A47" s="304" t="s">
        <v>386</v>
      </c>
      <c r="B47" s="308">
        <v>56.0</v>
      </c>
      <c r="C47" s="309">
        <v>65.0</v>
      </c>
      <c r="D47" s="309">
        <v>-2.0</v>
      </c>
      <c r="E47" s="313"/>
      <c r="F47" s="311"/>
      <c r="G47" s="312"/>
      <c r="H47" s="309">
        <v>3.0</v>
      </c>
      <c r="I47" s="309">
        <v>2.0</v>
      </c>
      <c r="J47" s="313"/>
      <c r="K47" s="311"/>
      <c r="L47" s="308">
        <v>62.0</v>
      </c>
      <c r="M47" s="313"/>
      <c r="N47" s="313"/>
      <c r="O47" s="311"/>
      <c r="P47" s="313"/>
      <c r="Q47" s="313"/>
      <c r="R47" s="313"/>
      <c r="S47" s="310"/>
      <c r="T47" s="312"/>
      <c r="U47" s="309">
        <v>5.0</v>
      </c>
      <c r="V47" s="309">
        <v>6.0</v>
      </c>
      <c r="W47" s="309"/>
    </row>
    <row r="48" ht="15.0" customHeight="1">
      <c r="A48" s="304" t="s">
        <v>387</v>
      </c>
      <c r="B48" s="308"/>
      <c r="C48" s="309"/>
      <c r="D48" s="309">
        <v>81.0</v>
      </c>
      <c r="E48" s="313"/>
      <c r="F48" s="311"/>
      <c r="G48" s="312"/>
      <c r="H48" s="313"/>
      <c r="I48" s="313"/>
      <c r="J48" s="313"/>
      <c r="K48" s="311"/>
      <c r="L48" s="308">
        <v>79.0</v>
      </c>
      <c r="M48" s="313"/>
      <c r="N48" s="313"/>
      <c r="O48" s="311"/>
      <c r="P48" s="313"/>
      <c r="Q48" s="313"/>
      <c r="R48" s="313"/>
      <c r="S48" s="310" t="s">
        <v>144</v>
      </c>
      <c r="T48" s="312"/>
      <c r="U48" s="309">
        <v>7.0</v>
      </c>
      <c r="V48" s="309">
        <v>9.0</v>
      </c>
      <c r="W48" s="309"/>
    </row>
    <row r="49" ht="15.0" customHeight="1">
      <c r="A49" s="304" t="s">
        <v>388</v>
      </c>
      <c r="B49" s="308">
        <v>75.0</v>
      </c>
      <c r="C49" s="309">
        <v>75.0</v>
      </c>
      <c r="D49" s="309">
        <v>75.0</v>
      </c>
      <c r="E49" s="309"/>
      <c r="F49" s="311"/>
      <c r="G49" s="308">
        <v>7.0</v>
      </c>
      <c r="H49" s="309">
        <v>7.0</v>
      </c>
      <c r="I49" s="309">
        <v>7.0</v>
      </c>
      <c r="J49" s="313"/>
      <c r="K49" s="310"/>
      <c r="L49" s="308">
        <v>75.0</v>
      </c>
      <c r="M49" s="313"/>
      <c r="N49" s="313"/>
      <c r="O49" s="311"/>
      <c r="P49" s="313"/>
      <c r="Q49" s="313"/>
      <c r="R49" s="313"/>
      <c r="S49" s="311"/>
      <c r="T49" s="312"/>
      <c r="U49" s="309">
        <v>5.0</v>
      </c>
      <c r="V49" s="309">
        <v>12.0</v>
      </c>
      <c r="W49" s="309"/>
    </row>
    <row r="50" ht="15.0" customHeight="1">
      <c r="A50" s="304" t="s">
        <v>389</v>
      </c>
      <c r="B50" s="308"/>
      <c r="C50" s="309"/>
      <c r="D50" s="309"/>
      <c r="E50" s="309"/>
      <c r="F50" s="311"/>
      <c r="G50" s="308"/>
      <c r="H50" s="309"/>
      <c r="I50" s="309"/>
      <c r="J50" s="309"/>
      <c r="K50" s="310"/>
      <c r="L50" s="308"/>
      <c r="M50" s="313"/>
      <c r="N50" s="313"/>
      <c r="O50" s="311"/>
      <c r="P50" s="313"/>
      <c r="Q50" s="313"/>
      <c r="R50" s="313"/>
      <c r="S50" s="311"/>
      <c r="T50" s="312"/>
      <c r="U50" s="309">
        <v>3.0</v>
      </c>
      <c r="V50" s="309">
        <v>9.0</v>
      </c>
      <c r="W50" s="309"/>
    </row>
    <row r="51" ht="15.0" customHeight="1">
      <c r="A51" s="304" t="s">
        <v>390</v>
      </c>
      <c r="B51" s="308">
        <v>-4.0</v>
      </c>
      <c r="C51" s="309">
        <v>50.0</v>
      </c>
      <c r="D51" s="309">
        <v>65.0</v>
      </c>
      <c r="E51" s="309">
        <v>-4.0</v>
      </c>
      <c r="F51" s="311"/>
      <c r="G51" s="308">
        <v>0.0</v>
      </c>
      <c r="H51" s="309">
        <v>0.0</v>
      </c>
      <c r="I51" s="309">
        <v>0.0</v>
      </c>
      <c r="J51" s="309">
        <v>0.0</v>
      </c>
      <c r="K51" s="310">
        <v>-1.0</v>
      </c>
      <c r="L51" s="308">
        <v>70.0</v>
      </c>
      <c r="M51" s="313"/>
      <c r="N51" s="313"/>
      <c r="O51" s="311"/>
      <c r="P51" s="313"/>
      <c r="Q51" s="313"/>
      <c r="R51" s="313"/>
      <c r="S51" s="311"/>
      <c r="T51" s="312"/>
      <c r="U51" s="309">
        <v>7.0</v>
      </c>
      <c r="V51" s="309">
        <v>9.0</v>
      </c>
      <c r="W51" s="309"/>
    </row>
    <row r="52" ht="15.0" customHeight="1">
      <c r="A52" s="304" t="s">
        <v>197</v>
      </c>
      <c r="B52" s="308">
        <v>40.0</v>
      </c>
      <c r="C52" s="309">
        <v>20.0</v>
      </c>
      <c r="D52" s="309">
        <v>-10.0</v>
      </c>
      <c r="E52" s="309">
        <v>2.0</v>
      </c>
      <c r="F52" s="311"/>
      <c r="G52" s="312"/>
      <c r="H52" s="313"/>
      <c r="I52" s="313"/>
      <c r="J52" s="309">
        <v>2.0</v>
      </c>
      <c r="K52" s="311"/>
      <c r="L52" s="308">
        <v>30.0</v>
      </c>
      <c r="M52" s="313"/>
      <c r="N52" s="313"/>
      <c r="O52" s="310">
        <v>2.0</v>
      </c>
      <c r="P52" s="313"/>
      <c r="Q52" s="309"/>
      <c r="R52" s="309"/>
      <c r="S52" s="310" t="s">
        <v>142</v>
      </c>
      <c r="T52" s="312"/>
      <c r="U52" s="309">
        <v>4.0</v>
      </c>
      <c r="V52" s="309">
        <v>4.0</v>
      </c>
      <c r="W52" s="309"/>
    </row>
    <row r="53" ht="15.0" customHeight="1">
      <c r="A53" s="304" t="s">
        <v>391</v>
      </c>
      <c r="B53" s="308">
        <v>47.0</v>
      </c>
      <c r="C53" s="309">
        <v>42.0</v>
      </c>
      <c r="D53" s="309">
        <v>36.0</v>
      </c>
      <c r="E53" s="313"/>
      <c r="F53" s="311"/>
      <c r="G53" s="308">
        <v>1.0</v>
      </c>
      <c r="H53" s="309">
        <v>1.0</v>
      </c>
      <c r="I53" s="313"/>
      <c r="J53" s="313"/>
      <c r="K53" s="311"/>
      <c r="L53" s="308">
        <v>50.0</v>
      </c>
      <c r="M53" s="313"/>
      <c r="N53" s="313"/>
      <c r="O53" s="311"/>
      <c r="P53" s="313"/>
      <c r="Q53" s="313"/>
      <c r="R53" s="313"/>
      <c r="S53" s="311"/>
      <c r="T53" s="312"/>
      <c r="U53" s="309">
        <v>5.0</v>
      </c>
      <c r="V53" s="309">
        <v>12.0</v>
      </c>
      <c r="W53" s="309"/>
    </row>
    <row r="54" ht="15.0" customHeight="1">
      <c r="A54" s="304" t="s">
        <v>392</v>
      </c>
      <c r="B54" s="308">
        <v>67.0</v>
      </c>
      <c r="C54" s="309">
        <v>62.0</v>
      </c>
      <c r="D54" s="309"/>
      <c r="E54" s="313"/>
      <c r="F54" s="311"/>
      <c r="G54" s="312"/>
      <c r="H54" s="313"/>
      <c r="I54" s="313"/>
      <c r="J54" s="313"/>
      <c r="K54" s="311"/>
      <c r="L54" s="308">
        <v>50.0</v>
      </c>
      <c r="M54" s="313"/>
      <c r="N54" s="313"/>
      <c r="O54" s="311"/>
      <c r="P54" s="313"/>
      <c r="Q54" s="313"/>
      <c r="R54" s="313"/>
      <c r="S54" s="311"/>
      <c r="T54" s="312"/>
      <c r="U54" s="309">
        <v>4.0</v>
      </c>
      <c r="V54" s="309">
        <v>5.0</v>
      </c>
      <c r="W54" s="309"/>
    </row>
    <row r="55" ht="15.0" customHeight="1">
      <c r="A55" s="304" t="s">
        <v>393</v>
      </c>
      <c r="B55" s="308">
        <v>-2.0</v>
      </c>
      <c r="C55" s="309">
        <v>72.0</v>
      </c>
      <c r="D55" s="309">
        <v>72.0</v>
      </c>
      <c r="E55" s="313"/>
      <c r="F55" s="311"/>
      <c r="G55" s="312"/>
      <c r="H55" s="313"/>
      <c r="I55" s="313"/>
      <c r="J55" s="313"/>
      <c r="K55" s="310">
        <v>-1.0</v>
      </c>
      <c r="L55" s="308">
        <v>92.0</v>
      </c>
      <c r="M55" s="313"/>
      <c r="N55" s="313"/>
      <c r="O55" s="311"/>
      <c r="P55" s="313"/>
      <c r="Q55" s="313"/>
      <c r="R55" s="313"/>
      <c r="S55" s="311"/>
      <c r="T55" s="312"/>
      <c r="U55" s="309">
        <v>5.0</v>
      </c>
      <c r="V55" s="309">
        <v>8.0</v>
      </c>
      <c r="W55" s="309"/>
    </row>
    <row r="56" ht="15.0" customHeight="1">
      <c r="A56" s="304" t="s">
        <v>394</v>
      </c>
      <c r="B56" s="308"/>
      <c r="C56" s="309"/>
      <c r="D56" s="309"/>
      <c r="E56" s="313"/>
      <c r="F56" s="311"/>
      <c r="G56" s="312"/>
      <c r="H56" s="313"/>
      <c r="I56" s="313"/>
      <c r="J56" s="313"/>
      <c r="K56" s="310"/>
      <c r="L56" s="308">
        <v>20.0</v>
      </c>
      <c r="M56" s="313"/>
      <c r="N56" s="313"/>
      <c r="O56" s="311"/>
      <c r="P56" s="313"/>
      <c r="Q56" s="313"/>
      <c r="R56" s="313"/>
      <c r="S56" s="311"/>
      <c r="T56" s="312"/>
      <c r="U56" s="309">
        <v>4.0</v>
      </c>
      <c r="V56" s="309">
        <v>9.0</v>
      </c>
      <c r="W56" s="309"/>
    </row>
    <row r="57" ht="15.0" customHeight="1">
      <c r="A57" s="304" t="s">
        <v>395</v>
      </c>
      <c r="B57" s="308"/>
      <c r="C57" s="309"/>
      <c r="D57" s="309">
        <v>24.0</v>
      </c>
      <c r="E57" s="313"/>
      <c r="F57" s="311"/>
      <c r="G57" s="312"/>
      <c r="H57" s="313"/>
      <c r="I57" s="313"/>
      <c r="J57" s="313"/>
      <c r="K57" s="310"/>
      <c r="L57" s="308">
        <v>20.0</v>
      </c>
      <c r="M57" s="313"/>
      <c r="N57" s="313"/>
      <c r="O57" s="311"/>
      <c r="P57" s="313"/>
      <c r="Q57" s="313"/>
      <c r="R57" s="313"/>
      <c r="S57" s="311"/>
      <c r="T57" s="312"/>
      <c r="U57" s="309">
        <v>4.0</v>
      </c>
      <c r="V57" s="309">
        <v>9.0</v>
      </c>
      <c r="W57" s="309"/>
    </row>
    <row r="58" ht="15.0" customHeight="1">
      <c r="A58" s="304" t="s">
        <v>396</v>
      </c>
      <c r="B58" s="308"/>
      <c r="C58" s="309"/>
      <c r="D58" s="309"/>
      <c r="E58" s="313"/>
      <c r="F58" s="311"/>
      <c r="G58" s="312"/>
      <c r="H58" s="313"/>
      <c r="I58" s="309">
        <v>24.0</v>
      </c>
      <c r="J58" s="313"/>
      <c r="K58" s="310"/>
      <c r="L58" s="308">
        <v>20.0</v>
      </c>
      <c r="M58" s="313"/>
      <c r="N58" s="313"/>
      <c r="O58" s="311"/>
      <c r="P58" s="313"/>
      <c r="Q58" s="313"/>
      <c r="R58" s="313"/>
      <c r="S58" s="311"/>
      <c r="T58" s="312"/>
      <c r="U58" s="309">
        <v>4.0</v>
      </c>
      <c r="V58" s="309">
        <v>9.0</v>
      </c>
      <c r="W58" s="309"/>
    </row>
    <row r="59" ht="15.0" customHeight="1">
      <c r="A59" s="304" t="s">
        <v>397</v>
      </c>
      <c r="B59" s="308">
        <v>16.0</v>
      </c>
      <c r="C59" s="309">
        <v>48.0</v>
      </c>
      <c r="D59" s="309"/>
      <c r="E59" s="313"/>
      <c r="F59" s="311"/>
      <c r="G59" s="308"/>
      <c r="H59" s="309"/>
      <c r="I59" s="313"/>
      <c r="J59" s="313"/>
      <c r="K59" s="311"/>
      <c r="L59" s="308">
        <v>39.0</v>
      </c>
      <c r="M59" s="313"/>
      <c r="N59" s="313"/>
      <c r="O59" s="311"/>
      <c r="P59" s="313"/>
      <c r="Q59" s="313"/>
      <c r="R59" s="313"/>
      <c r="S59" s="311"/>
      <c r="T59" s="312"/>
      <c r="U59" s="309">
        <v>4.0</v>
      </c>
      <c r="V59" s="309">
        <v>4.0</v>
      </c>
      <c r="W59" s="309"/>
    </row>
    <row r="60" ht="15.0" customHeight="1">
      <c r="A60" s="304" t="s">
        <v>398</v>
      </c>
      <c r="B60" s="308">
        <v>-4.0</v>
      </c>
      <c r="C60" s="309">
        <v>-4.0</v>
      </c>
      <c r="D60" s="309">
        <v>62.0</v>
      </c>
      <c r="E60" s="313"/>
      <c r="F60" s="311"/>
      <c r="G60" s="308"/>
      <c r="H60" s="309"/>
      <c r="I60" s="313"/>
      <c r="J60" s="313"/>
      <c r="K60" s="311"/>
      <c r="L60" s="308">
        <v>56.0</v>
      </c>
      <c r="M60" s="313"/>
      <c r="N60" s="313"/>
      <c r="O60" s="311"/>
      <c r="P60" s="313"/>
      <c r="Q60" s="313"/>
      <c r="R60" s="313"/>
      <c r="S60" s="311"/>
      <c r="T60" s="312"/>
      <c r="U60" s="309">
        <v>5.0</v>
      </c>
      <c r="V60" s="309">
        <v>9.0</v>
      </c>
      <c r="W60" s="309"/>
    </row>
    <row r="61" ht="15.0" customHeight="1">
      <c r="A61" s="304" t="s">
        <v>399</v>
      </c>
      <c r="B61" s="312"/>
      <c r="C61" s="313"/>
      <c r="D61" s="309">
        <v>80.0</v>
      </c>
      <c r="E61" s="309">
        <v>-4.0</v>
      </c>
      <c r="F61" s="311"/>
      <c r="G61" s="312"/>
      <c r="H61" s="313"/>
      <c r="I61" s="313"/>
      <c r="J61" s="313"/>
      <c r="K61" s="311"/>
      <c r="L61" s="308">
        <v>85.0</v>
      </c>
      <c r="M61" s="313"/>
      <c r="N61" s="313"/>
      <c r="O61" s="311"/>
      <c r="P61" s="313"/>
      <c r="Q61" s="313"/>
      <c r="R61" s="313"/>
      <c r="S61" s="311"/>
      <c r="T61" s="312"/>
      <c r="U61" s="309">
        <v>7.0</v>
      </c>
      <c r="V61" s="309">
        <v>9.0</v>
      </c>
      <c r="W61" s="309"/>
    </row>
    <row r="62" ht="15.0" customHeight="1">
      <c r="A62" s="304" t="s">
        <v>400</v>
      </c>
      <c r="B62" s="308">
        <v>38.0</v>
      </c>
      <c r="C62" s="309">
        <v>-2.0</v>
      </c>
      <c r="D62" s="309">
        <v>32.0</v>
      </c>
      <c r="E62" s="313"/>
      <c r="F62" s="311"/>
      <c r="G62" s="308"/>
      <c r="H62" s="309">
        <v>1.0</v>
      </c>
      <c r="I62" s="313"/>
      <c r="J62" s="313"/>
      <c r="K62" s="311"/>
      <c r="L62" s="308">
        <v>42.0</v>
      </c>
      <c r="M62" s="313"/>
      <c r="N62" s="313"/>
      <c r="O62" s="311"/>
      <c r="P62" s="313"/>
      <c r="Q62" s="313"/>
      <c r="R62" s="313"/>
      <c r="S62" s="311"/>
      <c r="T62" s="312"/>
      <c r="U62" s="309">
        <v>5.0</v>
      </c>
      <c r="V62" s="309">
        <v>16.0</v>
      </c>
      <c r="W62" s="309">
        <v>61.0</v>
      </c>
    </row>
    <row r="63" ht="15.0" customHeight="1">
      <c r="A63" s="304" t="s">
        <v>401</v>
      </c>
      <c r="B63" s="308">
        <v>17.0</v>
      </c>
      <c r="C63" s="309">
        <v>-2.0</v>
      </c>
      <c r="D63" s="309">
        <v>15.0</v>
      </c>
      <c r="E63" s="313"/>
      <c r="F63" s="311"/>
      <c r="G63" s="308"/>
      <c r="H63" s="309">
        <v>1.0</v>
      </c>
      <c r="I63" s="313"/>
      <c r="J63" s="313"/>
      <c r="K63" s="311"/>
      <c r="L63" s="308">
        <v>19.0</v>
      </c>
      <c r="M63" s="313"/>
      <c r="N63" s="313"/>
      <c r="O63" s="311"/>
      <c r="P63" s="313"/>
      <c r="Q63" s="313"/>
      <c r="R63" s="313"/>
      <c r="S63" s="311"/>
      <c r="T63" s="312"/>
      <c r="U63" s="309">
        <v>5.0</v>
      </c>
      <c r="V63" s="309">
        <v>16.0</v>
      </c>
      <c r="W63" s="309">
        <v>31.0</v>
      </c>
    </row>
    <row r="64" ht="15.0" customHeight="1">
      <c r="A64" s="304" t="s">
        <v>402</v>
      </c>
      <c r="B64" s="308">
        <v>12.0</v>
      </c>
      <c r="C64" s="309">
        <v>-2.0</v>
      </c>
      <c r="D64" s="309">
        <v>10.0</v>
      </c>
      <c r="E64" s="313"/>
      <c r="F64" s="311"/>
      <c r="G64" s="308"/>
      <c r="H64" s="309">
        <v>1.0</v>
      </c>
      <c r="I64" s="313"/>
      <c r="J64" s="313"/>
      <c r="K64" s="311"/>
      <c r="L64" s="308">
        <v>13.0</v>
      </c>
      <c r="M64" s="313"/>
      <c r="N64" s="313"/>
      <c r="O64" s="311"/>
      <c r="P64" s="313"/>
      <c r="Q64" s="313"/>
      <c r="R64" s="313"/>
      <c r="S64" s="311"/>
      <c r="T64" s="312"/>
      <c r="U64" s="309">
        <v>5.0</v>
      </c>
      <c r="V64" s="309">
        <v>16.0</v>
      </c>
      <c r="W64" s="309">
        <v>21.0</v>
      </c>
    </row>
    <row r="65" ht="15.0" customHeight="1">
      <c r="A65" s="304" t="s">
        <v>403</v>
      </c>
      <c r="B65" s="308">
        <v>10.0</v>
      </c>
      <c r="C65" s="309">
        <v>-2.0</v>
      </c>
      <c r="D65" s="309">
        <v>8.0</v>
      </c>
      <c r="E65" s="313"/>
      <c r="F65" s="311"/>
      <c r="G65" s="308"/>
      <c r="H65" s="309">
        <v>1.0</v>
      </c>
      <c r="I65" s="313"/>
      <c r="J65" s="313"/>
      <c r="K65" s="311"/>
      <c r="L65" s="308">
        <v>11.0</v>
      </c>
      <c r="M65" s="313"/>
      <c r="N65" s="313"/>
      <c r="O65" s="311"/>
      <c r="P65" s="313"/>
      <c r="Q65" s="313"/>
      <c r="R65" s="313"/>
      <c r="S65" s="311"/>
      <c r="T65" s="312"/>
      <c r="U65" s="309">
        <v>5.0</v>
      </c>
      <c r="V65" s="309">
        <v>16.0</v>
      </c>
      <c r="W65" s="309">
        <v>11.0</v>
      </c>
    </row>
    <row r="66" ht="15.0" customHeight="1">
      <c r="A66" s="304" t="s">
        <v>404</v>
      </c>
      <c r="B66" s="308">
        <v>38.0</v>
      </c>
      <c r="C66" s="309">
        <v>-2.0</v>
      </c>
      <c r="D66" s="309">
        <v>32.0</v>
      </c>
      <c r="E66" s="313"/>
      <c r="F66" s="311"/>
      <c r="G66" s="308"/>
      <c r="H66" s="309">
        <v>1.0</v>
      </c>
      <c r="I66" s="313"/>
      <c r="J66" s="313"/>
      <c r="K66" s="311"/>
      <c r="L66" s="308">
        <v>42.0</v>
      </c>
      <c r="M66" s="313"/>
      <c r="N66" s="313"/>
      <c r="O66" s="311"/>
      <c r="P66" s="313"/>
      <c r="Q66" s="313"/>
      <c r="R66" s="313"/>
      <c r="S66" s="311"/>
      <c r="T66" s="312"/>
      <c r="U66" s="309">
        <v>5.0</v>
      </c>
      <c r="V66" s="309">
        <v>16.0</v>
      </c>
      <c r="W66" s="309">
        <v>61.0</v>
      </c>
    </row>
    <row r="67" ht="15.0" customHeight="1">
      <c r="A67" s="304" t="s">
        <v>405</v>
      </c>
      <c r="B67" s="308">
        <v>8.0</v>
      </c>
      <c r="C67" s="309">
        <v>-2.0</v>
      </c>
      <c r="D67" s="309">
        <v>6.0</v>
      </c>
      <c r="E67" s="313"/>
      <c r="F67" s="311"/>
      <c r="G67" s="308"/>
      <c r="H67" s="309">
        <v>1.0</v>
      </c>
      <c r="I67" s="313"/>
      <c r="J67" s="313"/>
      <c r="K67" s="311"/>
      <c r="L67" s="308">
        <v>9.0</v>
      </c>
      <c r="M67" s="313"/>
      <c r="N67" s="313"/>
      <c r="O67" s="311"/>
      <c r="P67" s="313"/>
      <c r="Q67" s="313"/>
      <c r="R67" s="313"/>
      <c r="S67" s="311"/>
      <c r="T67" s="312"/>
      <c r="U67" s="309">
        <v>5.0</v>
      </c>
      <c r="V67" s="309">
        <v>16.0</v>
      </c>
      <c r="W67" s="309">
        <v>6.0</v>
      </c>
    </row>
    <row r="68" ht="15.0" customHeight="1">
      <c r="A68" s="304" t="s">
        <v>406</v>
      </c>
      <c r="B68" s="308">
        <v>5.0</v>
      </c>
      <c r="C68" s="309">
        <v>-2.0</v>
      </c>
      <c r="D68" s="309">
        <v>3.0</v>
      </c>
      <c r="E68" s="313"/>
      <c r="F68" s="311"/>
      <c r="G68" s="308"/>
      <c r="H68" s="309">
        <v>1.0</v>
      </c>
      <c r="I68" s="313"/>
      <c r="J68" s="313"/>
      <c r="K68" s="311"/>
      <c r="L68" s="308">
        <v>7.0</v>
      </c>
      <c r="M68" s="313"/>
      <c r="N68" s="313"/>
      <c r="O68" s="311"/>
      <c r="P68" s="313"/>
      <c r="Q68" s="313"/>
      <c r="R68" s="313"/>
      <c r="S68" s="311"/>
      <c r="T68" s="312"/>
      <c r="U68" s="309">
        <v>5.0</v>
      </c>
      <c r="V68" s="309">
        <v>16.0</v>
      </c>
      <c r="W68" s="309">
        <v>1.0</v>
      </c>
    </row>
    <row r="69" ht="15.0" customHeight="1">
      <c r="A69" s="304" t="s">
        <v>407</v>
      </c>
      <c r="B69" s="308">
        <v>4.0</v>
      </c>
      <c r="C69" s="309">
        <v>-2.0</v>
      </c>
      <c r="D69" s="309">
        <v>2.0</v>
      </c>
      <c r="E69" s="313"/>
      <c r="F69" s="311"/>
      <c r="G69" s="308"/>
      <c r="H69" s="309">
        <v>1.0</v>
      </c>
      <c r="I69" s="313"/>
      <c r="J69" s="313"/>
      <c r="K69" s="311"/>
      <c r="L69" s="308">
        <v>5.0</v>
      </c>
      <c r="M69" s="313"/>
      <c r="N69" s="313"/>
      <c r="O69" s="311"/>
      <c r="P69" s="313"/>
      <c r="Q69" s="313"/>
      <c r="R69" s="313"/>
      <c r="S69" s="311"/>
      <c r="T69" s="312"/>
      <c r="U69" s="309">
        <v>5.0</v>
      </c>
      <c r="V69" s="309">
        <v>16.0</v>
      </c>
      <c r="W69" s="309">
        <v>1.0</v>
      </c>
    </row>
    <row r="70" ht="15.0" customHeight="1">
      <c r="A70" s="304" t="s">
        <v>408</v>
      </c>
      <c r="B70" s="308">
        <v>26.0</v>
      </c>
      <c r="C70" s="309">
        <v>-2.0</v>
      </c>
      <c r="D70" s="309">
        <v>24.0</v>
      </c>
      <c r="E70" s="313"/>
      <c r="F70" s="311"/>
      <c r="G70" s="308"/>
      <c r="H70" s="309">
        <v>1.0</v>
      </c>
      <c r="I70" s="313"/>
      <c r="J70" s="313"/>
      <c r="K70" s="311"/>
      <c r="L70" s="308">
        <v>29.0</v>
      </c>
      <c r="M70" s="313"/>
      <c r="N70" s="313"/>
      <c r="O70" s="311"/>
      <c r="P70" s="313"/>
      <c r="Q70" s="313"/>
      <c r="R70" s="313"/>
      <c r="S70" s="311"/>
      <c r="T70" s="312"/>
      <c r="U70" s="309">
        <v>5.0</v>
      </c>
      <c r="V70" s="309">
        <v>16.0</v>
      </c>
      <c r="W70" s="309">
        <v>41.0</v>
      </c>
    </row>
    <row r="71" ht="15.0" customHeight="1">
      <c r="A71" s="304" t="s">
        <v>409</v>
      </c>
      <c r="B71" s="308">
        <v>47.0</v>
      </c>
      <c r="C71" s="309">
        <v>38.0</v>
      </c>
      <c r="D71" s="309">
        <v>-2.0</v>
      </c>
      <c r="E71" s="313"/>
      <c r="F71" s="311"/>
      <c r="G71" s="308">
        <v>2.0</v>
      </c>
      <c r="H71" s="309">
        <v>3.0</v>
      </c>
      <c r="I71" s="313"/>
      <c r="J71" s="313"/>
      <c r="K71" s="311"/>
      <c r="L71" s="308">
        <v>49.0</v>
      </c>
      <c r="M71" s="313"/>
      <c r="N71" s="313"/>
      <c r="O71" s="311"/>
      <c r="P71" s="313"/>
      <c r="Q71" s="313"/>
      <c r="R71" s="313"/>
      <c r="S71" s="311"/>
      <c r="T71" s="312"/>
      <c r="U71" s="309">
        <v>4.0</v>
      </c>
      <c r="V71" s="309">
        <v>5.0</v>
      </c>
      <c r="W71" s="309"/>
    </row>
    <row r="72" ht="15.0" customHeight="1">
      <c r="A72" s="304" t="s">
        <v>410</v>
      </c>
      <c r="B72" s="312"/>
      <c r="C72" s="309">
        <v>69.0</v>
      </c>
      <c r="D72" s="309">
        <v>50.0</v>
      </c>
      <c r="E72" s="309">
        <v>-4.0</v>
      </c>
      <c r="F72" s="311"/>
      <c r="G72" s="312"/>
      <c r="H72" s="313"/>
      <c r="I72" s="313"/>
      <c r="J72" s="313"/>
      <c r="K72" s="310">
        <v>-1.0</v>
      </c>
      <c r="L72" s="308">
        <v>70.0</v>
      </c>
      <c r="M72" s="313"/>
      <c r="N72" s="313"/>
      <c r="O72" s="311"/>
      <c r="P72" s="313"/>
      <c r="Q72" s="313"/>
      <c r="R72" s="313"/>
      <c r="S72" s="311"/>
      <c r="T72" s="312"/>
      <c r="U72" s="309">
        <v>7.0</v>
      </c>
      <c r="V72" s="309">
        <v>10.0</v>
      </c>
      <c r="W72" s="309"/>
    </row>
    <row r="73" ht="15.0" customHeight="1">
      <c r="A73" s="304" t="s">
        <v>411</v>
      </c>
      <c r="B73" s="308">
        <v>-2.0</v>
      </c>
      <c r="C73" s="309">
        <v>48.0</v>
      </c>
      <c r="D73" s="309">
        <v>43.0</v>
      </c>
      <c r="E73" s="313"/>
      <c r="F73" s="311"/>
      <c r="G73" s="312"/>
      <c r="H73" s="313"/>
      <c r="I73" s="313"/>
      <c r="J73" s="313"/>
      <c r="K73" s="310">
        <v>-1.0</v>
      </c>
      <c r="L73" s="308">
        <v>64.0</v>
      </c>
      <c r="M73" s="313"/>
      <c r="N73" s="313"/>
      <c r="O73" s="311"/>
      <c r="P73" s="313"/>
      <c r="Q73" s="313"/>
      <c r="R73" s="313"/>
      <c r="S73" s="311"/>
      <c r="T73" s="312"/>
      <c r="U73" s="309">
        <v>6.0</v>
      </c>
      <c r="V73" s="309">
        <v>8.0</v>
      </c>
      <c r="W73" s="309"/>
    </row>
    <row r="74" ht="15.0" customHeight="1">
      <c r="A74" s="304" t="s">
        <v>412</v>
      </c>
      <c r="B74" s="308">
        <v>26.0</v>
      </c>
      <c r="C74" s="309">
        <v>38.0</v>
      </c>
      <c r="D74" s="309">
        <v>-4.0</v>
      </c>
      <c r="E74" s="313"/>
      <c r="F74" s="311"/>
      <c r="G74" s="308">
        <v>10.0</v>
      </c>
      <c r="H74" s="309">
        <v>19.0</v>
      </c>
      <c r="I74" s="309">
        <v>5.0</v>
      </c>
      <c r="J74" s="313"/>
      <c r="K74" s="310"/>
      <c r="L74" s="308">
        <v>39.0</v>
      </c>
      <c r="M74" s="313"/>
      <c r="N74" s="313"/>
      <c r="O74" s="311"/>
      <c r="P74" s="309">
        <v>0.15</v>
      </c>
      <c r="Q74" s="309">
        <v>0.15</v>
      </c>
      <c r="R74" s="313"/>
      <c r="S74" s="310" t="s">
        <v>143</v>
      </c>
      <c r="T74" s="312"/>
      <c r="U74" s="309">
        <v>4.0</v>
      </c>
      <c r="V74" s="309">
        <v>6.0</v>
      </c>
      <c r="W74" s="309"/>
    </row>
    <row r="75" ht="15.0" customHeight="1">
      <c r="A75" s="304" t="s">
        <v>413</v>
      </c>
      <c r="B75" s="308">
        <v>25.0</v>
      </c>
      <c r="C75" s="309">
        <v>12.0</v>
      </c>
      <c r="D75" s="309">
        <v>-4.0</v>
      </c>
      <c r="E75" s="309">
        <v>1.0</v>
      </c>
      <c r="F75" s="311"/>
      <c r="G75" s="308"/>
      <c r="H75" s="309"/>
      <c r="I75" s="309"/>
      <c r="J75" s="309">
        <v>1.0</v>
      </c>
      <c r="K75" s="310"/>
      <c r="L75" s="308">
        <v>24.0</v>
      </c>
      <c r="M75" s="313"/>
      <c r="N75" s="313"/>
      <c r="O75" s="311"/>
      <c r="P75" s="309"/>
      <c r="Q75" s="309"/>
      <c r="R75" s="313"/>
      <c r="S75" s="310"/>
      <c r="T75" s="312"/>
      <c r="U75" s="309">
        <v>4.0</v>
      </c>
      <c r="V75" s="309">
        <v>4.0</v>
      </c>
      <c r="W75" s="309"/>
    </row>
    <row r="76" ht="15.0" customHeight="1">
      <c r="A76" s="304" t="s">
        <v>414</v>
      </c>
      <c r="B76" s="308">
        <v>48.0</v>
      </c>
      <c r="C76" s="309">
        <v>67.0</v>
      </c>
      <c r="D76" s="309">
        <v>0.0</v>
      </c>
      <c r="E76" s="309">
        <v>-4.0</v>
      </c>
      <c r="F76" s="310">
        <v>0.0</v>
      </c>
      <c r="G76" s="308">
        <v>-1.0</v>
      </c>
      <c r="H76" s="309">
        <v>4.0</v>
      </c>
      <c r="I76" s="309">
        <v>5.0</v>
      </c>
      <c r="J76" s="309"/>
      <c r="K76" s="310"/>
      <c r="L76" s="308">
        <v>68.0</v>
      </c>
      <c r="M76" s="313"/>
      <c r="N76" s="313"/>
      <c r="O76" s="311"/>
      <c r="P76" s="309"/>
      <c r="Q76" s="309"/>
      <c r="R76" s="313"/>
      <c r="S76" s="310"/>
      <c r="T76" s="312"/>
      <c r="U76" s="309">
        <v>7.0</v>
      </c>
      <c r="V76" s="309">
        <v>11.0</v>
      </c>
      <c r="W76" s="309"/>
    </row>
    <row r="77" ht="15.0" customHeight="1">
      <c r="A77" s="304" t="s">
        <v>415</v>
      </c>
      <c r="B77" s="308">
        <v>36.0</v>
      </c>
      <c r="C77" s="309">
        <v>36.0</v>
      </c>
      <c r="D77" s="309">
        <v>36.0</v>
      </c>
      <c r="E77" s="309"/>
      <c r="F77" s="311"/>
      <c r="G77" s="308">
        <v>-10.0</v>
      </c>
      <c r="H77" s="309">
        <v>-10.0</v>
      </c>
      <c r="I77" s="309">
        <v>-9.0</v>
      </c>
      <c r="J77" s="309"/>
      <c r="K77" s="310">
        <v>-10.0</v>
      </c>
      <c r="L77" s="308">
        <v>42.0</v>
      </c>
      <c r="M77" s="313"/>
      <c r="N77" s="313"/>
      <c r="O77" s="311"/>
      <c r="P77" s="309"/>
      <c r="Q77" s="309"/>
      <c r="R77" s="313"/>
      <c r="S77" s="310"/>
      <c r="T77" s="312"/>
      <c r="U77" s="309">
        <v>5.0</v>
      </c>
      <c r="V77" s="309">
        <v>12.0</v>
      </c>
      <c r="W77" s="309"/>
    </row>
    <row r="78" ht="15.0" customHeight="1">
      <c r="A78" s="304" t="s">
        <v>416</v>
      </c>
      <c r="B78" s="308">
        <v>38.0</v>
      </c>
      <c r="C78" s="309">
        <v>47.0</v>
      </c>
      <c r="D78" s="309">
        <v>-2.0</v>
      </c>
      <c r="E78" s="313"/>
      <c r="F78" s="311"/>
      <c r="G78" s="312"/>
      <c r="H78" s="309">
        <v>3.0</v>
      </c>
      <c r="I78" s="309">
        <v>2.0</v>
      </c>
      <c r="J78" s="313"/>
      <c r="K78" s="310"/>
      <c r="L78" s="308">
        <v>49.0</v>
      </c>
      <c r="M78" s="313"/>
      <c r="N78" s="313"/>
      <c r="O78" s="311"/>
      <c r="P78" s="313"/>
      <c r="Q78" s="313"/>
      <c r="R78" s="313"/>
      <c r="S78" s="311"/>
      <c r="T78" s="312"/>
      <c r="U78" s="309">
        <v>5.0</v>
      </c>
      <c r="V78" s="309">
        <v>6.0</v>
      </c>
      <c r="W78" s="309"/>
    </row>
    <row r="79" ht="15.0" customHeight="1">
      <c r="A79" s="304" t="s">
        <v>417</v>
      </c>
      <c r="B79" s="308">
        <v>20.0</v>
      </c>
      <c r="C79" s="309">
        <v>-2.0</v>
      </c>
      <c r="D79" s="309">
        <v>39.0</v>
      </c>
      <c r="E79" s="313"/>
      <c r="F79" s="311"/>
      <c r="G79" s="312"/>
      <c r="H79" s="309"/>
      <c r="I79" s="309"/>
      <c r="J79" s="313"/>
      <c r="K79" s="310"/>
      <c r="L79" s="308">
        <v>36.0</v>
      </c>
      <c r="M79" s="313"/>
      <c r="N79" s="313"/>
      <c r="O79" s="310">
        <v>4.0</v>
      </c>
      <c r="P79" s="313"/>
      <c r="Q79" s="313"/>
      <c r="R79" s="313"/>
      <c r="S79" s="311"/>
      <c r="T79" s="312"/>
      <c r="U79" s="309">
        <v>5.0</v>
      </c>
      <c r="V79" s="309">
        <v>7.0</v>
      </c>
      <c r="W79" s="309"/>
    </row>
    <row r="80" ht="15.0" customHeight="1">
      <c r="A80" s="304" t="s">
        <v>418</v>
      </c>
      <c r="B80" s="308">
        <v>7.0</v>
      </c>
      <c r="C80" s="309">
        <v>45.0</v>
      </c>
      <c r="D80" s="309">
        <v>-2.0</v>
      </c>
      <c r="E80" s="313"/>
      <c r="F80" s="311"/>
      <c r="G80" s="312"/>
      <c r="H80" s="309">
        <v>1.0</v>
      </c>
      <c r="I80" s="313"/>
      <c r="J80" s="313"/>
      <c r="K80" s="311"/>
      <c r="L80" s="308">
        <v>44.0</v>
      </c>
      <c r="M80" s="313"/>
      <c r="N80" s="313"/>
      <c r="O80" s="311"/>
      <c r="P80" s="313"/>
      <c r="Q80" s="313"/>
      <c r="R80" s="313"/>
      <c r="S80" s="311"/>
      <c r="T80" s="312"/>
      <c r="U80" s="309">
        <v>4.0</v>
      </c>
      <c r="V80" s="309">
        <v>6.0</v>
      </c>
      <c r="W80" s="309"/>
    </row>
    <row r="81" ht="15.0" customHeight="1">
      <c r="A81" s="304" t="s">
        <v>419</v>
      </c>
      <c r="B81" s="308">
        <v>36.0</v>
      </c>
      <c r="C81" s="309">
        <v>36.0</v>
      </c>
      <c r="D81" s="309">
        <v>36.0</v>
      </c>
      <c r="E81" s="313"/>
      <c r="F81" s="311"/>
      <c r="G81" s="308">
        <v>1.0</v>
      </c>
      <c r="H81" s="309">
        <v>1.0</v>
      </c>
      <c r="I81" s="313"/>
      <c r="J81" s="313"/>
      <c r="K81" s="311"/>
      <c r="L81" s="308">
        <v>42.0</v>
      </c>
      <c r="M81" s="313"/>
      <c r="N81" s="313"/>
      <c r="O81" s="311"/>
      <c r="P81" s="313"/>
      <c r="Q81" s="313"/>
      <c r="R81" s="313"/>
      <c r="S81" s="311"/>
      <c r="T81" s="312"/>
      <c r="U81" s="309">
        <v>5.0</v>
      </c>
      <c r="V81" s="309">
        <v>12.0</v>
      </c>
      <c r="W81" s="309"/>
    </row>
    <row r="82" ht="15.0" customHeight="1">
      <c r="A82" s="304" t="s">
        <v>420</v>
      </c>
      <c r="B82" s="308">
        <v>38.0</v>
      </c>
      <c r="C82" s="309">
        <v>26.0</v>
      </c>
      <c r="D82" s="309">
        <v>-2.0</v>
      </c>
      <c r="E82" s="313"/>
      <c r="F82" s="311"/>
      <c r="G82" s="312"/>
      <c r="H82" s="309">
        <v>2.0</v>
      </c>
      <c r="I82" s="309">
        <v>1.0</v>
      </c>
      <c r="J82" s="309"/>
      <c r="K82" s="311"/>
      <c r="L82" s="308">
        <v>39.0</v>
      </c>
      <c r="M82" s="313"/>
      <c r="N82" s="313"/>
      <c r="O82" s="311"/>
      <c r="P82" s="313"/>
      <c r="Q82" s="313"/>
      <c r="R82" s="313"/>
      <c r="S82" s="311"/>
      <c r="T82" s="312"/>
      <c r="U82" s="309">
        <v>4.0</v>
      </c>
      <c r="V82" s="309">
        <v>5.0</v>
      </c>
      <c r="W82" s="309"/>
    </row>
    <row r="83" ht="15.0" customHeight="1">
      <c r="A83" s="304" t="s">
        <v>421</v>
      </c>
      <c r="B83" s="308">
        <v>-4.0</v>
      </c>
      <c r="C83" s="309">
        <v>-4.0</v>
      </c>
      <c r="D83" s="309">
        <v>53.0</v>
      </c>
      <c r="E83" s="309">
        <v>-4.0</v>
      </c>
      <c r="F83" s="311"/>
      <c r="G83" s="312"/>
      <c r="H83" s="309"/>
      <c r="I83" s="309"/>
      <c r="J83" s="309"/>
      <c r="K83" s="311"/>
      <c r="L83" s="308">
        <v>48.0</v>
      </c>
      <c r="M83" s="313"/>
      <c r="N83" s="313"/>
      <c r="O83" s="311"/>
      <c r="P83" s="313"/>
      <c r="Q83" s="313"/>
      <c r="R83" s="313"/>
      <c r="S83" s="311"/>
      <c r="T83" s="312"/>
      <c r="U83" s="309">
        <v>6.0</v>
      </c>
      <c r="V83" s="309">
        <v>9.0</v>
      </c>
      <c r="W83" s="309"/>
    </row>
    <row r="84" ht="15.0" customHeight="1">
      <c r="A84" s="304" t="s">
        <v>422</v>
      </c>
      <c r="B84" s="308">
        <v>30.0</v>
      </c>
      <c r="C84" s="309"/>
      <c r="D84" s="309">
        <v>70.0</v>
      </c>
      <c r="E84" s="309"/>
      <c r="F84" s="311"/>
      <c r="G84" s="312"/>
      <c r="H84" s="313"/>
      <c r="I84" s="313"/>
      <c r="J84" s="313"/>
      <c r="K84" s="311"/>
      <c r="L84" s="308">
        <v>70.0</v>
      </c>
      <c r="M84" s="313"/>
      <c r="N84" s="313"/>
      <c r="O84" s="310"/>
      <c r="P84" s="309"/>
      <c r="Q84" s="309"/>
      <c r="R84" s="309"/>
      <c r="S84" s="310"/>
      <c r="T84" s="312"/>
      <c r="U84" s="309">
        <v>4.0</v>
      </c>
      <c r="V84" s="309">
        <v>9.0</v>
      </c>
      <c r="W84" s="309"/>
    </row>
    <row r="85" ht="15.0" customHeight="1">
      <c r="A85" s="304" t="s">
        <v>423</v>
      </c>
      <c r="B85" s="308"/>
      <c r="C85" s="309">
        <v>100.0</v>
      </c>
      <c r="D85" s="309">
        <v>60.0</v>
      </c>
      <c r="E85" s="309"/>
      <c r="F85" s="311"/>
      <c r="G85" s="312"/>
      <c r="H85" s="313"/>
      <c r="I85" s="313"/>
      <c r="J85" s="313"/>
      <c r="K85" s="311"/>
      <c r="L85" s="308">
        <v>88.0</v>
      </c>
      <c r="M85" s="313"/>
      <c r="N85" s="313"/>
      <c r="O85" s="310">
        <v>2.0</v>
      </c>
      <c r="P85" s="309">
        <v>1.0</v>
      </c>
      <c r="Q85" s="309">
        <v>0.25</v>
      </c>
      <c r="R85" s="309"/>
      <c r="S85" s="310" t="s">
        <v>35</v>
      </c>
      <c r="T85" s="312"/>
      <c r="U85" s="309">
        <v>4.0</v>
      </c>
      <c r="V85" s="309">
        <v>10.0</v>
      </c>
      <c r="W85" s="309"/>
    </row>
    <row r="86" ht="15.0" customHeight="1">
      <c r="A86" s="304" t="s">
        <v>424</v>
      </c>
      <c r="B86" s="308"/>
      <c r="C86" s="309">
        <v>132.0</v>
      </c>
      <c r="D86" s="309">
        <v>80.0</v>
      </c>
      <c r="E86" s="309"/>
      <c r="F86" s="311"/>
      <c r="G86" s="312"/>
      <c r="H86" s="313"/>
      <c r="I86" s="313"/>
      <c r="J86" s="313"/>
      <c r="K86" s="311"/>
      <c r="L86" s="308">
        <v>132.0</v>
      </c>
      <c r="M86" s="313"/>
      <c r="N86" s="313"/>
      <c r="O86" s="310">
        <v>8.0</v>
      </c>
      <c r="P86" s="309">
        <v>1.0</v>
      </c>
      <c r="Q86" s="309">
        <v>0.1</v>
      </c>
      <c r="R86" s="313"/>
      <c r="S86" s="310" t="s">
        <v>143</v>
      </c>
      <c r="T86" s="312"/>
      <c r="U86" s="309">
        <v>6.0</v>
      </c>
      <c r="V86" s="309">
        <v>10.0</v>
      </c>
      <c r="W86" s="309"/>
    </row>
    <row r="87" ht="15.0" customHeight="1">
      <c r="A87" s="304" t="s">
        <v>425</v>
      </c>
      <c r="B87" s="312"/>
      <c r="C87" s="309">
        <v>82.0</v>
      </c>
      <c r="D87" s="309">
        <v>60.0</v>
      </c>
      <c r="E87" s="309"/>
      <c r="F87" s="311"/>
      <c r="G87" s="312"/>
      <c r="H87" s="313"/>
      <c r="I87" s="313"/>
      <c r="J87" s="313"/>
      <c r="K87" s="311"/>
      <c r="L87" s="308">
        <v>82.0</v>
      </c>
      <c r="M87" s="313"/>
      <c r="N87" s="313"/>
      <c r="O87" s="310">
        <v>2.0</v>
      </c>
      <c r="P87" s="309">
        <v>1.0</v>
      </c>
      <c r="Q87" s="309">
        <v>0.1</v>
      </c>
      <c r="R87" s="313"/>
      <c r="S87" s="310" t="s">
        <v>35</v>
      </c>
      <c r="T87" s="312"/>
      <c r="U87" s="309">
        <v>4.0</v>
      </c>
      <c r="V87" s="309">
        <v>10.0</v>
      </c>
      <c r="W87" s="309"/>
    </row>
    <row r="88" ht="15.0" customHeight="1">
      <c r="A88" s="327" t="s">
        <v>426</v>
      </c>
      <c r="B88" s="318">
        <v>50.0</v>
      </c>
      <c r="C88" s="318">
        <v>75.0</v>
      </c>
      <c r="D88" s="318">
        <v>10.0</v>
      </c>
      <c r="E88" s="318">
        <v>-6.0</v>
      </c>
      <c r="F88" s="323"/>
      <c r="G88" s="318">
        <v>-2.0</v>
      </c>
      <c r="H88" s="318">
        <v>6.0</v>
      </c>
      <c r="I88" s="318">
        <v>0.0</v>
      </c>
      <c r="J88" s="318">
        <v>0.0</v>
      </c>
      <c r="K88" s="328">
        <v>0.0</v>
      </c>
      <c r="L88" s="324">
        <v>50.0</v>
      </c>
      <c r="M88" s="325"/>
      <c r="N88" s="325"/>
      <c r="O88" s="326"/>
      <c r="P88" s="325"/>
      <c r="Q88" s="325"/>
      <c r="R88" s="325"/>
      <c r="S88" s="326"/>
      <c r="T88" s="325"/>
      <c r="U88" s="318">
        <v>5.0</v>
      </c>
      <c r="V88" s="318">
        <v>8.0</v>
      </c>
      <c r="W88" s="318"/>
    </row>
    <row r="89" ht="15.0" customHeight="1">
      <c r="A89" s="322" t="s">
        <v>427</v>
      </c>
      <c r="B89" s="315">
        <v>70.0</v>
      </c>
      <c r="C89" s="318">
        <v>110.0</v>
      </c>
      <c r="D89" s="315">
        <v>30.0</v>
      </c>
      <c r="E89" s="315">
        <v>-6.0</v>
      </c>
      <c r="F89" s="323"/>
      <c r="G89" s="315">
        <v>-2.0</v>
      </c>
      <c r="H89" s="315">
        <v>8.0</v>
      </c>
      <c r="I89" s="315">
        <v>10.0</v>
      </c>
      <c r="J89" s="315">
        <v>0.0</v>
      </c>
      <c r="K89" s="323">
        <v>0.0</v>
      </c>
      <c r="L89" s="314">
        <v>75.0</v>
      </c>
      <c r="M89" s="325"/>
      <c r="N89" s="325"/>
      <c r="O89" s="326"/>
      <c r="P89" s="325"/>
      <c r="Q89" s="325"/>
      <c r="R89" s="325"/>
      <c r="S89" s="326"/>
      <c r="T89" s="325"/>
      <c r="U89" s="318">
        <v>5.0</v>
      </c>
      <c r="V89" s="318">
        <v>8.0</v>
      </c>
      <c r="W89" s="318"/>
    </row>
    <row r="90" ht="15.0" customHeight="1">
      <c r="A90" s="304" t="s">
        <v>428</v>
      </c>
      <c r="B90" s="308">
        <v>7.0</v>
      </c>
      <c r="C90" s="309">
        <v>-1.0</v>
      </c>
      <c r="D90" s="309">
        <v>25.0</v>
      </c>
      <c r="E90" s="309">
        <v>12.0</v>
      </c>
      <c r="F90" s="311"/>
      <c r="G90" s="308">
        <v>2.0</v>
      </c>
      <c r="H90" s="309">
        <v>3.0</v>
      </c>
      <c r="I90" s="309">
        <v>1.0</v>
      </c>
      <c r="J90" s="309">
        <v>10.0</v>
      </c>
      <c r="K90" s="311"/>
      <c r="L90" s="308">
        <v>35.0</v>
      </c>
      <c r="M90" s="313"/>
      <c r="N90" s="313"/>
      <c r="O90" s="311"/>
      <c r="P90" s="313"/>
      <c r="Q90" s="313"/>
      <c r="R90" s="313"/>
      <c r="S90" s="311"/>
      <c r="T90" s="312"/>
      <c r="U90" s="309">
        <v>4.0</v>
      </c>
      <c r="V90" s="309">
        <v>15.0</v>
      </c>
      <c r="W90" s="309"/>
    </row>
    <row r="91" ht="15.0" customHeight="1">
      <c r="A91" s="304" t="s">
        <v>429</v>
      </c>
      <c r="B91" s="308">
        <v>55.0</v>
      </c>
      <c r="C91" s="309">
        <v>70.0</v>
      </c>
      <c r="D91" s="309"/>
      <c r="E91" s="309">
        <v>17.0</v>
      </c>
      <c r="F91" s="311"/>
      <c r="G91" s="308"/>
      <c r="H91" s="309">
        <v>3.0</v>
      </c>
      <c r="I91" s="309">
        <v>3.0</v>
      </c>
      <c r="J91" s="309">
        <v>17.0</v>
      </c>
      <c r="K91" s="311"/>
      <c r="L91" s="308">
        <v>72.0</v>
      </c>
      <c r="M91" s="313"/>
      <c r="N91" s="309">
        <v>0.15</v>
      </c>
      <c r="O91" s="311"/>
      <c r="P91" s="313"/>
      <c r="Q91" s="313"/>
      <c r="R91" s="313"/>
      <c r="S91" s="311"/>
      <c r="T91" s="312"/>
      <c r="U91" s="309">
        <v>4.0</v>
      </c>
      <c r="V91" s="309">
        <v>19.0</v>
      </c>
      <c r="W91" s="309"/>
    </row>
    <row r="92" ht="15.0" customHeight="1">
      <c r="A92" s="304" t="s">
        <v>430</v>
      </c>
      <c r="B92" s="308">
        <v>-4.0</v>
      </c>
      <c r="C92" s="309">
        <v>-4.0</v>
      </c>
      <c r="D92" s="309">
        <v>125.0</v>
      </c>
      <c r="E92" s="309"/>
      <c r="F92" s="311"/>
      <c r="G92" s="308"/>
      <c r="H92" s="309"/>
      <c r="I92" s="309"/>
      <c r="J92" s="309"/>
      <c r="K92" s="311"/>
      <c r="L92" s="308">
        <v>114.0</v>
      </c>
      <c r="M92" s="313"/>
      <c r="N92" s="313"/>
      <c r="O92" s="311"/>
      <c r="P92" s="313"/>
      <c r="Q92" s="309">
        <v>0.25</v>
      </c>
      <c r="R92" s="313"/>
      <c r="S92" s="310" t="s">
        <v>144</v>
      </c>
      <c r="T92" s="312"/>
      <c r="U92" s="309">
        <v>5.0</v>
      </c>
      <c r="V92" s="309">
        <v>9.0</v>
      </c>
      <c r="W92" s="309"/>
    </row>
    <row r="93" ht="15.0" customHeight="1">
      <c r="A93" s="304" t="s">
        <v>431</v>
      </c>
      <c r="B93" s="308"/>
      <c r="C93" s="309"/>
      <c r="D93" s="309"/>
      <c r="E93" s="309"/>
      <c r="F93" s="311"/>
      <c r="G93" s="308"/>
      <c r="H93" s="309"/>
      <c r="I93" s="309"/>
      <c r="J93" s="309"/>
      <c r="K93" s="311"/>
      <c r="L93" s="308"/>
      <c r="M93" s="313"/>
      <c r="N93" s="313"/>
      <c r="O93" s="311"/>
      <c r="P93" s="313"/>
      <c r="Q93" s="309"/>
      <c r="R93" s="313"/>
      <c r="S93" s="310"/>
      <c r="T93" s="312"/>
      <c r="U93" s="309">
        <v>3.0</v>
      </c>
      <c r="V93" s="309">
        <v>5.0</v>
      </c>
      <c r="W93" s="309"/>
    </row>
    <row r="94" ht="15.0" customHeight="1">
      <c r="A94" s="304" t="s">
        <v>432</v>
      </c>
      <c r="B94" s="308">
        <v>7.0</v>
      </c>
      <c r="C94" s="309">
        <v>-1.0</v>
      </c>
      <c r="D94" s="309">
        <v>25.0</v>
      </c>
      <c r="E94" s="309">
        <v>12.0</v>
      </c>
      <c r="F94" s="311"/>
      <c r="G94" s="308">
        <v>2.0</v>
      </c>
      <c r="H94" s="309">
        <v>3.0</v>
      </c>
      <c r="I94" s="309">
        <v>1.0</v>
      </c>
      <c r="J94" s="309">
        <v>10.0</v>
      </c>
      <c r="K94" s="311"/>
      <c r="L94" s="308">
        <v>35.0</v>
      </c>
      <c r="M94" s="313"/>
      <c r="N94" s="313"/>
      <c r="O94" s="311"/>
      <c r="P94" s="313"/>
      <c r="Q94" s="313"/>
      <c r="R94" s="313"/>
      <c r="S94" s="311"/>
      <c r="T94" s="312"/>
      <c r="U94" s="309">
        <v>4.0</v>
      </c>
      <c r="V94" s="309">
        <v>15.0</v>
      </c>
      <c r="W94" s="309"/>
    </row>
    <row r="95" ht="15.0" customHeight="1">
      <c r="A95" s="304" t="s">
        <v>433</v>
      </c>
      <c r="B95" s="308">
        <v>0.0</v>
      </c>
      <c r="C95" s="309">
        <v>16.0</v>
      </c>
      <c r="D95" s="309">
        <v>-2.0</v>
      </c>
      <c r="E95" s="309"/>
      <c r="F95" s="311"/>
      <c r="G95" s="312"/>
      <c r="H95" s="309">
        <v>1.0</v>
      </c>
      <c r="I95" s="309">
        <v>1.0</v>
      </c>
      <c r="J95" s="309"/>
      <c r="K95" s="310">
        <v>1.0</v>
      </c>
      <c r="L95" s="308">
        <v>10.0</v>
      </c>
      <c r="M95" s="313"/>
      <c r="N95" s="309"/>
      <c r="O95" s="311"/>
      <c r="P95" s="313"/>
      <c r="Q95" s="313"/>
      <c r="R95" s="313"/>
      <c r="S95" s="311"/>
      <c r="T95" s="312"/>
      <c r="U95" s="309">
        <v>4.0</v>
      </c>
      <c r="V95" s="309">
        <v>6.0</v>
      </c>
      <c r="W95" s="309"/>
    </row>
    <row r="96" ht="15.0" customHeight="1">
      <c r="A96" s="304" t="s">
        <v>434</v>
      </c>
      <c r="B96" s="308">
        <v>55.0</v>
      </c>
      <c r="C96" s="309">
        <v>70.0</v>
      </c>
      <c r="D96" s="309"/>
      <c r="E96" s="309">
        <v>17.0</v>
      </c>
      <c r="F96" s="311"/>
      <c r="G96" s="312"/>
      <c r="H96" s="309">
        <v>3.0</v>
      </c>
      <c r="I96" s="309">
        <v>3.0</v>
      </c>
      <c r="J96" s="309">
        <v>17.0</v>
      </c>
      <c r="K96" s="311"/>
      <c r="L96" s="308">
        <v>72.0</v>
      </c>
      <c r="M96" s="313"/>
      <c r="N96" s="309">
        <v>0.15</v>
      </c>
      <c r="O96" s="311"/>
      <c r="P96" s="313"/>
      <c r="Q96" s="313"/>
      <c r="R96" s="313"/>
      <c r="S96" s="311"/>
      <c r="T96" s="312"/>
      <c r="U96" s="309">
        <v>4.0</v>
      </c>
      <c r="V96" s="309">
        <v>19.0</v>
      </c>
      <c r="W96" s="309"/>
    </row>
    <row r="97" ht="15.0" customHeight="1">
      <c r="A97" s="304" t="s">
        <v>435</v>
      </c>
      <c r="B97" s="308">
        <v>-4.0</v>
      </c>
      <c r="C97" s="309">
        <v>-4.0</v>
      </c>
      <c r="D97" s="309">
        <v>85.0</v>
      </c>
      <c r="E97" s="309">
        <v>-4.0</v>
      </c>
      <c r="F97" s="311"/>
      <c r="G97" s="312"/>
      <c r="H97" s="313"/>
      <c r="I97" s="313"/>
      <c r="J97" s="313"/>
      <c r="K97" s="310"/>
      <c r="L97" s="308">
        <v>72.0</v>
      </c>
      <c r="M97" s="313"/>
      <c r="N97" s="313"/>
      <c r="O97" s="311"/>
      <c r="P97" s="313"/>
      <c r="Q97" s="313"/>
      <c r="R97" s="313"/>
      <c r="S97" s="311"/>
      <c r="T97" s="312"/>
      <c r="U97" s="309">
        <v>5.0</v>
      </c>
      <c r="V97" s="309">
        <v>9.0</v>
      </c>
      <c r="W97" s="309"/>
    </row>
    <row r="98" ht="15.0" customHeight="1">
      <c r="A98" s="304" t="s">
        <v>436</v>
      </c>
      <c r="B98" s="308">
        <v>11.0</v>
      </c>
      <c r="C98" s="309">
        <v>5.0</v>
      </c>
      <c r="D98" s="309">
        <v>-4.0</v>
      </c>
      <c r="E98" s="309">
        <v>1.0</v>
      </c>
      <c r="F98" s="311"/>
      <c r="G98" s="312"/>
      <c r="H98" s="313"/>
      <c r="I98" s="313"/>
      <c r="J98" s="309">
        <v>1.0</v>
      </c>
      <c r="K98" s="311"/>
      <c r="L98" s="308">
        <v>10.0</v>
      </c>
      <c r="M98" s="313"/>
      <c r="N98" s="313"/>
      <c r="O98" s="310">
        <v>5.0</v>
      </c>
      <c r="P98" s="313"/>
      <c r="Q98" s="313"/>
      <c r="R98" s="313"/>
      <c r="S98" s="311"/>
      <c r="T98" s="312"/>
      <c r="U98" s="309">
        <v>4.0</v>
      </c>
      <c r="V98" s="309">
        <v>4.0</v>
      </c>
      <c r="W98" s="309"/>
    </row>
    <row r="99" ht="15.0" customHeight="1">
      <c r="A99" s="304" t="s">
        <v>437</v>
      </c>
      <c r="B99" s="308">
        <v>68.0</v>
      </c>
      <c r="C99" s="309">
        <v>-2.0</v>
      </c>
      <c r="D99" s="309">
        <v>82.0</v>
      </c>
      <c r="E99" s="309"/>
      <c r="F99" s="311"/>
      <c r="G99" s="312"/>
      <c r="H99" s="313"/>
      <c r="I99" s="313"/>
      <c r="J99" s="313"/>
      <c r="K99" s="311"/>
      <c r="L99" s="308">
        <v>72.0</v>
      </c>
      <c r="M99" s="313"/>
      <c r="N99" s="313"/>
      <c r="O99" s="310">
        <v>6.0</v>
      </c>
      <c r="P99" s="313"/>
      <c r="Q99" s="313"/>
      <c r="R99" s="313"/>
      <c r="S99" s="311"/>
      <c r="T99" s="312"/>
      <c r="U99" s="309">
        <v>5.0</v>
      </c>
      <c r="V99" s="309">
        <v>7.0</v>
      </c>
      <c r="W99" s="309"/>
    </row>
    <row r="100" ht="15.0" customHeight="1">
      <c r="A100" s="304" t="s">
        <v>171</v>
      </c>
      <c r="B100" s="308">
        <v>106.0</v>
      </c>
      <c r="C100" s="309">
        <v>121.0</v>
      </c>
      <c r="D100" s="309">
        <v>-2.0</v>
      </c>
      <c r="E100" s="309"/>
      <c r="F100" s="311"/>
      <c r="G100" s="308">
        <v>1.0</v>
      </c>
      <c r="H100" s="309">
        <v>4.0</v>
      </c>
      <c r="I100" s="309">
        <v>3.0</v>
      </c>
      <c r="J100" s="313"/>
      <c r="K100" s="311"/>
      <c r="L100" s="308">
        <v>118.0</v>
      </c>
      <c r="M100" s="313"/>
      <c r="N100" s="313"/>
      <c r="O100" s="310"/>
      <c r="P100" s="313"/>
      <c r="Q100" s="309">
        <v>0.2</v>
      </c>
      <c r="R100" s="313"/>
      <c r="S100" s="310" t="s">
        <v>142</v>
      </c>
      <c r="T100" s="312"/>
      <c r="U100" s="309">
        <v>5.0</v>
      </c>
      <c r="V100" s="309">
        <v>6.0</v>
      </c>
      <c r="W100" s="309"/>
    </row>
    <row r="101" ht="15.0" customHeight="1">
      <c r="A101" s="304" t="s">
        <v>438</v>
      </c>
      <c r="B101" s="308">
        <v>53.0</v>
      </c>
      <c r="C101" s="309">
        <v>-2.0</v>
      </c>
      <c r="D101" s="309">
        <v>67.0</v>
      </c>
      <c r="E101" s="309"/>
      <c r="F101" s="311"/>
      <c r="G101" s="312"/>
      <c r="H101" s="313"/>
      <c r="I101" s="313"/>
      <c r="J101" s="313"/>
      <c r="K101" s="311"/>
      <c r="L101" s="308">
        <v>66.0</v>
      </c>
      <c r="M101" s="313"/>
      <c r="N101" s="313"/>
      <c r="O101" s="310">
        <v>2.0</v>
      </c>
      <c r="P101" s="313"/>
      <c r="Q101" s="309"/>
      <c r="R101" s="313"/>
      <c r="S101" s="311"/>
      <c r="T101" s="312"/>
      <c r="U101" s="309">
        <v>4.0</v>
      </c>
      <c r="V101" s="309">
        <v>7.0</v>
      </c>
      <c r="W101" s="309"/>
    </row>
    <row r="102" ht="15.0" customHeight="1">
      <c r="A102" s="304" t="s">
        <v>439</v>
      </c>
      <c r="B102" s="308">
        <v>85.0</v>
      </c>
      <c r="C102" s="309">
        <v>65.0</v>
      </c>
      <c r="D102" s="309">
        <v>65.0</v>
      </c>
      <c r="E102" s="309"/>
      <c r="F102" s="311"/>
      <c r="G102" s="308">
        <v>13.0</v>
      </c>
      <c r="H102" s="309">
        <v>13.0</v>
      </c>
      <c r="I102" s="309">
        <v>12.0</v>
      </c>
      <c r="J102" s="313"/>
      <c r="K102" s="310">
        <v>13.0</v>
      </c>
      <c r="L102" s="308">
        <v>75.0</v>
      </c>
      <c r="M102" s="313"/>
      <c r="N102" s="313"/>
      <c r="O102" s="310">
        <v>2.0</v>
      </c>
      <c r="P102" s="313"/>
      <c r="Q102" s="313"/>
      <c r="R102" s="313"/>
      <c r="S102" s="311"/>
      <c r="T102" s="312"/>
      <c r="U102" s="309">
        <v>4.0</v>
      </c>
      <c r="V102" s="309">
        <v>12.0</v>
      </c>
      <c r="W102" s="309"/>
    </row>
    <row r="103" ht="15.0" customHeight="1">
      <c r="A103" s="304" t="s">
        <v>440</v>
      </c>
      <c r="B103" s="308">
        <v>85.0</v>
      </c>
      <c r="C103" s="309">
        <v>65.0</v>
      </c>
      <c r="D103" s="309">
        <v>65.0</v>
      </c>
      <c r="E103" s="309"/>
      <c r="F103" s="311"/>
      <c r="G103" s="308">
        <v>13.0</v>
      </c>
      <c r="H103" s="309">
        <v>13.0</v>
      </c>
      <c r="I103" s="309">
        <v>12.0</v>
      </c>
      <c r="J103" s="313"/>
      <c r="K103" s="310">
        <v>13.0</v>
      </c>
      <c r="L103" s="308">
        <v>75.0</v>
      </c>
      <c r="M103" s="313"/>
      <c r="N103" s="313"/>
      <c r="O103" s="310">
        <v>2.0</v>
      </c>
      <c r="P103" s="313"/>
      <c r="Q103" s="313"/>
      <c r="R103" s="313"/>
      <c r="S103" s="311"/>
      <c r="T103" s="312"/>
      <c r="U103" s="309">
        <v>4.0</v>
      </c>
      <c r="V103" s="309">
        <v>12.0</v>
      </c>
      <c r="W103" s="309"/>
    </row>
    <row r="104" ht="15.0" customHeight="1">
      <c r="A104" s="304" t="s">
        <v>441</v>
      </c>
      <c r="B104" s="308"/>
      <c r="C104" s="309">
        <v>132.0</v>
      </c>
      <c r="D104" s="309">
        <v>80.0</v>
      </c>
      <c r="E104" s="309"/>
      <c r="F104" s="311"/>
      <c r="G104" s="312"/>
      <c r="H104" s="313"/>
      <c r="I104" s="313"/>
      <c r="J104" s="313"/>
      <c r="K104" s="311"/>
      <c r="L104" s="308">
        <v>132.0</v>
      </c>
      <c r="M104" s="313"/>
      <c r="N104" s="313"/>
      <c r="O104" s="310">
        <v>8.0</v>
      </c>
      <c r="P104" s="309">
        <v>1.0</v>
      </c>
      <c r="Q104" s="309">
        <v>0.1</v>
      </c>
      <c r="R104" s="313"/>
      <c r="S104" s="310" t="s">
        <v>143</v>
      </c>
      <c r="T104" s="312"/>
      <c r="U104" s="309">
        <v>6.0</v>
      </c>
      <c r="V104" s="309">
        <v>10.0</v>
      </c>
      <c r="W104" s="309"/>
    </row>
    <row r="105" ht="15.0" customHeight="1">
      <c r="A105" s="304" t="s">
        <v>442</v>
      </c>
      <c r="B105" s="308">
        <v>6.0</v>
      </c>
      <c r="C105" s="309">
        <v>29.0</v>
      </c>
      <c r="D105" s="309">
        <v>-2.0</v>
      </c>
      <c r="E105" s="313"/>
      <c r="F105" s="311"/>
      <c r="G105" s="313"/>
      <c r="H105" s="309">
        <v>1.0</v>
      </c>
      <c r="I105" s="313"/>
      <c r="J105" s="313"/>
      <c r="K105" s="311"/>
      <c r="L105" s="308">
        <v>28.0</v>
      </c>
      <c r="M105" s="313"/>
      <c r="N105" s="313"/>
      <c r="O105" s="311"/>
      <c r="P105" s="309"/>
      <c r="Q105" s="309"/>
      <c r="R105" s="313"/>
      <c r="S105" s="310"/>
      <c r="T105" s="312"/>
      <c r="U105" s="309">
        <v>4.0</v>
      </c>
      <c r="V105" s="309">
        <v>6.0</v>
      </c>
      <c r="W105" s="309"/>
    </row>
    <row r="106" ht="15.0" customHeight="1">
      <c r="A106" s="304" t="s">
        <v>443</v>
      </c>
      <c r="B106" s="308">
        <v>5.0</v>
      </c>
      <c r="C106" s="309">
        <v>21.0</v>
      </c>
      <c r="D106" s="309">
        <v>-2.0</v>
      </c>
      <c r="E106" s="313"/>
      <c r="F106" s="311"/>
      <c r="G106" s="312"/>
      <c r="H106" s="309">
        <v>1.0</v>
      </c>
      <c r="I106" s="313"/>
      <c r="J106" s="313"/>
      <c r="K106" s="310"/>
      <c r="L106" s="308">
        <v>20.0</v>
      </c>
      <c r="M106" s="313"/>
      <c r="N106" s="313"/>
      <c r="O106" s="311"/>
      <c r="P106" s="313"/>
      <c r="Q106" s="313"/>
      <c r="R106" s="313"/>
      <c r="S106" s="311"/>
      <c r="T106" s="312"/>
      <c r="U106" s="309">
        <v>4.0</v>
      </c>
      <c r="V106" s="309">
        <v>6.0</v>
      </c>
      <c r="W106" s="309"/>
    </row>
    <row r="107" ht="15.0" customHeight="1">
      <c r="A107" s="304" t="s">
        <v>444</v>
      </c>
      <c r="B107" s="308">
        <v>4.0</v>
      </c>
      <c r="C107" s="309">
        <v>19.0</v>
      </c>
      <c r="D107" s="309">
        <v>-2.0</v>
      </c>
      <c r="E107" s="313"/>
      <c r="F107" s="310"/>
      <c r="G107" s="312"/>
      <c r="H107" s="309">
        <v>1.0</v>
      </c>
      <c r="I107" s="309"/>
      <c r="J107" s="313"/>
      <c r="K107" s="311"/>
      <c r="L107" s="308">
        <v>14.0</v>
      </c>
      <c r="M107" s="309"/>
      <c r="N107" s="313"/>
      <c r="O107" s="311"/>
      <c r="P107" s="309"/>
      <c r="Q107" s="309"/>
      <c r="R107" s="313"/>
      <c r="S107" s="311"/>
      <c r="T107" s="312"/>
      <c r="U107" s="309">
        <v>4.0</v>
      </c>
      <c r="V107" s="309">
        <v>6.0</v>
      </c>
      <c r="W107" s="309"/>
    </row>
    <row r="108" ht="15.0" customHeight="1">
      <c r="A108" s="304" t="s">
        <v>445</v>
      </c>
      <c r="B108" s="308">
        <v>4.0</v>
      </c>
      <c r="C108" s="309">
        <v>19.0</v>
      </c>
      <c r="D108" s="309">
        <v>-2.0</v>
      </c>
      <c r="E108" s="309"/>
      <c r="F108" s="311"/>
      <c r="G108" s="312"/>
      <c r="H108" s="309">
        <v>1.0</v>
      </c>
      <c r="I108" s="313"/>
      <c r="J108" s="309"/>
      <c r="K108" s="311"/>
      <c r="L108" s="308">
        <v>14.0</v>
      </c>
      <c r="M108" s="313"/>
      <c r="N108" s="313"/>
      <c r="O108" s="310">
        <v>1.0</v>
      </c>
      <c r="P108" s="313"/>
      <c r="Q108" s="313"/>
      <c r="R108" s="313"/>
      <c r="S108" s="311"/>
      <c r="T108" s="308"/>
      <c r="U108" s="309">
        <v>4.0</v>
      </c>
      <c r="V108" s="309">
        <v>6.0</v>
      </c>
      <c r="W108" s="309"/>
    </row>
    <row r="109" ht="15.0" customHeight="1">
      <c r="A109" s="304" t="s">
        <v>446</v>
      </c>
      <c r="B109" s="308">
        <v>3.0</v>
      </c>
      <c r="C109" s="309">
        <v>15.0</v>
      </c>
      <c r="D109" s="309">
        <v>-2.0</v>
      </c>
      <c r="E109" s="309"/>
      <c r="F109" s="311"/>
      <c r="G109" s="312"/>
      <c r="H109" s="309">
        <v>1.0</v>
      </c>
      <c r="I109" s="309"/>
      <c r="J109" s="309"/>
      <c r="K109" s="311"/>
      <c r="L109" s="308">
        <v>14.0</v>
      </c>
      <c r="M109" s="313"/>
      <c r="N109" s="309"/>
      <c r="O109" s="311"/>
      <c r="P109" s="313"/>
      <c r="Q109" s="313"/>
      <c r="R109" s="313"/>
      <c r="S109" s="311"/>
      <c r="T109" s="312"/>
      <c r="U109" s="309">
        <v>4.0</v>
      </c>
      <c r="V109" s="309">
        <v>6.0</v>
      </c>
      <c r="W109" s="309"/>
    </row>
    <row r="110" ht="15.0" customHeight="1">
      <c r="A110" s="304" t="s">
        <v>447</v>
      </c>
      <c r="B110" s="308">
        <v>2.0</v>
      </c>
      <c r="C110" s="309">
        <v>10.0</v>
      </c>
      <c r="D110" s="309">
        <v>-2.0</v>
      </c>
      <c r="E110" s="309"/>
      <c r="F110" s="311"/>
      <c r="G110" s="308"/>
      <c r="H110" s="309">
        <v>1.0</v>
      </c>
      <c r="I110" s="309"/>
      <c r="J110" s="309"/>
      <c r="K110" s="310"/>
      <c r="L110" s="308">
        <v>9.0</v>
      </c>
      <c r="M110" s="313"/>
      <c r="N110" s="313"/>
      <c r="O110" s="311"/>
      <c r="P110" s="313"/>
      <c r="Q110" s="313"/>
      <c r="R110" s="313"/>
      <c r="S110" s="311"/>
      <c r="T110" s="312"/>
      <c r="U110" s="309">
        <v>4.0</v>
      </c>
      <c r="V110" s="309">
        <v>6.0</v>
      </c>
      <c r="W110" s="309"/>
    </row>
    <row r="111" ht="15.0" customHeight="1">
      <c r="A111" s="304" t="s">
        <v>448</v>
      </c>
      <c r="B111" s="308">
        <v>1.0</v>
      </c>
      <c r="C111" s="309">
        <v>7.0</v>
      </c>
      <c r="D111" s="309">
        <v>-2.0</v>
      </c>
      <c r="E111" s="313"/>
      <c r="F111" s="311"/>
      <c r="G111" s="312"/>
      <c r="H111" s="309">
        <v>1.0</v>
      </c>
      <c r="I111" s="313"/>
      <c r="J111" s="313"/>
      <c r="K111" s="311"/>
      <c r="L111" s="308">
        <v>6.0</v>
      </c>
      <c r="M111" s="313"/>
      <c r="N111" s="313"/>
      <c r="O111" s="311"/>
      <c r="P111" s="313"/>
      <c r="Q111" s="313"/>
      <c r="R111" s="313"/>
      <c r="S111" s="311"/>
      <c r="T111" s="312"/>
      <c r="U111" s="309">
        <v>4.0</v>
      </c>
      <c r="V111" s="309">
        <v>6.0</v>
      </c>
      <c r="W111" s="309"/>
    </row>
    <row r="112" ht="15.0" customHeight="1">
      <c r="A112" s="304"/>
      <c r="B112" s="312"/>
      <c r="C112" s="313"/>
      <c r="D112" s="313"/>
      <c r="E112" s="313"/>
      <c r="F112" s="311"/>
      <c r="G112" s="312"/>
      <c r="H112" s="313"/>
      <c r="I112" s="313"/>
      <c r="J112" s="313"/>
      <c r="K112" s="311"/>
      <c r="L112" s="308"/>
      <c r="M112" s="313"/>
      <c r="N112" s="313"/>
      <c r="O112" s="311"/>
      <c r="P112" s="313"/>
      <c r="Q112" s="313"/>
      <c r="R112" s="313"/>
      <c r="S112" s="311"/>
      <c r="T112" s="312"/>
      <c r="U112" s="313"/>
      <c r="V112" s="313"/>
      <c r="W112" s="313"/>
    </row>
    <row r="113" ht="15.0" customHeight="1">
      <c r="A113" s="304" t="s">
        <v>449</v>
      </c>
      <c r="B113" s="312"/>
      <c r="C113" s="313"/>
      <c r="D113" s="313"/>
      <c r="E113" s="313"/>
      <c r="F113" s="310">
        <v>80.0</v>
      </c>
      <c r="G113" s="312"/>
      <c r="H113" s="313"/>
      <c r="I113" s="313"/>
      <c r="J113" s="313"/>
      <c r="K113" s="311"/>
      <c r="L113" s="312"/>
      <c r="M113" s="309"/>
      <c r="N113" s="313"/>
      <c r="O113" s="311"/>
      <c r="P113" s="313"/>
      <c r="Q113" s="313"/>
      <c r="R113" s="313"/>
      <c r="S113" s="310"/>
      <c r="T113" s="312"/>
      <c r="U113" s="309">
        <v>4.0</v>
      </c>
      <c r="V113" s="309">
        <v>17.0</v>
      </c>
      <c r="W113" s="309"/>
    </row>
    <row r="114" ht="15.0" customHeight="1">
      <c r="A114" s="304" t="s">
        <v>450</v>
      </c>
      <c r="B114" s="312"/>
      <c r="C114" s="313"/>
      <c r="D114" s="313"/>
      <c r="E114" s="309"/>
      <c r="F114" s="310">
        <v>100.0</v>
      </c>
      <c r="G114" s="312"/>
      <c r="H114" s="313"/>
      <c r="I114" s="313"/>
      <c r="J114" s="313"/>
      <c r="K114" s="311"/>
      <c r="L114" s="312"/>
      <c r="M114" s="309"/>
      <c r="N114" s="313"/>
      <c r="O114" s="310">
        <v>1.0</v>
      </c>
      <c r="P114" s="309">
        <v>1.0</v>
      </c>
      <c r="Q114" s="313"/>
      <c r="R114" s="313"/>
      <c r="S114" s="310" t="s">
        <v>304</v>
      </c>
      <c r="T114" s="312"/>
      <c r="U114" s="309">
        <v>6.0</v>
      </c>
      <c r="V114" s="309">
        <v>17.0</v>
      </c>
      <c r="W114" s="309"/>
    </row>
    <row r="115" ht="15.0" customHeight="1">
      <c r="A115" s="304" t="s">
        <v>451</v>
      </c>
      <c r="B115" s="312"/>
      <c r="C115" s="313"/>
      <c r="D115" s="313"/>
      <c r="E115" s="313"/>
      <c r="F115" s="310">
        <v>80.0</v>
      </c>
      <c r="G115" s="312"/>
      <c r="H115" s="313"/>
      <c r="I115" s="313"/>
      <c r="J115" s="313"/>
      <c r="K115" s="311"/>
      <c r="L115" s="312"/>
      <c r="M115" s="309">
        <v>30.0</v>
      </c>
      <c r="N115" s="313"/>
      <c r="O115" s="311"/>
      <c r="P115" s="313"/>
      <c r="Q115" s="309"/>
      <c r="R115" s="313"/>
      <c r="S115" s="311"/>
      <c r="T115" s="312"/>
      <c r="U115" s="309">
        <v>4.0</v>
      </c>
      <c r="V115" s="309">
        <v>17.0</v>
      </c>
      <c r="W115" s="309"/>
    </row>
    <row r="116" ht="15.0" customHeight="1">
      <c r="A116" s="304" t="s">
        <v>165</v>
      </c>
      <c r="B116" s="312"/>
      <c r="C116" s="313"/>
      <c r="D116" s="313"/>
      <c r="E116" s="313"/>
      <c r="F116" s="310">
        <v>45.0</v>
      </c>
      <c r="G116" s="312"/>
      <c r="H116" s="313"/>
      <c r="I116" s="313"/>
      <c r="J116" s="313"/>
      <c r="K116" s="311"/>
      <c r="L116" s="312"/>
      <c r="M116" s="309">
        <v>0.0</v>
      </c>
      <c r="N116" s="313"/>
      <c r="O116" s="311"/>
      <c r="P116" s="313"/>
      <c r="Q116" s="309"/>
      <c r="R116" s="313"/>
      <c r="S116" s="311"/>
      <c r="T116" s="312"/>
      <c r="U116" s="309">
        <v>4.0</v>
      </c>
      <c r="V116" s="309">
        <v>17.0</v>
      </c>
      <c r="W116" s="309"/>
    </row>
    <row r="117" ht="15.0" customHeight="1">
      <c r="A117" s="304" t="s">
        <v>452</v>
      </c>
      <c r="B117" s="312"/>
      <c r="C117" s="313"/>
      <c r="D117" s="313"/>
      <c r="E117" s="313"/>
      <c r="F117" s="310">
        <v>100.0</v>
      </c>
      <c r="G117" s="312"/>
      <c r="H117" s="313"/>
      <c r="I117" s="313"/>
      <c r="J117" s="313"/>
      <c r="K117" s="311"/>
      <c r="L117" s="312"/>
      <c r="M117" s="309">
        <v>70.0</v>
      </c>
      <c r="N117" s="313"/>
      <c r="O117" s="311"/>
      <c r="P117" s="313"/>
      <c r="Q117" s="313"/>
      <c r="R117" s="313"/>
      <c r="S117" s="310"/>
      <c r="T117" s="312"/>
      <c r="U117" s="309">
        <v>5.0</v>
      </c>
      <c r="V117" s="309">
        <v>17.0</v>
      </c>
      <c r="W117" s="309"/>
    </row>
    <row r="118" ht="15.0" customHeight="1">
      <c r="A118" s="304" t="s">
        <v>453</v>
      </c>
      <c r="B118" s="312"/>
      <c r="C118" s="313"/>
      <c r="D118" s="313"/>
      <c r="E118" s="313"/>
      <c r="F118" s="310">
        <v>72.0</v>
      </c>
      <c r="G118" s="312"/>
      <c r="H118" s="313"/>
      <c r="I118" s="313"/>
      <c r="J118" s="313"/>
      <c r="K118" s="311"/>
      <c r="L118" s="312"/>
      <c r="M118" s="309">
        <v>42.0</v>
      </c>
      <c r="N118" s="313"/>
      <c r="O118" s="310">
        <v>1.0</v>
      </c>
      <c r="P118" s="313"/>
      <c r="Q118" s="313"/>
      <c r="R118" s="313"/>
      <c r="S118" s="310"/>
      <c r="T118" s="312"/>
      <c r="U118" s="309">
        <v>5.0</v>
      </c>
      <c r="V118" s="309">
        <v>17.0</v>
      </c>
      <c r="W118" s="309"/>
    </row>
    <row r="119" ht="15.0" customHeight="1">
      <c r="A119" s="304" t="s">
        <v>454</v>
      </c>
      <c r="B119" s="312"/>
      <c r="C119" s="313"/>
      <c r="D119" s="313"/>
      <c r="E119" s="313"/>
      <c r="F119" s="310">
        <v>118.0</v>
      </c>
      <c r="G119" s="312"/>
      <c r="H119" s="313"/>
      <c r="I119" s="313"/>
      <c r="J119" s="313"/>
      <c r="K119" s="311"/>
      <c r="L119" s="312"/>
      <c r="M119" s="309">
        <v>88.0</v>
      </c>
      <c r="N119" s="313"/>
      <c r="O119" s="310">
        <v>2.0</v>
      </c>
      <c r="P119" s="313"/>
      <c r="Q119" s="313"/>
      <c r="R119" s="313"/>
      <c r="S119" s="310"/>
      <c r="T119" s="312"/>
      <c r="U119" s="309">
        <v>5.0</v>
      </c>
      <c r="V119" s="309">
        <v>17.0</v>
      </c>
      <c r="W119" s="309"/>
    </row>
    <row r="120" ht="15.0" customHeight="1">
      <c r="A120" s="304" t="s">
        <v>455</v>
      </c>
      <c r="B120" s="312"/>
      <c r="C120" s="313"/>
      <c r="D120" s="313"/>
      <c r="E120" s="313"/>
      <c r="F120" s="310">
        <v>172.0</v>
      </c>
      <c r="G120" s="312"/>
      <c r="H120" s="313"/>
      <c r="I120" s="313"/>
      <c r="J120" s="313"/>
      <c r="K120" s="311"/>
      <c r="L120" s="312"/>
      <c r="M120" s="309">
        <v>138.0</v>
      </c>
      <c r="N120" s="313"/>
      <c r="O120" s="310">
        <v>3.0</v>
      </c>
      <c r="P120" s="313"/>
      <c r="Q120" s="313"/>
      <c r="R120" s="313"/>
      <c r="S120" s="310"/>
      <c r="T120" s="312"/>
      <c r="U120" s="309">
        <v>5.0</v>
      </c>
      <c r="V120" s="309">
        <v>17.0</v>
      </c>
      <c r="W120" s="309"/>
    </row>
    <row r="121" ht="15.0" customHeight="1">
      <c r="A121" s="304" t="s">
        <v>456</v>
      </c>
      <c r="B121" s="312"/>
      <c r="C121" s="313"/>
      <c r="D121" s="313"/>
      <c r="E121" s="313"/>
      <c r="F121" s="310">
        <v>75.0</v>
      </c>
      <c r="G121" s="312"/>
      <c r="H121" s="313"/>
      <c r="I121" s="313"/>
      <c r="J121" s="313"/>
      <c r="K121" s="311"/>
      <c r="L121" s="312"/>
      <c r="M121" s="309">
        <v>60.0</v>
      </c>
      <c r="N121" s="313"/>
      <c r="O121" s="311"/>
      <c r="P121" s="313"/>
      <c r="Q121" s="313"/>
      <c r="R121" s="313"/>
      <c r="S121" s="310"/>
      <c r="T121" s="312"/>
      <c r="U121" s="309">
        <v>4.0</v>
      </c>
      <c r="V121" s="309">
        <v>17.0</v>
      </c>
      <c r="W121" s="309"/>
    </row>
    <row r="122" ht="15.0" customHeight="1">
      <c r="A122" s="304" t="s">
        <v>238</v>
      </c>
      <c r="B122" s="312"/>
      <c r="C122" s="313"/>
      <c r="D122" s="313"/>
      <c r="E122" s="313"/>
      <c r="F122" s="310">
        <v>95.0</v>
      </c>
      <c r="G122" s="312"/>
      <c r="H122" s="313"/>
      <c r="I122" s="313"/>
      <c r="J122" s="313"/>
      <c r="K122" s="311"/>
      <c r="L122" s="312"/>
      <c r="M122" s="313"/>
      <c r="N122" s="313"/>
      <c r="O122" s="311"/>
      <c r="P122" s="309"/>
      <c r="Q122" s="309">
        <v>0.5</v>
      </c>
      <c r="R122" s="309"/>
      <c r="S122" s="310" t="s">
        <v>304</v>
      </c>
      <c r="T122" s="312"/>
      <c r="U122" s="309">
        <v>8.0</v>
      </c>
      <c r="V122" s="309">
        <v>17.0</v>
      </c>
      <c r="W122" s="309"/>
    </row>
    <row r="123" ht="15.0" customHeight="1">
      <c r="A123" s="304" t="s">
        <v>457</v>
      </c>
      <c r="B123" s="312"/>
      <c r="C123" s="313"/>
      <c r="D123" s="313"/>
      <c r="E123" s="313"/>
      <c r="F123" s="310"/>
      <c r="G123" s="312"/>
      <c r="H123" s="313"/>
      <c r="I123" s="313"/>
      <c r="J123" s="313"/>
      <c r="K123" s="311"/>
      <c r="L123" s="312"/>
      <c r="M123" s="313"/>
      <c r="N123" s="313"/>
      <c r="O123" s="311"/>
      <c r="P123" s="313"/>
      <c r="Q123" s="309"/>
      <c r="R123" s="313"/>
      <c r="S123" s="311"/>
      <c r="T123" s="312"/>
      <c r="U123" s="309">
        <v>3.0</v>
      </c>
      <c r="V123" s="309">
        <v>17.0</v>
      </c>
      <c r="W123" s="309"/>
    </row>
    <row r="124" ht="15.0" customHeight="1">
      <c r="A124" s="304" t="s">
        <v>458</v>
      </c>
      <c r="B124" s="312"/>
      <c r="C124" s="313"/>
      <c r="D124" s="313"/>
      <c r="E124" s="313"/>
      <c r="F124" s="310">
        <v>42.0</v>
      </c>
      <c r="G124" s="312"/>
      <c r="H124" s="313"/>
      <c r="I124" s="313"/>
      <c r="J124" s="313"/>
      <c r="K124" s="311"/>
      <c r="L124" s="312"/>
      <c r="M124" s="313"/>
      <c r="N124" s="313"/>
      <c r="O124" s="311"/>
      <c r="P124" s="313"/>
      <c r="Q124" s="313"/>
      <c r="R124" s="313"/>
      <c r="S124" s="310"/>
      <c r="T124" s="312"/>
      <c r="U124" s="309">
        <v>5.0</v>
      </c>
      <c r="V124" s="309">
        <v>17.0</v>
      </c>
      <c r="W124" s="309"/>
    </row>
    <row r="125" ht="15.0" customHeight="1">
      <c r="A125" s="304" t="s">
        <v>459</v>
      </c>
      <c r="B125" s="312"/>
      <c r="C125" s="313"/>
      <c r="D125" s="313"/>
      <c r="E125" s="313"/>
      <c r="F125" s="310">
        <v>94.0</v>
      </c>
      <c r="G125" s="312"/>
      <c r="H125" s="313"/>
      <c r="I125" s="313"/>
      <c r="J125" s="313"/>
      <c r="K125" s="311"/>
      <c r="L125" s="312"/>
      <c r="M125" s="309"/>
      <c r="N125" s="313"/>
      <c r="O125" s="311"/>
      <c r="P125" s="309"/>
      <c r="Q125" s="309">
        <v>0.2</v>
      </c>
      <c r="R125" s="313"/>
      <c r="S125" s="310" t="s">
        <v>304</v>
      </c>
      <c r="T125" s="312"/>
      <c r="U125" s="309">
        <v>6.0</v>
      </c>
      <c r="V125" s="309">
        <v>17.0</v>
      </c>
      <c r="W125" s="309"/>
    </row>
    <row r="126" ht="15.0" customHeight="1">
      <c r="A126" s="304" t="s">
        <v>460</v>
      </c>
      <c r="B126" s="312"/>
      <c r="C126" s="313"/>
      <c r="D126" s="313"/>
      <c r="E126" s="313"/>
      <c r="F126" s="310">
        <v>95.0</v>
      </c>
      <c r="G126" s="312"/>
      <c r="H126" s="313"/>
      <c r="I126" s="313"/>
      <c r="J126" s="313"/>
      <c r="K126" s="311"/>
      <c r="L126" s="312"/>
      <c r="M126" s="309"/>
      <c r="N126" s="313"/>
      <c r="O126" s="311"/>
      <c r="P126" s="309"/>
      <c r="Q126" s="313"/>
      <c r="R126" s="313"/>
      <c r="S126" s="310"/>
      <c r="T126" s="312"/>
      <c r="U126" s="309">
        <v>6.0</v>
      </c>
      <c r="V126" s="309">
        <v>17.0</v>
      </c>
      <c r="W126" s="309"/>
    </row>
    <row r="127" ht="15.0" customHeight="1">
      <c r="A127" s="304" t="s">
        <v>461</v>
      </c>
      <c r="B127" s="312"/>
      <c r="C127" s="313"/>
      <c r="D127" s="313"/>
      <c r="E127" s="313"/>
      <c r="F127" s="310">
        <v>36.0</v>
      </c>
      <c r="G127" s="312"/>
      <c r="H127" s="313"/>
      <c r="I127" s="313"/>
      <c r="J127" s="313"/>
      <c r="K127" s="311"/>
      <c r="L127" s="312"/>
      <c r="M127" s="309">
        <v>47.0</v>
      </c>
      <c r="N127" s="313"/>
      <c r="O127" s="311"/>
      <c r="P127" s="309">
        <v>0.25</v>
      </c>
      <c r="Q127" s="313"/>
      <c r="R127" s="313"/>
      <c r="S127" s="310" t="s">
        <v>304</v>
      </c>
      <c r="T127" s="312"/>
      <c r="U127" s="309">
        <v>5.0</v>
      </c>
      <c r="V127" s="309">
        <v>17.0</v>
      </c>
      <c r="W127" s="309"/>
    </row>
    <row r="128" ht="15.0" customHeight="1">
      <c r="A128" s="304" t="s">
        <v>462</v>
      </c>
      <c r="B128" s="312"/>
      <c r="C128" s="313"/>
      <c r="D128" s="313"/>
      <c r="E128" s="313"/>
      <c r="F128" s="310">
        <v>90.0</v>
      </c>
      <c r="G128" s="312"/>
      <c r="H128" s="313"/>
      <c r="I128" s="313"/>
      <c r="J128" s="313"/>
      <c r="K128" s="311"/>
      <c r="L128" s="312"/>
      <c r="M128" s="313"/>
      <c r="N128" s="313"/>
      <c r="O128" s="311"/>
      <c r="P128" s="313"/>
      <c r="Q128" s="313"/>
      <c r="R128" s="313"/>
      <c r="S128" s="311"/>
      <c r="T128" s="312"/>
      <c r="U128" s="309">
        <v>6.0</v>
      </c>
      <c r="V128" s="309">
        <v>17.0</v>
      </c>
      <c r="W128" s="309"/>
    </row>
    <row r="129" ht="15.0" customHeight="1">
      <c r="A129" s="304" t="s">
        <v>463</v>
      </c>
      <c r="B129" s="312"/>
      <c r="C129" s="313"/>
      <c r="D129" s="313"/>
      <c r="E129" s="313"/>
      <c r="F129" s="310">
        <v>55.0</v>
      </c>
      <c r="G129" s="312"/>
      <c r="H129" s="313"/>
      <c r="I129" s="313"/>
      <c r="J129" s="313"/>
      <c r="K129" s="311"/>
      <c r="L129" s="312"/>
      <c r="M129" s="313"/>
      <c r="N129" s="313"/>
      <c r="O129" s="311"/>
      <c r="P129" s="313"/>
      <c r="Q129" s="313"/>
      <c r="R129" s="313"/>
      <c r="S129" s="311"/>
      <c r="T129" s="312"/>
      <c r="U129" s="309">
        <v>4.0</v>
      </c>
      <c r="V129" s="309">
        <v>17.0</v>
      </c>
      <c r="W129" s="309"/>
    </row>
    <row r="130" ht="15.0" customHeight="1">
      <c r="A130" s="304" t="s">
        <v>464</v>
      </c>
      <c r="B130" s="312"/>
      <c r="C130" s="313"/>
      <c r="D130" s="313"/>
      <c r="E130" s="313"/>
      <c r="F130" s="310">
        <v>78.0</v>
      </c>
      <c r="G130" s="312"/>
      <c r="H130" s="313"/>
      <c r="I130" s="313"/>
      <c r="J130" s="313"/>
      <c r="K130" s="311"/>
      <c r="L130" s="312"/>
      <c r="M130" s="313"/>
      <c r="N130" s="313"/>
      <c r="O130" s="311"/>
      <c r="P130" s="313"/>
      <c r="Q130" s="313"/>
      <c r="R130" s="313"/>
      <c r="S130" s="311"/>
      <c r="T130" s="312"/>
      <c r="U130" s="309">
        <v>6.0</v>
      </c>
      <c r="V130" s="309">
        <v>17.0</v>
      </c>
      <c r="W130" s="309"/>
    </row>
    <row r="131" ht="15.0" customHeight="1">
      <c r="A131" s="304" t="s">
        <v>465</v>
      </c>
      <c r="B131" s="312"/>
      <c r="C131" s="313"/>
      <c r="D131" s="313"/>
      <c r="E131" s="313"/>
      <c r="F131" s="310">
        <v>66.0</v>
      </c>
      <c r="G131" s="312"/>
      <c r="H131" s="313"/>
      <c r="I131" s="313"/>
      <c r="J131" s="313"/>
      <c r="K131" s="311"/>
      <c r="L131" s="312"/>
      <c r="M131" s="313"/>
      <c r="N131" s="313"/>
      <c r="O131" s="311"/>
      <c r="P131" s="313"/>
      <c r="Q131" s="313"/>
      <c r="R131" s="313"/>
      <c r="S131" s="311"/>
      <c r="T131" s="312"/>
      <c r="U131" s="309">
        <v>6.0</v>
      </c>
      <c r="V131" s="309">
        <v>17.0</v>
      </c>
      <c r="W131" s="309"/>
    </row>
    <row r="132" ht="15.0" customHeight="1">
      <c r="A132" s="304" t="s">
        <v>466</v>
      </c>
      <c r="B132" s="312"/>
      <c r="C132" s="313"/>
      <c r="D132" s="313"/>
      <c r="E132" s="313"/>
      <c r="F132" s="310">
        <v>54.0</v>
      </c>
      <c r="G132" s="312"/>
      <c r="H132" s="313"/>
      <c r="I132" s="313"/>
      <c r="J132" s="313"/>
      <c r="K132" s="311"/>
      <c r="L132" s="312"/>
      <c r="M132" s="313"/>
      <c r="N132" s="313"/>
      <c r="O132" s="311"/>
      <c r="P132" s="313"/>
      <c r="Q132" s="313"/>
      <c r="R132" s="313"/>
      <c r="S132" s="311"/>
      <c r="T132" s="312"/>
      <c r="U132" s="309">
        <v>6.0</v>
      </c>
      <c r="V132" s="309">
        <v>17.0</v>
      </c>
      <c r="W132" s="309"/>
    </row>
    <row r="133" ht="15.0" customHeight="1">
      <c r="A133" s="304" t="s">
        <v>467</v>
      </c>
      <c r="B133" s="312"/>
      <c r="C133" s="313"/>
      <c r="D133" s="313"/>
      <c r="E133" s="313"/>
      <c r="F133" s="310">
        <v>42.0</v>
      </c>
      <c r="G133" s="312"/>
      <c r="H133" s="313"/>
      <c r="I133" s="313"/>
      <c r="J133" s="313"/>
      <c r="K133" s="311"/>
      <c r="L133" s="312"/>
      <c r="M133" s="313"/>
      <c r="N133" s="313"/>
      <c r="O133" s="311"/>
      <c r="P133" s="313"/>
      <c r="Q133" s="313"/>
      <c r="R133" s="313"/>
      <c r="S133" s="311"/>
      <c r="T133" s="312"/>
      <c r="U133" s="309">
        <v>6.0</v>
      </c>
      <c r="V133" s="309">
        <v>17.0</v>
      </c>
      <c r="W133" s="309"/>
    </row>
    <row r="134" ht="15.0" customHeight="1">
      <c r="A134" s="304" t="s">
        <v>468</v>
      </c>
      <c r="B134" s="312"/>
      <c r="C134" s="313"/>
      <c r="D134" s="313"/>
      <c r="E134" s="313"/>
      <c r="F134" s="310">
        <v>18.0</v>
      </c>
      <c r="G134" s="312"/>
      <c r="H134" s="313"/>
      <c r="I134" s="313"/>
      <c r="J134" s="313"/>
      <c r="K134" s="311"/>
      <c r="L134" s="312"/>
      <c r="M134" s="313"/>
      <c r="N134" s="313"/>
      <c r="O134" s="311"/>
      <c r="P134" s="313"/>
      <c r="Q134" s="313"/>
      <c r="R134" s="313"/>
      <c r="S134" s="311"/>
      <c r="T134" s="312"/>
      <c r="U134" s="309">
        <v>6.0</v>
      </c>
      <c r="V134" s="309">
        <v>17.0</v>
      </c>
      <c r="W134" s="309"/>
    </row>
    <row r="135" ht="15.0" customHeight="1">
      <c r="A135" s="304" t="s">
        <v>469</v>
      </c>
      <c r="B135" s="312"/>
      <c r="C135" s="313"/>
      <c r="D135" s="313"/>
      <c r="E135" s="313"/>
      <c r="F135" s="310">
        <v>30.0</v>
      </c>
      <c r="G135" s="312"/>
      <c r="H135" s="313"/>
      <c r="I135" s="313"/>
      <c r="J135" s="313"/>
      <c r="K135" s="311"/>
      <c r="L135" s="312"/>
      <c r="M135" s="313"/>
      <c r="N135" s="313"/>
      <c r="O135" s="311"/>
      <c r="P135" s="313"/>
      <c r="Q135" s="313"/>
      <c r="R135" s="313"/>
      <c r="S135" s="311"/>
      <c r="T135" s="312"/>
      <c r="U135" s="309">
        <v>6.0</v>
      </c>
      <c r="V135" s="309">
        <v>17.0</v>
      </c>
      <c r="W135" s="309"/>
    </row>
    <row r="136" ht="15.0" customHeight="1">
      <c r="A136" s="304" t="s">
        <v>470</v>
      </c>
      <c r="B136" s="312"/>
      <c r="C136" s="313"/>
      <c r="D136" s="313"/>
      <c r="E136" s="313"/>
      <c r="F136" s="310">
        <v>26.0</v>
      </c>
      <c r="G136" s="312"/>
      <c r="H136" s="313"/>
      <c r="I136" s="313"/>
      <c r="J136" s="313"/>
      <c r="K136" s="311"/>
      <c r="L136" s="312"/>
      <c r="M136" s="309">
        <v>36.0</v>
      </c>
      <c r="N136" s="313"/>
      <c r="O136" s="311"/>
      <c r="P136" s="313"/>
      <c r="Q136" s="313"/>
      <c r="R136" s="313"/>
      <c r="S136" s="310" t="s">
        <v>304</v>
      </c>
      <c r="T136" s="312"/>
      <c r="U136" s="309">
        <v>5.0</v>
      </c>
      <c r="V136" s="309">
        <v>17.0</v>
      </c>
      <c r="W136" s="309"/>
    </row>
    <row r="137" ht="15.0" customHeight="1">
      <c r="A137" s="304" t="s">
        <v>471</v>
      </c>
      <c r="B137" s="312"/>
      <c r="C137" s="313"/>
      <c r="D137" s="313"/>
      <c r="E137" s="313"/>
      <c r="F137" s="310">
        <v>125.0</v>
      </c>
      <c r="G137" s="312"/>
      <c r="H137" s="313"/>
      <c r="I137" s="313"/>
      <c r="J137" s="313"/>
      <c r="K137" s="311"/>
      <c r="L137" s="308"/>
      <c r="M137" s="309">
        <v>15.0</v>
      </c>
      <c r="N137" s="313"/>
      <c r="O137" s="311"/>
      <c r="P137" s="309">
        <v>0.25</v>
      </c>
      <c r="Q137" s="309">
        <v>0.25</v>
      </c>
      <c r="R137" s="309"/>
      <c r="S137" s="310" t="s">
        <v>304</v>
      </c>
      <c r="T137" s="308"/>
      <c r="U137" s="309">
        <v>7.0</v>
      </c>
      <c r="V137" s="309">
        <v>17.0</v>
      </c>
      <c r="W137" s="309"/>
    </row>
    <row r="138" ht="15.0" customHeight="1">
      <c r="A138" s="304" t="s">
        <v>472</v>
      </c>
      <c r="B138" s="312"/>
      <c r="C138" s="313"/>
      <c r="D138" s="313"/>
      <c r="E138" s="313"/>
      <c r="F138" s="310">
        <v>84.0</v>
      </c>
      <c r="G138" s="312"/>
      <c r="H138" s="313"/>
      <c r="I138" s="313"/>
      <c r="J138" s="313"/>
      <c r="K138" s="311"/>
      <c r="L138" s="312"/>
      <c r="M138" s="313"/>
      <c r="N138" s="313"/>
      <c r="O138" s="311"/>
      <c r="P138" s="313"/>
      <c r="Q138" s="313"/>
      <c r="R138" s="313"/>
      <c r="S138" s="311"/>
      <c r="T138" s="312"/>
      <c r="U138" s="309">
        <v>4.0</v>
      </c>
      <c r="V138" s="309">
        <v>17.0</v>
      </c>
      <c r="W138" s="309"/>
    </row>
    <row r="139" ht="15.0" customHeight="1">
      <c r="A139" s="304" t="s">
        <v>473</v>
      </c>
      <c r="B139" s="312"/>
      <c r="C139" s="313"/>
      <c r="D139" s="313"/>
      <c r="E139" s="313"/>
      <c r="F139" s="310"/>
      <c r="G139" s="312"/>
      <c r="H139" s="313"/>
      <c r="I139" s="313"/>
      <c r="J139" s="313"/>
      <c r="K139" s="311"/>
      <c r="L139" s="312"/>
      <c r="M139" s="313"/>
      <c r="N139" s="313"/>
      <c r="O139" s="311"/>
      <c r="P139" s="313"/>
      <c r="Q139" s="309"/>
      <c r="R139" s="313"/>
      <c r="S139" s="311"/>
      <c r="T139" s="312"/>
      <c r="U139" s="309">
        <v>3.0</v>
      </c>
      <c r="V139" s="309">
        <v>17.0</v>
      </c>
      <c r="W139" s="309"/>
    </row>
    <row r="140" ht="15.0" customHeight="1">
      <c r="A140" s="304" t="s">
        <v>474</v>
      </c>
      <c r="B140" s="312"/>
      <c r="C140" s="313"/>
      <c r="D140" s="313"/>
      <c r="E140" s="313"/>
      <c r="F140" s="310">
        <v>110.0</v>
      </c>
      <c r="G140" s="312"/>
      <c r="H140" s="313"/>
      <c r="I140" s="313"/>
      <c r="J140" s="313"/>
      <c r="K140" s="311"/>
      <c r="L140" s="308"/>
      <c r="M140" s="309"/>
      <c r="N140" s="313"/>
      <c r="O140" s="311"/>
      <c r="P140" s="309">
        <v>0.25</v>
      </c>
      <c r="Q140" s="309">
        <v>0.25</v>
      </c>
      <c r="R140" s="313"/>
      <c r="S140" s="310" t="s">
        <v>304</v>
      </c>
      <c r="T140" s="308"/>
      <c r="U140" s="309">
        <v>7.0</v>
      </c>
      <c r="V140" s="309">
        <v>17.0</v>
      </c>
      <c r="W140" s="309"/>
    </row>
    <row r="141" ht="15.0" customHeight="1">
      <c r="A141" s="304" t="s">
        <v>475</v>
      </c>
      <c r="B141" s="312"/>
      <c r="C141" s="313"/>
      <c r="D141" s="313"/>
      <c r="E141" s="313"/>
      <c r="F141" s="310">
        <v>71.0</v>
      </c>
      <c r="G141" s="312"/>
      <c r="H141" s="313"/>
      <c r="I141" s="313"/>
      <c r="J141" s="313"/>
      <c r="K141" s="311"/>
      <c r="L141" s="312"/>
      <c r="M141" s="313"/>
      <c r="N141" s="313"/>
      <c r="O141" s="311"/>
      <c r="P141" s="313"/>
      <c r="Q141" s="309"/>
      <c r="R141" s="313"/>
      <c r="S141" s="310" t="s">
        <v>304</v>
      </c>
      <c r="T141" s="312"/>
      <c r="U141" s="309">
        <v>5.0</v>
      </c>
      <c r="V141" s="309">
        <v>17.0</v>
      </c>
      <c r="W141" s="309"/>
    </row>
    <row r="142" ht="15.0" customHeight="1">
      <c r="A142" s="304" t="s">
        <v>476</v>
      </c>
      <c r="B142" s="312"/>
      <c r="C142" s="313"/>
      <c r="D142" s="313"/>
      <c r="E142" s="313"/>
      <c r="F142" s="310">
        <v>69.0</v>
      </c>
      <c r="G142" s="312"/>
      <c r="H142" s="313"/>
      <c r="I142" s="313"/>
      <c r="J142" s="313"/>
      <c r="K142" s="311"/>
      <c r="L142" s="312"/>
      <c r="M142" s="313"/>
      <c r="N142" s="313"/>
      <c r="O142" s="311"/>
      <c r="P142" s="313"/>
      <c r="Q142" s="309"/>
      <c r="R142" s="313"/>
      <c r="S142" s="310" t="s">
        <v>304</v>
      </c>
      <c r="T142" s="312"/>
      <c r="U142" s="309">
        <v>6.0</v>
      </c>
      <c r="V142" s="309">
        <v>17.0</v>
      </c>
      <c r="W142" s="309"/>
    </row>
    <row r="143" ht="15.0" customHeight="1">
      <c r="A143" s="304" t="s">
        <v>477</v>
      </c>
      <c r="B143" s="312"/>
      <c r="C143" s="313"/>
      <c r="D143" s="313"/>
      <c r="E143" s="313"/>
      <c r="F143" s="310">
        <v>69.0</v>
      </c>
      <c r="G143" s="312"/>
      <c r="H143" s="313"/>
      <c r="I143" s="313"/>
      <c r="J143" s="313"/>
      <c r="K143" s="311"/>
      <c r="L143" s="312"/>
      <c r="M143" s="313"/>
      <c r="N143" s="313"/>
      <c r="O143" s="311"/>
      <c r="P143" s="313"/>
      <c r="Q143" s="309"/>
      <c r="R143" s="313"/>
      <c r="S143" s="310" t="s">
        <v>304</v>
      </c>
      <c r="T143" s="312"/>
      <c r="U143" s="309">
        <v>4.0</v>
      </c>
      <c r="V143" s="309">
        <v>17.0</v>
      </c>
      <c r="W143" s="309"/>
    </row>
    <row r="144" ht="15.0" customHeight="1">
      <c r="A144" s="304" t="s">
        <v>478</v>
      </c>
      <c r="B144" s="312"/>
      <c r="C144" s="313"/>
      <c r="D144" s="313"/>
      <c r="E144" s="313"/>
      <c r="F144" s="310">
        <v>75.0</v>
      </c>
      <c r="G144" s="312"/>
      <c r="H144" s="313"/>
      <c r="I144" s="313"/>
      <c r="J144" s="313"/>
      <c r="K144" s="311"/>
      <c r="L144" s="312"/>
      <c r="M144" s="313"/>
      <c r="N144" s="313"/>
      <c r="O144" s="311"/>
      <c r="P144" s="309"/>
      <c r="Q144" s="309"/>
      <c r="R144" s="313"/>
      <c r="S144" s="310" t="s">
        <v>304</v>
      </c>
      <c r="T144" s="312"/>
      <c r="U144" s="309">
        <v>4.0</v>
      </c>
      <c r="V144" s="309">
        <v>17.0</v>
      </c>
      <c r="W144" s="309"/>
    </row>
    <row r="145" ht="15.0" customHeight="1">
      <c r="A145" s="304" t="s">
        <v>479</v>
      </c>
      <c r="B145" s="312"/>
      <c r="C145" s="313"/>
      <c r="D145" s="313"/>
      <c r="E145" s="313"/>
      <c r="F145" s="310">
        <v>47.0</v>
      </c>
      <c r="G145" s="312"/>
      <c r="H145" s="313"/>
      <c r="I145" s="313"/>
      <c r="J145" s="313"/>
      <c r="K145" s="311"/>
      <c r="L145" s="312"/>
      <c r="M145" s="313"/>
      <c r="N145" s="313"/>
      <c r="O145" s="311"/>
      <c r="P145" s="309"/>
      <c r="Q145" s="309"/>
      <c r="R145" s="313"/>
      <c r="S145" s="310"/>
      <c r="T145" s="312"/>
      <c r="U145" s="309">
        <v>4.0</v>
      </c>
      <c r="V145" s="309">
        <v>17.0</v>
      </c>
      <c r="W145" s="309"/>
    </row>
    <row r="146" ht="15.0" customHeight="1">
      <c r="A146" s="304" t="s">
        <v>480</v>
      </c>
      <c r="B146" s="312"/>
      <c r="C146" s="313"/>
      <c r="D146" s="313"/>
      <c r="E146" s="313"/>
      <c r="F146" s="310">
        <v>29.0</v>
      </c>
      <c r="G146" s="312"/>
      <c r="H146" s="313"/>
      <c r="I146" s="313"/>
      <c r="J146" s="313"/>
      <c r="K146" s="311"/>
      <c r="L146" s="312"/>
      <c r="M146" s="313"/>
      <c r="N146" s="313"/>
      <c r="O146" s="311"/>
      <c r="P146" s="309"/>
      <c r="Q146" s="309"/>
      <c r="R146" s="313"/>
      <c r="S146" s="310"/>
      <c r="T146" s="312"/>
      <c r="U146" s="309">
        <v>4.0</v>
      </c>
      <c r="V146" s="309">
        <v>17.0</v>
      </c>
      <c r="W146" s="309"/>
    </row>
    <row r="147" ht="15.0" customHeight="1">
      <c r="A147" s="304" t="s">
        <v>481</v>
      </c>
      <c r="B147" s="312"/>
      <c r="C147" s="313"/>
      <c r="D147" s="313"/>
      <c r="E147" s="313"/>
      <c r="F147" s="310">
        <v>20.0</v>
      </c>
      <c r="G147" s="312"/>
      <c r="H147" s="313"/>
      <c r="I147" s="313"/>
      <c r="J147" s="313"/>
      <c r="K147" s="311"/>
      <c r="L147" s="312"/>
      <c r="M147" s="313"/>
      <c r="N147" s="313"/>
      <c r="O147" s="311"/>
      <c r="P147" s="309"/>
      <c r="Q147" s="309"/>
      <c r="R147" s="313"/>
      <c r="S147" s="310"/>
      <c r="T147" s="312"/>
      <c r="U147" s="309">
        <v>4.0</v>
      </c>
      <c r="V147" s="309">
        <v>17.0</v>
      </c>
      <c r="W147" s="309"/>
    </row>
    <row r="148" ht="15.0" customHeight="1">
      <c r="A148" s="304" t="s">
        <v>482</v>
      </c>
      <c r="B148" s="312"/>
      <c r="C148" s="313"/>
      <c r="D148" s="313"/>
      <c r="E148" s="313"/>
      <c r="F148" s="310">
        <v>14.0</v>
      </c>
      <c r="G148" s="312"/>
      <c r="H148" s="313"/>
      <c r="I148" s="313"/>
      <c r="J148" s="313"/>
      <c r="K148" s="311"/>
      <c r="L148" s="312"/>
      <c r="M148" s="313"/>
      <c r="N148" s="313"/>
      <c r="O148" s="311"/>
      <c r="P148" s="309"/>
      <c r="Q148" s="309"/>
      <c r="R148" s="313"/>
      <c r="S148" s="310"/>
      <c r="T148" s="312"/>
      <c r="U148" s="309">
        <v>4.0</v>
      </c>
      <c r="V148" s="309">
        <v>17.0</v>
      </c>
      <c r="W148" s="309"/>
    </row>
    <row r="149" ht="15.0" customHeight="1">
      <c r="A149" s="304" t="s">
        <v>483</v>
      </c>
      <c r="B149" s="312"/>
      <c r="C149" s="313"/>
      <c r="D149" s="313"/>
      <c r="E149" s="313"/>
      <c r="F149" s="310">
        <v>8.0</v>
      </c>
      <c r="G149" s="312"/>
      <c r="H149" s="313"/>
      <c r="I149" s="313"/>
      <c r="J149" s="313"/>
      <c r="K149" s="311"/>
      <c r="L149" s="312"/>
      <c r="M149" s="313"/>
      <c r="N149" s="313"/>
      <c r="O149" s="311"/>
      <c r="P149" s="309"/>
      <c r="Q149" s="309"/>
      <c r="R149" s="313"/>
      <c r="S149" s="310"/>
      <c r="T149" s="312"/>
      <c r="U149" s="309">
        <v>4.0</v>
      </c>
      <c r="V149" s="309">
        <v>17.0</v>
      </c>
      <c r="W149" s="309"/>
    </row>
    <row r="150" ht="15.0" customHeight="1">
      <c r="A150" s="304" t="s">
        <v>484</v>
      </c>
      <c r="B150" s="312"/>
      <c r="C150" s="313"/>
      <c r="D150" s="313"/>
      <c r="E150" s="313"/>
      <c r="F150" s="310">
        <v>70.0</v>
      </c>
      <c r="G150" s="312"/>
      <c r="H150" s="313"/>
      <c r="I150" s="313"/>
      <c r="J150" s="313"/>
      <c r="K150" s="311"/>
      <c r="L150" s="312"/>
      <c r="M150" s="309">
        <v>15.0</v>
      </c>
      <c r="N150" s="313"/>
      <c r="O150" s="311"/>
      <c r="P150" s="313"/>
      <c r="Q150" s="309"/>
      <c r="R150" s="313"/>
      <c r="S150" s="311"/>
      <c r="T150" s="312"/>
      <c r="U150" s="309">
        <v>4.0</v>
      </c>
      <c r="V150" s="309">
        <v>17.0</v>
      </c>
      <c r="W150" s="309"/>
    </row>
    <row r="151" ht="15.0" customHeight="1">
      <c r="A151" s="304" t="s">
        <v>485</v>
      </c>
      <c r="B151" s="312"/>
      <c r="C151" s="313"/>
      <c r="D151" s="313"/>
      <c r="E151" s="313"/>
      <c r="F151" s="310">
        <v>69.0</v>
      </c>
      <c r="G151" s="312"/>
      <c r="H151" s="313"/>
      <c r="I151" s="313"/>
      <c r="J151" s="313"/>
      <c r="K151" s="311"/>
      <c r="L151" s="312"/>
      <c r="M151" s="309"/>
      <c r="N151" s="313"/>
      <c r="O151" s="311"/>
      <c r="P151" s="313"/>
      <c r="Q151" s="313"/>
      <c r="R151" s="313"/>
      <c r="S151" s="310" t="s">
        <v>304</v>
      </c>
      <c r="T151" s="312"/>
      <c r="U151" s="309">
        <v>5.0</v>
      </c>
      <c r="V151" s="309">
        <v>17.0</v>
      </c>
      <c r="W151" s="309"/>
    </row>
    <row r="152" ht="15.0" customHeight="1">
      <c r="A152" s="304" t="s">
        <v>486</v>
      </c>
      <c r="B152" s="312"/>
      <c r="C152" s="313"/>
      <c r="D152" s="313"/>
      <c r="E152" s="313"/>
      <c r="F152" s="310">
        <v>60.0</v>
      </c>
      <c r="G152" s="312"/>
      <c r="H152" s="313"/>
      <c r="I152" s="313"/>
      <c r="J152" s="313"/>
      <c r="K152" s="311"/>
      <c r="L152" s="308"/>
      <c r="M152" s="309">
        <v>40.0</v>
      </c>
      <c r="N152" s="313"/>
      <c r="O152" s="311"/>
      <c r="P152" s="313"/>
      <c r="Q152" s="309">
        <v>0.5</v>
      </c>
      <c r="R152" s="313"/>
      <c r="S152" s="310" t="s">
        <v>304</v>
      </c>
      <c r="T152" s="308"/>
      <c r="U152" s="309">
        <v>3.0</v>
      </c>
      <c r="V152" s="309">
        <v>17.0</v>
      </c>
      <c r="W152" s="309"/>
    </row>
    <row r="153" ht="15.0" customHeight="1">
      <c r="A153" s="304" t="s">
        <v>487</v>
      </c>
      <c r="B153" s="312"/>
      <c r="C153" s="313"/>
      <c r="D153" s="313"/>
      <c r="E153" s="313"/>
      <c r="F153" s="310">
        <v>70.0</v>
      </c>
      <c r="G153" s="312"/>
      <c r="H153" s="313"/>
      <c r="I153" s="313"/>
      <c r="J153" s="313"/>
      <c r="K153" s="311"/>
      <c r="L153" s="308"/>
      <c r="M153" s="309">
        <v>20.0</v>
      </c>
      <c r="N153" s="313"/>
      <c r="O153" s="310">
        <v>4.0</v>
      </c>
      <c r="P153" s="313"/>
      <c r="Q153" s="309"/>
      <c r="R153" s="313"/>
      <c r="S153" s="310"/>
      <c r="T153" s="308"/>
      <c r="U153" s="309">
        <v>6.0</v>
      </c>
      <c r="V153" s="309">
        <v>17.0</v>
      </c>
      <c r="W153" s="309"/>
    </row>
    <row r="154" ht="15.0" customHeight="1">
      <c r="A154" s="304"/>
      <c r="B154" s="312"/>
      <c r="C154" s="313"/>
      <c r="D154" s="313"/>
      <c r="E154" s="313"/>
      <c r="F154" s="310"/>
      <c r="G154" s="312"/>
      <c r="H154" s="313"/>
      <c r="I154" s="313"/>
      <c r="J154" s="313"/>
      <c r="K154" s="311"/>
      <c r="L154" s="312"/>
      <c r="M154" s="309"/>
      <c r="N154" s="313"/>
      <c r="O154" s="311"/>
      <c r="P154" s="313"/>
      <c r="Q154" s="309"/>
      <c r="R154" s="313"/>
      <c r="S154" s="311"/>
      <c r="T154" s="312"/>
      <c r="U154" s="313"/>
      <c r="V154" s="313"/>
      <c r="W154" s="313"/>
    </row>
    <row r="155" ht="15.0" customHeight="1">
      <c r="A155" s="304" t="s">
        <v>488</v>
      </c>
      <c r="B155" s="308">
        <v>12.0</v>
      </c>
      <c r="C155" s="309">
        <v>-1.0</v>
      </c>
      <c r="D155" s="309">
        <v>62.0</v>
      </c>
      <c r="E155" s="309">
        <v>15.0</v>
      </c>
      <c r="F155" s="310"/>
      <c r="G155" s="308">
        <v>3.0</v>
      </c>
      <c r="H155" s="309">
        <v>2.0</v>
      </c>
      <c r="I155" s="309">
        <v>5.0</v>
      </c>
      <c r="J155" s="309">
        <v>15.0</v>
      </c>
      <c r="K155" s="313"/>
      <c r="L155" s="308">
        <v>68.0</v>
      </c>
      <c r="M155" s="313"/>
      <c r="N155" s="309">
        <v>0.05</v>
      </c>
      <c r="O155" s="311"/>
      <c r="P155" s="313"/>
      <c r="Q155" s="309"/>
      <c r="R155" s="313"/>
      <c r="S155" s="311"/>
      <c r="T155" s="312"/>
      <c r="U155" s="309">
        <v>5.0</v>
      </c>
      <c r="V155" s="309">
        <v>15.0</v>
      </c>
      <c r="W155" s="309"/>
    </row>
    <row r="156" ht="15.0" customHeight="1">
      <c r="A156" s="304" t="s">
        <v>489</v>
      </c>
      <c r="B156" s="308">
        <v>10.0</v>
      </c>
      <c r="C156" s="309">
        <v>-1.0</v>
      </c>
      <c r="D156" s="309">
        <v>40.0</v>
      </c>
      <c r="E156" s="309">
        <v>15.0</v>
      </c>
      <c r="F156" s="310"/>
      <c r="G156" s="308">
        <v>2.0</v>
      </c>
      <c r="H156" s="309">
        <v>3.0</v>
      </c>
      <c r="I156" s="309">
        <v>1.0</v>
      </c>
      <c r="J156" s="309">
        <v>15.0</v>
      </c>
      <c r="K156" s="313"/>
      <c r="L156" s="308">
        <v>50.0</v>
      </c>
      <c r="M156" s="313"/>
      <c r="N156" s="313"/>
      <c r="O156" s="310">
        <v>-1.0</v>
      </c>
      <c r="P156" s="313"/>
      <c r="Q156" s="309"/>
      <c r="R156" s="313"/>
      <c r="S156" s="311"/>
      <c r="T156" s="312"/>
      <c r="U156" s="309">
        <v>5.0</v>
      </c>
      <c r="V156" s="309">
        <v>15.0</v>
      </c>
      <c r="W156" s="309"/>
    </row>
    <row r="157" ht="15.0" customHeight="1">
      <c r="A157" s="304" t="s">
        <v>356</v>
      </c>
      <c r="B157" s="312"/>
      <c r="C157" s="309">
        <v>59.0</v>
      </c>
      <c r="D157" s="313"/>
      <c r="E157" s="309"/>
      <c r="F157" s="310">
        <v>69.0</v>
      </c>
      <c r="G157" s="308"/>
      <c r="H157" s="309"/>
      <c r="I157" s="309"/>
      <c r="J157" s="309"/>
      <c r="K157" s="313"/>
      <c r="L157" s="308">
        <v>71.0</v>
      </c>
      <c r="M157" s="309">
        <v>49.0</v>
      </c>
      <c r="N157" s="313"/>
      <c r="O157" s="311"/>
      <c r="P157" s="313"/>
      <c r="Q157" s="309"/>
      <c r="R157" s="313"/>
      <c r="S157" s="311"/>
      <c r="T157" s="312"/>
      <c r="U157" s="309">
        <v>5.0</v>
      </c>
      <c r="V157" s="309">
        <v>18.0</v>
      </c>
      <c r="W157" s="309"/>
    </row>
    <row r="158" ht="15.0" customHeight="1">
      <c r="A158" s="304" t="s">
        <v>490</v>
      </c>
      <c r="B158" s="312"/>
      <c r="C158" s="309"/>
      <c r="D158" s="313"/>
      <c r="E158" s="309">
        <v>84.0</v>
      </c>
      <c r="F158" s="310"/>
      <c r="G158" s="308"/>
      <c r="H158" s="309"/>
      <c r="I158" s="309"/>
      <c r="J158" s="309"/>
      <c r="K158" s="313"/>
      <c r="L158" s="308"/>
      <c r="M158" s="309"/>
      <c r="N158" s="313"/>
      <c r="O158" s="310">
        <v>1.0</v>
      </c>
      <c r="P158" s="313"/>
      <c r="Q158" s="309"/>
      <c r="R158" s="313"/>
      <c r="S158" s="311"/>
      <c r="T158" s="312"/>
      <c r="U158" s="318">
        <v>4.0</v>
      </c>
      <c r="V158" s="315">
        <v>20.0</v>
      </c>
      <c r="W158" s="309"/>
    </row>
    <row r="159" ht="15.0" customHeight="1">
      <c r="A159" s="304" t="s">
        <v>491</v>
      </c>
      <c r="B159" s="312"/>
      <c r="C159" s="309"/>
      <c r="D159" s="313"/>
      <c r="E159" s="309">
        <v>128.0</v>
      </c>
      <c r="F159" s="310"/>
      <c r="G159" s="308"/>
      <c r="H159" s="309"/>
      <c r="I159" s="309"/>
      <c r="J159" s="309"/>
      <c r="K159" s="313"/>
      <c r="L159" s="308"/>
      <c r="M159" s="309"/>
      <c r="N159" s="313"/>
      <c r="O159" s="310">
        <v>2.0</v>
      </c>
      <c r="P159" s="313"/>
      <c r="Q159" s="309"/>
      <c r="R159" s="313"/>
      <c r="S159" s="311"/>
      <c r="T159" s="312"/>
      <c r="U159" s="318">
        <v>4.0</v>
      </c>
      <c r="V159" s="315">
        <v>20.0</v>
      </c>
      <c r="W159" s="309"/>
    </row>
    <row r="160" ht="15.0" customHeight="1">
      <c r="A160" s="304" t="s">
        <v>492</v>
      </c>
      <c r="B160" s="312"/>
      <c r="C160" s="309"/>
      <c r="D160" s="313"/>
      <c r="E160" s="309">
        <v>184.0</v>
      </c>
      <c r="F160" s="310"/>
      <c r="G160" s="308"/>
      <c r="H160" s="309"/>
      <c r="I160" s="309"/>
      <c r="J160" s="309"/>
      <c r="K160" s="313"/>
      <c r="L160" s="308"/>
      <c r="M160" s="309"/>
      <c r="N160" s="313"/>
      <c r="O160" s="310">
        <v>3.0</v>
      </c>
      <c r="P160" s="313"/>
      <c r="Q160" s="309"/>
      <c r="R160" s="313"/>
      <c r="S160" s="311"/>
      <c r="T160" s="312"/>
      <c r="U160" s="318">
        <v>4.0</v>
      </c>
      <c r="V160" s="315">
        <v>20.0</v>
      </c>
      <c r="W160" s="309"/>
    </row>
    <row r="161" ht="15.0" customHeight="1">
      <c r="A161" s="304" t="s">
        <v>178</v>
      </c>
      <c r="B161" s="308"/>
      <c r="C161" s="309"/>
      <c r="D161" s="309"/>
      <c r="E161" s="309">
        <v>25.0</v>
      </c>
      <c r="F161" s="310"/>
      <c r="G161" s="308">
        <v>2.0</v>
      </c>
      <c r="H161" s="309">
        <v>3.0</v>
      </c>
      <c r="I161" s="309">
        <v>1.0</v>
      </c>
      <c r="J161" s="309">
        <v>15.0</v>
      </c>
      <c r="K161" s="309">
        <v>0.0</v>
      </c>
      <c r="L161" s="308"/>
      <c r="M161" s="313"/>
      <c r="N161" s="313"/>
      <c r="O161" s="311"/>
      <c r="P161" s="313"/>
      <c r="Q161" s="313"/>
      <c r="R161" s="313"/>
      <c r="S161" s="311"/>
      <c r="T161" s="312"/>
      <c r="U161" s="309">
        <v>4.0</v>
      </c>
      <c r="V161" s="309">
        <v>20.0</v>
      </c>
      <c r="W161" s="309"/>
    </row>
    <row r="162" ht="15.0" customHeight="1">
      <c r="A162" s="304" t="s">
        <v>493</v>
      </c>
      <c r="B162" s="308">
        <v>-1.0</v>
      </c>
      <c r="C162" s="309">
        <v>-1.0</v>
      </c>
      <c r="D162" s="309">
        <v>6.0</v>
      </c>
      <c r="E162" s="309">
        <v>6.0</v>
      </c>
      <c r="F162" s="310"/>
      <c r="G162" s="308">
        <v>2.0</v>
      </c>
      <c r="H162" s="309">
        <v>3.0</v>
      </c>
      <c r="I162" s="309">
        <v>1.0</v>
      </c>
      <c r="J162" s="309">
        <v>6.0</v>
      </c>
      <c r="K162" s="313"/>
      <c r="L162" s="308">
        <v>2.0</v>
      </c>
      <c r="M162" s="313"/>
      <c r="N162" s="313"/>
      <c r="O162" s="311"/>
      <c r="P162" s="313"/>
      <c r="Q162" s="313"/>
      <c r="R162" s="313"/>
      <c r="S162" s="311"/>
      <c r="T162" s="312"/>
      <c r="U162" s="309">
        <v>5.0</v>
      </c>
      <c r="V162" s="309">
        <v>15.0</v>
      </c>
      <c r="W162" s="309"/>
    </row>
    <row r="163" ht="15.0" customHeight="1">
      <c r="A163" s="304" t="s">
        <v>494</v>
      </c>
      <c r="B163" s="308">
        <v>10.0</v>
      </c>
      <c r="C163" s="309">
        <v>-1.0</v>
      </c>
      <c r="D163" s="309">
        <v>40.0</v>
      </c>
      <c r="E163" s="309">
        <v>10.0</v>
      </c>
      <c r="F163" s="310"/>
      <c r="G163" s="308">
        <v>2.0</v>
      </c>
      <c r="H163" s="309">
        <v>3.0</v>
      </c>
      <c r="I163" s="309">
        <v>1.0</v>
      </c>
      <c r="J163" s="309">
        <v>10.0</v>
      </c>
      <c r="K163" s="313"/>
      <c r="L163" s="308">
        <v>50.0</v>
      </c>
      <c r="M163" s="313"/>
      <c r="N163" s="313"/>
      <c r="O163" s="311"/>
      <c r="P163" s="313"/>
      <c r="Q163" s="313"/>
      <c r="R163" s="313"/>
      <c r="S163" s="311"/>
      <c r="T163" s="312"/>
      <c r="U163" s="309">
        <v>5.0</v>
      </c>
      <c r="V163" s="309">
        <v>15.0</v>
      </c>
      <c r="W163" s="309"/>
    </row>
    <row r="164" ht="15.0" customHeight="1">
      <c r="A164" s="304" t="s">
        <v>495</v>
      </c>
      <c r="B164" s="312"/>
      <c r="C164" s="313"/>
      <c r="D164" s="313"/>
      <c r="E164" s="309">
        <v>28.0</v>
      </c>
      <c r="F164" s="310"/>
      <c r="G164" s="308"/>
      <c r="H164" s="309">
        <v>3.0</v>
      </c>
      <c r="I164" s="309">
        <v>3.0</v>
      </c>
      <c r="J164" s="309">
        <v>20.0</v>
      </c>
      <c r="K164" s="313"/>
      <c r="L164" s="312"/>
      <c r="M164" s="313"/>
      <c r="N164" s="309">
        <v>0.15</v>
      </c>
      <c r="O164" s="311"/>
      <c r="P164" s="313"/>
      <c r="Q164" s="313"/>
      <c r="R164" s="313"/>
      <c r="S164" s="311"/>
      <c r="T164" s="312"/>
      <c r="U164" s="309">
        <v>5.0</v>
      </c>
      <c r="V164" s="309">
        <v>15.0</v>
      </c>
      <c r="W164" s="309"/>
    </row>
    <row r="165" ht="15.0" customHeight="1">
      <c r="A165" s="304" t="s">
        <v>496</v>
      </c>
      <c r="B165" s="312"/>
      <c r="C165" s="313"/>
      <c r="D165" s="313"/>
      <c r="E165" s="309">
        <v>20.0</v>
      </c>
      <c r="F165" s="310"/>
      <c r="G165" s="308"/>
      <c r="H165" s="309"/>
      <c r="I165" s="309"/>
      <c r="J165" s="309">
        <v>20.0</v>
      </c>
      <c r="K165" s="313"/>
      <c r="L165" s="312"/>
      <c r="M165" s="313"/>
      <c r="N165" s="309"/>
      <c r="O165" s="311"/>
      <c r="P165" s="313"/>
      <c r="Q165" s="313"/>
      <c r="R165" s="313"/>
      <c r="S165" s="311"/>
      <c r="T165" s="312"/>
      <c r="U165" s="309">
        <v>5.0</v>
      </c>
      <c r="V165" s="309">
        <v>15.0</v>
      </c>
      <c r="W165" s="309"/>
    </row>
    <row r="166" ht="15.0" customHeight="1">
      <c r="A166" s="327" t="s">
        <v>497</v>
      </c>
      <c r="B166" s="315"/>
      <c r="C166" s="315"/>
      <c r="D166" s="315"/>
      <c r="E166" s="318">
        <v>16.0</v>
      </c>
      <c r="F166" s="323"/>
      <c r="G166" s="315"/>
      <c r="H166" s="315"/>
      <c r="I166" s="315"/>
      <c r="J166" s="318">
        <v>14.0</v>
      </c>
      <c r="K166" s="315"/>
      <c r="L166" s="329"/>
      <c r="M166" s="325"/>
      <c r="N166" s="309">
        <v>0.15</v>
      </c>
      <c r="O166" s="326"/>
      <c r="P166" s="309">
        <v>0.0</v>
      </c>
      <c r="Q166" s="325"/>
      <c r="R166" s="325"/>
      <c r="S166" s="311" t="s">
        <v>305</v>
      </c>
      <c r="T166" s="325"/>
      <c r="U166" s="318">
        <v>5.0</v>
      </c>
      <c r="V166" s="318">
        <v>15.0</v>
      </c>
      <c r="W166" s="318"/>
    </row>
    <row r="167" ht="15.0" customHeight="1">
      <c r="A167" s="327" t="s">
        <v>65</v>
      </c>
      <c r="B167" s="315"/>
      <c r="C167" s="315"/>
      <c r="D167" s="315"/>
      <c r="E167" s="318">
        <v>16.0</v>
      </c>
      <c r="F167" s="323"/>
      <c r="G167" s="315"/>
      <c r="H167" s="315"/>
      <c r="I167" s="315"/>
      <c r="J167" s="318">
        <v>14.0</v>
      </c>
      <c r="K167" s="315"/>
      <c r="L167" s="329"/>
      <c r="M167" s="325"/>
      <c r="N167" s="309">
        <v>0.15</v>
      </c>
      <c r="O167" s="326"/>
      <c r="P167" s="313"/>
      <c r="Q167" s="325"/>
      <c r="R167" s="325"/>
      <c r="S167" s="311"/>
      <c r="T167" s="325"/>
      <c r="U167" s="318">
        <v>5.0</v>
      </c>
      <c r="V167" s="318">
        <v>15.0</v>
      </c>
      <c r="W167" s="318"/>
    </row>
    <row r="168" ht="15.0" customHeight="1">
      <c r="A168" s="327" t="s">
        <v>498</v>
      </c>
      <c r="B168" s="315"/>
      <c r="C168" s="315"/>
      <c r="D168" s="315"/>
      <c r="E168" s="318">
        <v>16.0</v>
      </c>
      <c r="F168" s="323"/>
      <c r="G168" s="315"/>
      <c r="H168" s="315"/>
      <c r="I168" s="315"/>
      <c r="J168" s="318">
        <v>14.0</v>
      </c>
      <c r="K168" s="315"/>
      <c r="L168" s="329"/>
      <c r="M168" s="325"/>
      <c r="N168" s="309">
        <v>0.15</v>
      </c>
      <c r="O168" s="326"/>
      <c r="P168" s="313">
        <v>0.5</v>
      </c>
      <c r="Q168" s="325"/>
      <c r="R168" s="325"/>
      <c r="S168" s="311" t="s">
        <v>305</v>
      </c>
      <c r="T168" s="325"/>
      <c r="U168" s="318">
        <v>5.0</v>
      </c>
      <c r="V168" s="318">
        <v>15.0</v>
      </c>
      <c r="W168" s="318"/>
    </row>
    <row r="169" ht="15.0" customHeight="1">
      <c r="A169" s="327" t="s">
        <v>499</v>
      </c>
      <c r="B169" s="315"/>
      <c r="C169" s="315"/>
      <c r="D169" s="315"/>
      <c r="E169" s="318">
        <v>16.0</v>
      </c>
      <c r="F169" s="323"/>
      <c r="G169" s="315"/>
      <c r="H169" s="315"/>
      <c r="I169" s="315"/>
      <c r="J169" s="318">
        <v>14.0</v>
      </c>
      <c r="K169" s="315"/>
      <c r="L169" s="329"/>
      <c r="M169" s="325"/>
      <c r="N169" s="309">
        <v>0.15</v>
      </c>
      <c r="O169" s="326"/>
      <c r="P169" s="313"/>
      <c r="Q169" s="325"/>
      <c r="R169" s="325"/>
      <c r="S169" s="311"/>
      <c r="T169" s="325"/>
      <c r="U169" s="318">
        <v>5.0</v>
      </c>
      <c r="V169" s="318">
        <v>15.0</v>
      </c>
      <c r="W169" s="318"/>
    </row>
    <row r="170" ht="15.0" customHeight="1">
      <c r="A170" s="327" t="s">
        <v>500</v>
      </c>
      <c r="B170" s="315"/>
      <c r="C170" s="315"/>
      <c r="D170" s="315"/>
      <c r="E170" s="318">
        <v>20.0</v>
      </c>
      <c r="F170" s="323"/>
      <c r="G170" s="315"/>
      <c r="H170" s="315"/>
      <c r="I170" s="315"/>
      <c r="J170" s="318">
        <v>20.0</v>
      </c>
      <c r="K170" s="315"/>
      <c r="L170" s="329"/>
      <c r="M170" s="325"/>
      <c r="N170" s="325"/>
      <c r="O170" s="326"/>
      <c r="P170" s="325"/>
      <c r="Q170" s="325"/>
      <c r="R170" s="325"/>
      <c r="S170" s="326"/>
      <c r="T170" s="325"/>
      <c r="U170" s="318">
        <v>4.0</v>
      </c>
      <c r="V170" s="318">
        <v>15.0</v>
      </c>
      <c r="W170" s="318"/>
    </row>
    <row r="171" ht="15.0" customHeight="1">
      <c r="A171" s="322" t="s">
        <v>501</v>
      </c>
      <c r="B171" s="315"/>
      <c r="C171" s="315"/>
      <c r="D171" s="315"/>
      <c r="E171" s="315">
        <v>25.0</v>
      </c>
      <c r="F171" s="323">
        <v>-4.0</v>
      </c>
      <c r="G171" s="315">
        <v>2.0</v>
      </c>
      <c r="H171" s="315">
        <v>3.0</v>
      </c>
      <c r="I171" s="315">
        <v>1.0</v>
      </c>
      <c r="J171" s="315">
        <v>15.0</v>
      </c>
      <c r="K171" s="323">
        <v>0.0</v>
      </c>
      <c r="L171" s="329"/>
      <c r="M171" s="325"/>
      <c r="N171" s="325"/>
      <c r="O171" s="326"/>
      <c r="P171" s="325"/>
      <c r="Q171" s="325"/>
      <c r="R171" s="325"/>
      <c r="S171" s="326"/>
      <c r="T171" s="325"/>
      <c r="U171" s="318">
        <v>4.0</v>
      </c>
      <c r="V171" s="315">
        <v>20.0</v>
      </c>
      <c r="W171" s="315"/>
    </row>
    <row r="172" ht="15.0" customHeight="1">
      <c r="A172" s="304" t="s">
        <v>502</v>
      </c>
      <c r="B172" s="312"/>
      <c r="C172" s="313"/>
      <c r="D172" s="313"/>
      <c r="E172" s="309">
        <v>15.0</v>
      </c>
      <c r="F172" s="310"/>
      <c r="G172" s="308">
        <v>2.0</v>
      </c>
      <c r="H172" s="309">
        <v>3.0</v>
      </c>
      <c r="I172" s="309">
        <v>1.0</v>
      </c>
      <c r="J172" s="309">
        <v>15.0</v>
      </c>
      <c r="K172" s="313"/>
      <c r="L172" s="312"/>
      <c r="M172" s="313"/>
      <c r="N172" s="313"/>
      <c r="O172" s="311"/>
      <c r="P172" s="313"/>
      <c r="Q172" s="313"/>
      <c r="R172" s="313"/>
      <c r="S172" s="311"/>
      <c r="T172" s="312"/>
      <c r="U172" s="309">
        <v>4.0</v>
      </c>
      <c r="V172" s="309">
        <v>20.0</v>
      </c>
      <c r="W172" s="309"/>
    </row>
    <row r="173" ht="15.0" customHeight="1">
      <c r="A173" s="304" t="s">
        <v>503</v>
      </c>
      <c r="B173" s="312"/>
      <c r="C173" s="313"/>
      <c r="D173" s="313"/>
      <c r="E173" s="309">
        <v>25.0</v>
      </c>
      <c r="F173" s="310"/>
      <c r="G173" s="308">
        <v>2.0</v>
      </c>
      <c r="H173" s="309">
        <v>3.0</v>
      </c>
      <c r="I173" s="309">
        <v>1.0</v>
      </c>
      <c r="J173" s="309">
        <v>15.0</v>
      </c>
      <c r="K173" s="313"/>
      <c r="L173" s="312"/>
      <c r="M173" s="313"/>
      <c r="N173" s="313"/>
      <c r="O173" s="311"/>
      <c r="P173" s="313"/>
      <c r="Q173" s="313"/>
      <c r="R173" s="313"/>
      <c r="S173" s="311"/>
      <c r="T173" s="312"/>
      <c r="U173" s="309">
        <v>4.0</v>
      </c>
      <c r="V173" s="309">
        <v>20.0</v>
      </c>
      <c r="W173" s="309"/>
    </row>
    <row r="174" ht="15.0" customHeight="1">
      <c r="A174" s="304" t="s">
        <v>504</v>
      </c>
      <c r="B174" s="308">
        <v>55.0</v>
      </c>
      <c r="C174" s="309">
        <v>70.0</v>
      </c>
      <c r="D174" s="309"/>
      <c r="E174" s="309">
        <v>25.0</v>
      </c>
      <c r="F174" s="311"/>
      <c r="G174" s="312"/>
      <c r="H174" s="309">
        <v>3.0</v>
      </c>
      <c r="I174" s="309">
        <v>3.0</v>
      </c>
      <c r="J174" s="309">
        <v>17.0</v>
      </c>
      <c r="K174" s="311"/>
      <c r="L174" s="308">
        <v>72.0</v>
      </c>
      <c r="M174" s="313"/>
      <c r="N174" s="309">
        <v>0.15</v>
      </c>
      <c r="O174" s="311"/>
      <c r="P174" s="313"/>
      <c r="Q174" s="313"/>
      <c r="R174" s="313"/>
      <c r="S174" s="311"/>
      <c r="T174" s="312"/>
      <c r="U174" s="309">
        <v>5.0</v>
      </c>
      <c r="V174" s="309">
        <v>19.0</v>
      </c>
      <c r="W174" s="309"/>
    </row>
    <row r="175" ht="15.0" customHeight="1">
      <c r="A175" s="304" t="s">
        <v>505</v>
      </c>
      <c r="B175" s="308"/>
      <c r="C175" s="309"/>
      <c r="D175" s="309"/>
      <c r="E175" s="309">
        <v>20.0</v>
      </c>
      <c r="F175" s="311"/>
      <c r="G175" s="312"/>
      <c r="H175" s="309"/>
      <c r="I175" s="309"/>
      <c r="J175" s="309">
        <v>20.0</v>
      </c>
      <c r="K175" s="313"/>
      <c r="L175" s="308"/>
      <c r="M175" s="313"/>
      <c r="N175" s="309"/>
      <c r="O175" s="311"/>
      <c r="P175" s="313"/>
      <c r="Q175" s="313"/>
      <c r="R175" s="313"/>
      <c r="S175" s="311"/>
      <c r="T175" s="312"/>
      <c r="U175" s="309">
        <v>5.0</v>
      </c>
      <c r="V175" s="309">
        <v>15.0</v>
      </c>
      <c r="W175" s="309"/>
    </row>
    <row r="176" ht="15.0" customHeight="1">
      <c r="A176" s="304" t="s">
        <v>506</v>
      </c>
      <c r="B176" s="308">
        <v>22.0</v>
      </c>
      <c r="C176" s="309"/>
      <c r="D176" s="309">
        <v>41.0</v>
      </c>
      <c r="E176" s="309">
        <v>8.0</v>
      </c>
      <c r="F176" s="310"/>
      <c r="G176" s="308">
        <v>2.0</v>
      </c>
      <c r="H176" s="309">
        <v>2.0</v>
      </c>
      <c r="I176" s="309">
        <v>2.0</v>
      </c>
      <c r="J176" s="309">
        <v>2.0</v>
      </c>
      <c r="K176" s="309">
        <v>2.0</v>
      </c>
      <c r="L176" s="308">
        <v>38.0</v>
      </c>
      <c r="M176" s="313"/>
      <c r="N176" s="313"/>
      <c r="O176" s="310">
        <v>6.0</v>
      </c>
      <c r="P176" s="313"/>
      <c r="Q176" s="313"/>
      <c r="R176" s="313"/>
      <c r="S176" s="311"/>
      <c r="T176" s="312"/>
      <c r="U176" s="309">
        <v>5.0</v>
      </c>
      <c r="V176" s="309">
        <v>15.0</v>
      </c>
      <c r="W176" s="309"/>
    </row>
    <row r="177" ht="15.0" customHeight="1">
      <c r="A177" s="304" t="s">
        <v>507</v>
      </c>
      <c r="B177" s="308">
        <f>10</f>
        <v>10</v>
      </c>
      <c r="C177" s="309">
        <v>-1.0</v>
      </c>
      <c r="D177" s="309">
        <f>40</f>
        <v>40</v>
      </c>
      <c r="E177" s="309">
        <f>10</f>
        <v>10</v>
      </c>
      <c r="F177" s="311"/>
      <c r="G177" s="308">
        <v>2.0</v>
      </c>
      <c r="H177" s="309">
        <v>3.0</v>
      </c>
      <c r="I177" s="309">
        <v>1.0</v>
      </c>
      <c r="J177" s="309">
        <v>10.0</v>
      </c>
      <c r="K177" s="313"/>
      <c r="L177" s="308">
        <v>50.0</v>
      </c>
      <c r="M177" s="313"/>
      <c r="N177" s="313"/>
      <c r="O177" s="311"/>
      <c r="P177" s="309"/>
      <c r="Q177" s="313"/>
      <c r="R177" s="313"/>
      <c r="S177" s="311"/>
      <c r="T177" s="312"/>
      <c r="U177" s="309">
        <v>5.0</v>
      </c>
      <c r="V177" s="309">
        <v>15.0</v>
      </c>
      <c r="W177" s="309"/>
    </row>
    <row r="178" ht="15.0" customHeight="1">
      <c r="A178" s="304" t="s">
        <v>508</v>
      </c>
      <c r="B178" s="308">
        <v>7.0</v>
      </c>
      <c r="C178" s="309">
        <v>-1.0</v>
      </c>
      <c r="D178" s="309">
        <v>28.0</v>
      </c>
      <c r="E178" s="309">
        <v>10.0</v>
      </c>
      <c r="F178" s="311"/>
      <c r="G178" s="308">
        <v>2.0</v>
      </c>
      <c r="H178" s="309">
        <v>3.0</v>
      </c>
      <c r="I178" s="309">
        <v>1.0</v>
      </c>
      <c r="J178" s="309">
        <v>10.0</v>
      </c>
      <c r="K178" s="313"/>
      <c r="L178" s="308">
        <v>35.0</v>
      </c>
      <c r="M178" s="313"/>
      <c r="N178" s="313"/>
      <c r="O178" s="311"/>
      <c r="P178" s="309"/>
      <c r="Q178" s="313"/>
      <c r="R178" s="313"/>
      <c r="S178" s="311"/>
      <c r="T178" s="312"/>
      <c r="U178" s="309">
        <v>5.0</v>
      </c>
      <c r="V178" s="309">
        <v>15.0</v>
      </c>
      <c r="W178" s="309"/>
    </row>
    <row r="179" ht="15.0" customHeight="1">
      <c r="A179" s="322" t="s">
        <v>509</v>
      </c>
      <c r="B179" s="315">
        <f t="shared" ref="B179:B183" si="1">10</f>
        <v>10</v>
      </c>
      <c r="C179" s="315">
        <v>-1.0</v>
      </c>
      <c r="D179" s="315">
        <f t="shared" ref="D179:D183" si="2">40</f>
        <v>40</v>
      </c>
      <c r="E179" s="315">
        <f t="shared" ref="E179:E183" si="3">10</f>
        <v>10</v>
      </c>
      <c r="F179" s="317"/>
      <c r="G179" s="315">
        <v>2.0</v>
      </c>
      <c r="H179" s="315">
        <v>3.0</v>
      </c>
      <c r="I179" s="315">
        <v>1.0</v>
      </c>
      <c r="J179" s="315">
        <v>10.0</v>
      </c>
      <c r="K179" s="317"/>
      <c r="L179" s="314">
        <v>50.0</v>
      </c>
      <c r="M179" s="316"/>
      <c r="N179" s="316"/>
      <c r="O179" s="317"/>
      <c r="P179" s="316"/>
      <c r="Q179" s="316"/>
      <c r="R179" s="316"/>
      <c r="S179" s="317"/>
      <c r="T179" s="316"/>
      <c r="U179" s="319">
        <v>5.0</v>
      </c>
      <c r="V179" s="316">
        <v>15.0</v>
      </c>
      <c r="W179" s="316"/>
    </row>
    <row r="180" ht="15.0" customHeight="1">
      <c r="A180" s="322" t="s">
        <v>510</v>
      </c>
      <c r="B180" s="315">
        <f t="shared" si="1"/>
        <v>10</v>
      </c>
      <c r="C180" s="315">
        <v>-1.0</v>
      </c>
      <c r="D180" s="315">
        <f t="shared" si="2"/>
        <v>40</v>
      </c>
      <c r="E180" s="315">
        <f t="shared" si="3"/>
        <v>10</v>
      </c>
      <c r="F180" s="317"/>
      <c r="G180" s="315">
        <v>2.0</v>
      </c>
      <c r="H180" s="315">
        <v>3.0</v>
      </c>
      <c r="I180" s="315">
        <v>1.0</v>
      </c>
      <c r="J180" s="315">
        <v>10.0</v>
      </c>
      <c r="K180" s="317"/>
      <c r="L180" s="314">
        <v>50.0</v>
      </c>
      <c r="M180" s="316"/>
      <c r="N180" s="316"/>
      <c r="O180" s="317"/>
      <c r="P180" s="316"/>
      <c r="Q180" s="316"/>
      <c r="R180" s="316"/>
      <c r="S180" s="317"/>
      <c r="T180" s="316"/>
      <c r="U180" s="319">
        <v>5.0</v>
      </c>
      <c r="V180" s="316">
        <v>15.0</v>
      </c>
      <c r="W180" s="316"/>
    </row>
    <row r="181" ht="15.0" customHeight="1">
      <c r="A181" s="322" t="s">
        <v>511</v>
      </c>
      <c r="B181" s="315">
        <f t="shared" si="1"/>
        <v>10</v>
      </c>
      <c r="C181" s="315">
        <v>-1.0</v>
      </c>
      <c r="D181" s="315">
        <f t="shared" si="2"/>
        <v>40</v>
      </c>
      <c r="E181" s="315">
        <f t="shared" si="3"/>
        <v>10</v>
      </c>
      <c r="F181" s="317"/>
      <c r="G181" s="315">
        <v>2.0</v>
      </c>
      <c r="H181" s="315">
        <v>3.0</v>
      </c>
      <c r="I181" s="315">
        <v>1.0</v>
      </c>
      <c r="J181" s="315">
        <v>10.0</v>
      </c>
      <c r="K181" s="317"/>
      <c r="L181" s="314">
        <v>50.0</v>
      </c>
      <c r="M181" s="316"/>
      <c r="N181" s="316"/>
      <c r="O181" s="317"/>
      <c r="P181" s="316"/>
      <c r="Q181" s="316"/>
      <c r="R181" s="316"/>
      <c r="S181" s="317"/>
      <c r="T181" s="316"/>
      <c r="U181" s="319">
        <v>5.0</v>
      </c>
      <c r="V181" s="316">
        <v>15.0</v>
      </c>
      <c r="W181" s="316"/>
    </row>
    <row r="182" ht="15.0" customHeight="1">
      <c r="A182" s="322" t="s">
        <v>512</v>
      </c>
      <c r="B182" s="315">
        <f t="shared" si="1"/>
        <v>10</v>
      </c>
      <c r="C182" s="315">
        <v>-1.0</v>
      </c>
      <c r="D182" s="315">
        <f t="shared" si="2"/>
        <v>40</v>
      </c>
      <c r="E182" s="315">
        <f t="shared" si="3"/>
        <v>10</v>
      </c>
      <c r="F182" s="317"/>
      <c r="G182" s="315">
        <v>2.0</v>
      </c>
      <c r="H182" s="315">
        <v>3.0</v>
      </c>
      <c r="I182" s="315">
        <v>1.0</v>
      </c>
      <c r="J182" s="315">
        <v>10.0</v>
      </c>
      <c r="K182" s="317"/>
      <c r="L182" s="314">
        <v>50.0</v>
      </c>
      <c r="M182" s="316"/>
      <c r="N182" s="316"/>
      <c r="O182" s="317"/>
      <c r="P182" s="316"/>
      <c r="Q182" s="316"/>
      <c r="R182" s="316"/>
      <c r="S182" s="317"/>
      <c r="T182" s="316"/>
      <c r="U182" s="319">
        <v>5.0</v>
      </c>
      <c r="V182" s="316">
        <v>15.0</v>
      </c>
      <c r="W182" s="316"/>
    </row>
    <row r="183" ht="15.0" customHeight="1">
      <c r="A183" s="322" t="s">
        <v>513</v>
      </c>
      <c r="B183" s="315">
        <f t="shared" si="1"/>
        <v>10</v>
      </c>
      <c r="C183" s="315">
        <v>-1.0</v>
      </c>
      <c r="D183" s="315">
        <f t="shared" si="2"/>
        <v>40</v>
      </c>
      <c r="E183" s="315">
        <f t="shared" si="3"/>
        <v>10</v>
      </c>
      <c r="F183" s="317"/>
      <c r="G183" s="315">
        <v>2.0</v>
      </c>
      <c r="H183" s="315">
        <v>3.0</v>
      </c>
      <c r="I183" s="315">
        <v>1.0</v>
      </c>
      <c r="J183" s="315">
        <v>10.0</v>
      </c>
      <c r="K183" s="317"/>
      <c r="L183" s="314">
        <v>50.0</v>
      </c>
      <c r="M183" s="316"/>
      <c r="N183" s="316"/>
      <c r="O183" s="317"/>
      <c r="P183" s="316"/>
      <c r="Q183" s="316"/>
      <c r="R183" s="316"/>
      <c r="S183" s="317"/>
      <c r="T183" s="316"/>
      <c r="U183" s="319">
        <v>5.0</v>
      </c>
      <c r="V183" s="316">
        <v>15.0</v>
      </c>
      <c r="W183" s="316"/>
    </row>
    <row r="184" ht="15.0" customHeight="1">
      <c r="A184" s="322" t="s">
        <v>514</v>
      </c>
      <c r="B184" s="316">
        <v>7.0</v>
      </c>
      <c r="C184" s="316">
        <v>-1.0</v>
      </c>
      <c r="D184" s="316">
        <v>28.0</v>
      </c>
      <c r="E184" s="316">
        <v>10.0</v>
      </c>
      <c r="F184" s="317"/>
      <c r="G184" s="316">
        <v>2.0</v>
      </c>
      <c r="H184" s="316">
        <v>3.0</v>
      </c>
      <c r="I184" s="316">
        <v>1.0</v>
      </c>
      <c r="J184" s="316">
        <v>10.0</v>
      </c>
      <c r="K184" s="317"/>
      <c r="L184" s="330">
        <v>35.0</v>
      </c>
      <c r="M184" s="316"/>
      <c r="N184" s="316"/>
      <c r="O184" s="317"/>
      <c r="P184" s="316"/>
      <c r="Q184" s="316"/>
      <c r="R184" s="316"/>
      <c r="S184" s="317"/>
      <c r="T184" s="316"/>
      <c r="U184" s="319">
        <v>5.0</v>
      </c>
      <c r="V184" s="316">
        <v>15.0</v>
      </c>
      <c r="W184" s="316"/>
    </row>
    <row r="185" ht="15.0" customHeight="1">
      <c r="A185" s="322" t="s">
        <v>515</v>
      </c>
      <c r="B185" s="316">
        <v>7.0</v>
      </c>
      <c r="C185" s="316">
        <v>-1.0</v>
      </c>
      <c r="D185" s="316">
        <v>28.0</v>
      </c>
      <c r="E185" s="316">
        <v>10.0</v>
      </c>
      <c r="F185" s="317"/>
      <c r="G185" s="316">
        <v>2.0</v>
      </c>
      <c r="H185" s="316">
        <v>3.0</v>
      </c>
      <c r="I185" s="316">
        <v>1.0</v>
      </c>
      <c r="J185" s="316">
        <v>10.0</v>
      </c>
      <c r="K185" s="317"/>
      <c r="L185" s="330">
        <v>35.0</v>
      </c>
      <c r="M185" s="316"/>
      <c r="N185" s="316"/>
      <c r="O185" s="317"/>
      <c r="P185" s="316"/>
      <c r="Q185" s="316"/>
      <c r="R185" s="316"/>
      <c r="S185" s="317"/>
      <c r="T185" s="316"/>
      <c r="U185" s="319">
        <v>5.0</v>
      </c>
      <c r="V185" s="316">
        <v>15.0</v>
      </c>
      <c r="W185" s="316"/>
    </row>
    <row r="186" ht="15.0" customHeight="1">
      <c r="A186" s="322" t="s">
        <v>516</v>
      </c>
      <c r="B186" s="316">
        <v>7.0</v>
      </c>
      <c r="C186" s="316">
        <v>-1.0</v>
      </c>
      <c r="D186" s="316">
        <v>28.0</v>
      </c>
      <c r="E186" s="316">
        <v>10.0</v>
      </c>
      <c r="F186" s="317"/>
      <c r="G186" s="316">
        <v>2.0</v>
      </c>
      <c r="H186" s="316">
        <v>3.0</v>
      </c>
      <c r="I186" s="316">
        <v>1.0</v>
      </c>
      <c r="J186" s="316">
        <v>10.0</v>
      </c>
      <c r="K186" s="317"/>
      <c r="L186" s="330">
        <v>35.0</v>
      </c>
      <c r="M186" s="316"/>
      <c r="N186" s="316"/>
      <c r="O186" s="317"/>
      <c r="P186" s="316"/>
      <c r="Q186" s="316"/>
      <c r="R186" s="316"/>
      <c r="S186" s="317"/>
      <c r="T186" s="316"/>
      <c r="U186" s="319">
        <v>5.0</v>
      </c>
      <c r="V186" s="316">
        <v>15.0</v>
      </c>
      <c r="W186" s="316"/>
    </row>
    <row r="187" ht="15.0" customHeight="1">
      <c r="A187" s="322" t="s">
        <v>517</v>
      </c>
      <c r="B187" s="316">
        <v>7.0</v>
      </c>
      <c r="C187" s="316">
        <v>-1.0</v>
      </c>
      <c r="D187" s="316">
        <v>28.0</v>
      </c>
      <c r="E187" s="316">
        <v>10.0</v>
      </c>
      <c r="F187" s="317"/>
      <c r="G187" s="316">
        <v>2.0</v>
      </c>
      <c r="H187" s="316">
        <v>3.0</v>
      </c>
      <c r="I187" s="316">
        <v>1.0</v>
      </c>
      <c r="J187" s="316">
        <v>10.0</v>
      </c>
      <c r="K187" s="317"/>
      <c r="L187" s="330">
        <v>35.0</v>
      </c>
      <c r="M187" s="316"/>
      <c r="N187" s="316"/>
      <c r="O187" s="317"/>
      <c r="P187" s="316"/>
      <c r="Q187" s="316"/>
      <c r="R187" s="316"/>
      <c r="S187" s="317"/>
      <c r="T187" s="316"/>
      <c r="U187" s="319">
        <v>5.0</v>
      </c>
      <c r="V187" s="316">
        <v>15.0</v>
      </c>
      <c r="W187" s="316"/>
    </row>
    <row r="188" ht="15.0" customHeight="1">
      <c r="A188" s="304"/>
      <c r="B188" s="308"/>
      <c r="C188" s="309"/>
      <c r="D188" s="309"/>
      <c r="E188" s="309"/>
      <c r="F188" s="310"/>
      <c r="G188" s="308"/>
      <c r="H188" s="309"/>
      <c r="I188" s="309"/>
      <c r="J188" s="309"/>
      <c r="K188" s="309"/>
      <c r="L188" s="308"/>
      <c r="M188" s="313"/>
      <c r="N188" s="313"/>
      <c r="O188" s="310"/>
      <c r="P188" s="313"/>
      <c r="Q188" s="313"/>
      <c r="R188" s="313"/>
      <c r="S188" s="311"/>
      <c r="T188" s="312"/>
      <c r="U188" s="309"/>
      <c r="V188" s="313"/>
      <c r="W188" s="313"/>
    </row>
    <row r="189" ht="15.0" customHeight="1">
      <c r="A189" s="331"/>
      <c r="B189" s="332"/>
      <c r="C189" s="333"/>
      <c r="D189" s="333"/>
      <c r="E189" s="333"/>
      <c r="F189" s="334"/>
      <c r="G189" s="332"/>
      <c r="H189" s="333"/>
      <c r="I189" s="333"/>
      <c r="J189" s="333"/>
      <c r="K189" s="334"/>
      <c r="L189" s="332"/>
      <c r="M189" s="333"/>
      <c r="N189" s="333"/>
      <c r="O189" s="334"/>
      <c r="P189" s="333"/>
      <c r="Q189" s="333"/>
      <c r="R189" s="333"/>
      <c r="S189" s="335"/>
      <c r="T189" s="336"/>
      <c r="U189" s="333"/>
      <c r="V189" s="333"/>
      <c r="W189" s="333"/>
    </row>
    <row r="190" ht="15.0" customHeight="1">
      <c r="A190" s="337"/>
      <c r="B190" s="308"/>
      <c r="C190" s="309"/>
      <c r="D190" s="309"/>
      <c r="E190" s="309"/>
      <c r="F190" s="310"/>
      <c r="G190" s="308"/>
      <c r="H190" s="309"/>
      <c r="I190" s="309"/>
      <c r="J190" s="309"/>
      <c r="K190" s="310"/>
      <c r="L190" s="308"/>
      <c r="M190" s="313"/>
      <c r="N190" s="313"/>
      <c r="O190" s="311"/>
      <c r="P190" s="313"/>
      <c r="Q190" s="313"/>
      <c r="R190" s="313"/>
      <c r="S190" s="311"/>
      <c r="T190" s="312"/>
      <c r="U190" s="313"/>
      <c r="V190" s="313"/>
      <c r="W190" s="313"/>
    </row>
    <row r="191" ht="15.0" customHeight="1">
      <c r="A191" s="304" t="s">
        <v>273</v>
      </c>
      <c r="B191" s="308"/>
      <c r="C191" s="309"/>
      <c r="D191" s="309"/>
      <c r="E191" s="309"/>
      <c r="F191" s="310"/>
      <c r="G191" s="308"/>
      <c r="H191" s="309"/>
      <c r="I191" s="309"/>
      <c r="J191" s="309"/>
      <c r="K191" s="310"/>
      <c r="L191" s="308"/>
      <c r="M191" s="313"/>
      <c r="N191" s="313"/>
      <c r="O191" s="311"/>
      <c r="P191" s="313"/>
      <c r="Q191" s="313"/>
      <c r="R191" s="313"/>
      <c r="S191" s="311"/>
      <c r="T191" s="312"/>
      <c r="U191" s="313"/>
      <c r="V191" s="313"/>
      <c r="W191" s="313"/>
    </row>
    <row r="192" ht="15.0" customHeight="1">
      <c r="A192" s="304" t="s">
        <v>518</v>
      </c>
      <c r="B192" s="308"/>
      <c r="C192" s="309"/>
      <c r="D192" s="309"/>
      <c r="E192" s="309"/>
      <c r="F192" s="310"/>
      <c r="G192" s="308">
        <v>36.0</v>
      </c>
      <c r="H192" s="309">
        <v>34.0</v>
      </c>
      <c r="I192" s="309">
        <v>38.0</v>
      </c>
      <c r="J192" s="309">
        <v>3.0</v>
      </c>
      <c r="K192" s="310">
        <v>34.0</v>
      </c>
      <c r="L192" s="308">
        <v>6.0</v>
      </c>
      <c r="M192" s="313"/>
      <c r="N192" s="313"/>
      <c r="O192" s="310">
        <v>3.0</v>
      </c>
      <c r="P192" s="313"/>
      <c r="Q192" s="313"/>
      <c r="R192" s="313"/>
      <c r="S192" s="311"/>
      <c r="T192" s="312"/>
      <c r="U192" s="313"/>
      <c r="V192" s="313"/>
      <c r="W192" s="313"/>
    </row>
    <row r="193" ht="15.0" customHeight="1">
      <c r="A193" s="304" t="s">
        <v>519</v>
      </c>
      <c r="B193" s="308">
        <v>-2.0</v>
      </c>
      <c r="C193" s="309">
        <v>-2.0</v>
      </c>
      <c r="D193" s="309">
        <v>8.0</v>
      </c>
      <c r="E193" s="309">
        <v>0.0</v>
      </c>
      <c r="F193" s="310">
        <v>-5.0</v>
      </c>
      <c r="G193" s="308">
        <v>19.0</v>
      </c>
      <c r="H193" s="309">
        <v>10.0</v>
      </c>
      <c r="I193" s="309">
        <v>21.0</v>
      </c>
      <c r="J193" s="309">
        <v>0.0</v>
      </c>
      <c r="K193" s="310">
        <v>12.0</v>
      </c>
      <c r="L193" s="308">
        <v>4.0</v>
      </c>
      <c r="M193" s="313"/>
      <c r="N193" s="313"/>
      <c r="O193" s="310">
        <v>1.0</v>
      </c>
      <c r="P193" s="313"/>
      <c r="Q193" s="313"/>
      <c r="R193" s="313"/>
      <c r="S193" s="311"/>
      <c r="T193" s="312"/>
      <c r="U193" s="313"/>
      <c r="V193" s="313"/>
      <c r="W193" s="313"/>
    </row>
    <row r="194" ht="15.0" customHeight="1">
      <c r="A194" s="304" t="s">
        <v>520</v>
      </c>
      <c r="B194" s="308"/>
      <c r="C194" s="309"/>
      <c r="D194" s="309"/>
      <c r="E194" s="309">
        <v>-3.0</v>
      </c>
      <c r="F194" s="310">
        <v>-1.0</v>
      </c>
      <c r="G194" s="308">
        <v>45.0</v>
      </c>
      <c r="H194" s="309">
        <v>48.0</v>
      </c>
      <c r="I194" s="309">
        <v>44.0</v>
      </c>
      <c r="J194" s="309">
        <v>-1.0</v>
      </c>
      <c r="K194" s="310">
        <v>51.0</v>
      </c>
      <c r="L194" s="308"/>
      <c r="M194" s="313"/>
      <c r="N194" s="313"/>
      <c r="O194" s="311"/>
      <c r="P194" s="313"/>
      <c r="Q194" s="313"/>
      <c r="R194" s="313"/>
      <c r="S194" s="311"/>
      <c r="T194" s="312"/>
      <c r="U194" s="313"/>
      <c r="V194" s="313"/>
      <c r="W194" s="313"/>
    </row>
    <row r="195" ht="15.0" customHeight="1">
      <c r="A195" s="304" t="s">
        <v>521</v>
      </c>
      <c r="B195" s="312"/>
      <c r="C195" s="313"/>
      <c r="D195" s="309">
        <v>6.0</v>
      </c>
      <c r="E195" s="309">
        <v>-2.0</v>
      </c>
      <c r="F195" s="310">
        <v>-2.0</v>
      </c>
      <c r="G195" s="308">
        <v>27.0</v>
      </c>
      <c r="H195" s="309">
        <v>28.0</v>
      </c>
      <c r="I195" s="309">
        <v>31.0</v>
      </c>
      <c r="J195" s="309">
        <v>5.0</v>
      </c>
      <c r="K195" s="310">
        <v>24.0</v>
      </c>
      <c r="L195" s="308"/>
      <c r="M195" s="313"/>
      <c r="N195" s="313"/>
      <c r="O195" s="311"/>
      <c r="P195" s="313"/>
      <c r="Q195" s="313"/>
      <c r="R195" s="313"/>
      <c r="S195" s="311"/>
      <c r="T195" s="312"/>
      <c r="U195" s="313"/>
      <c r="V195" s="313"/>
      <c r="W195" s="313"/>
    </row>
    <row r="196" ht="15.0" customHeight="1">
      <c r="A196" s="304" t="s">
        <v>522</v>
      </c>
      <c r="B196" s="308">
        <v>5.0</v>
      </c>
      <c r="C196" s="309">
        <v>5.0</v>
      </c>
      <c r="D196" s="309">
        <v>5.0</v>
      </c>
      <c r="E196" s="309">
        <v>-7.0</v>
      </c>
      <c r="F196" s="310">
        <v>-7.0</v>
      </c>
      <c r="G196" s="308">
        <v>27.0</v>
      </c>
      <c r="H196" s="309">
        <v>29.0</v>
      </c>
      <c r="I196" s="309">
        <v>26.0</v>
      </c>
      <c r="J196" s="309">
        <v>-3.0</v>
      </c>
      <c r="K196" s="310">
        <v>28.0</v>
      </c>
      <c r="L196" s="312"/>
      <c r="M196" s="313"/>
      <c r="N196" s="313"/>
      <c r="O196" s="311"/>
      <c r="P196" s="313"/>
      <c r="Q196" s="313"/>
      <c r="R196" s="313"/>
      <c r="S196" s="311"/>
      <c r="T196" s="312"/>
      <c r="U196" s="313"/>
      <c r="V196" s="313"/>
      <c r="W196" s="313"/>
    </row>
    <row r="197" ht="15.0" customHeight="1">
      <c r="A197" s="304" t="s">
        <v>523</v>
      </c>
      <c r="B197" s="308"/>
      <c r="C197" s="309"/>
      <c r="D197" s="309"/>
      <c r="E197" s="309">
        <v>-6.0</v>
      </c>
      <c r="F197" s="310">
        <v>-2.0</v>
      </c>
      <c r="G197" s="308">
        <v>55.0</v>
      </c>
      <c r="H197" s="309">
        <v>58.0</v>
      </c>
      <c r="I197" s="309">
        <v>54.0</v>
      </c>
      <c r="J197" s="309">
        <v>-1.0</v>
      </c>
      <c r="K197" s="310">
        <v>62.0</v>
      </c>
      <c r="L197" s="308"/>
      <c r="M197" s="313"/>
      <c r="N197" s="313"/>
      <c r="O197" s="311"/>
      <c r="P197" s="313"/>
      <c r="Q197" s="313"/>
      <c r="R197" s="313"/>
      <c r="S197" s="311"/>
      <c r="T197" s="312"/>
      <c r="U197" s="313"/>
      <c r="V197" s="313"/>
      <c r="W197" s="313"/>
    </row>
    <row r="198" ht="15.0" customHeight="1">
      <c r="A198" s="304" t="s">
        <v>524</v>
      </c>
      <c r="B198" s="312"/>
      <c r="C198" s="313"/>
      <c r="D198" s="313"/>
      <c r="E198" s="309"/>
      <c r="F198" s="311"/>
      <c r="G198" s="308">
        <v>31.0</v>
      </c>
      <c r="H198" s="309">
        <v>29.0</v>
      </c>
      <c r="I198" s="309">
        <v>34.0</v>
      </c>
      <c r="J198" s="309">
        <v>3.0</v>
      </c>
      <c r="K198" s="310">
        <v>30.0</v>
      </c>
      <c r="L198" s="308">
        <v>3.0</v>
      </c>
      <c r="M198" s="313"/>
      <c r="N198" s="313"/>
      <c r="O198" s="310">
        <v>3.0</v>
      </c>
      <c r="P198" s="313"/>
      <c r="Q198" s="313"/>
      <c r="R198" s="313"/>
      <c r="S198" s="311"/>
      <c r="T198" s="312"/>
      <c r="U198" s="313"/>
      <c r="V198" s="313"/>
      <c r="W198" s="313"/>
    </row>
    <row r="199" ht="15.0" customHeight="1">
      <c r="A199" s="322" t="s">
        <v>525</v>
      </c>
      <c r="B199" s="315"/>
      <c r="C199" s="315"/>
      <c r="D199" s="315"/>
      <c r="E199" s="315">
        <v>-6.0</v>
      </c>
      <c r="F199" s="323">
        <v>-2.0</v>
      </c>
      <c r="G199" s="315">
        <v>60.0</v>
      </c>
      <c r="H199" s="315">
        <v>63.0</v>
      </c>
      <c r="I199" s="315">
        <v>59.0</v>
      </c>
      <c r="J199" s="315">
        <v>-6.0</v>
      </c>
      <c r="K199" s="323">
        <v>67.0</v>
      </c>
      <c r="L199" s="329"/>
      <c r="M199" s="325"/>
      <c r="N199" s="325"/>
      <c r="O199" s="323">
        <v>2.0</v>
      </c>
      <c r="P199" s="325"/>
      <c r="Q199" s="325"/>
      <c r="R199" s="325"/>
      <c r="S199" s="326"/>
      <c r="T199" s="325"/>
      <c r="U199" s="325"/>
      <c r="V199" s="325"/>
      <c r="W199" s="325"/>
    </row>
    <row r="200" ht="15.0" customHeight="1">
      <c r="A200" s="304" t="s">
        <v>526</v>
      </c>
      <c r="B200" s="312"/>
      <c r="C200" s="313"/>
      <c r="D200" s="309"/>
      <c r="E200" s="309">
        <v>-6.0</v>
      </c>
      <c r="F200" s="310">
        <v>-2.0</v>
      </c>
      <c r="G200" s="308">
        <v>45.0</v>
      </c>
      <c r="H200" s="309">
        <v>48.0</v>
      </c>
      <c r="I200" s="309">
        <v>41.0</v>
      </c>
      <c r="J200" s="309">
        <v>-1.0</v>
      </c>
      <c r="K200" s="310">
        <v>46.0</v>
      </c>
      <c r="L200" s="308"/>
      <c r="M200" s="313"/>
      <c r="N200" s="313"/>
      <c r="O200" s="311"/>
      <c r="P200" s="313"/>
      <c r="Q200" s="313"/>
      <c r="R200" s="313"/>
      <c r="S200" s="311"/>
      <c r="T200" s="312"/>
      <c r="U200" s="313"/>
      <c r="V200" s="313"/>
      <c r="W200" s="313"/>
    </row>
    <row r="201" ht="15.0" customHeight="1">
      <c r="A201" s="304" t="s">
        <v>527</v>
      </c>
      <c r="B201" s="312"/>
      <c r="C201" s="313"/>
      <c r="D201" s="309"/>
      <c r="E201" s="309">
        <v>-3.0</v>
      </c>
      <c r="F201" s="310">
        <v>-1.0</v>
      </c>
      <c r="G201" s="308">
        <v>33.0</v>
      </c>
      <c r="H201" s="309">
        <v>35.0</v>
      </c>
      <c r="I201" s="309">
        <v>32.0</v>
      </c>
      <c r="J201" s="309">
        <v>-1.0</v>
      </c>
      <c r="K201" s="310">
        <v>34.0</v>
      </c>
      <c r="L201" s="308"/>
      <c r="M201" s="313"/>
      <c r="N201" s="313"/>
      <c r="O201" s="311"/>
      <c r="P201" s="313"/>
      <c r="Q201" s="313"/>
      <c r="R201" s="313"/>
      <c r="S201" s="311"/>
      <c r="T201" s="312"/>
      <c r="U201" s="313"/>
      <c r="V201" s="313"/>
      <c r="W201" s="313"/>
    </row>
    <row r="202" ht="15.0" customHeight="1">
      <c r="A202" s="304" t="s">
        <v>528</v>
      </c>
      <c r="B202" s="312"/>
      <c r="C202" s="313"/>
      <c r="D202" s="309"/>
      <c r="E202" s="309">
        <v>-6.0</v>
      </c>
      <c r="F202" s="310">
        <v>-2.0</v>
      </c>
      <c r="G202" s="308">
        <v>30.0</v>
      </c>
      <c r="H202" s="309">
        <v>32.0</v>
      </c>
      <c r="I202" s="309">
        <v>27.0</v>
      </c>
      <c r="J202" s="309">
        <v>-1.0</v>
      </c>
      <c r="K202" s="310">
        <v>30.0</v>
      </c>
      <c r="L202" s="308"/>
      <c r="M202" s="313"/>
      <c r="N202" s="313"/>
      <c r="O202" s="311"/>
      <c r="P202" s="313"/>
      <c r="Q202" s="313"/>
      <c r="R202" s="313"/>
      <c r="S202" s="311"/>
      <c r="T202" s="312"/>
      <c r="U202" s="313"/>
      <c r="V202" s="313"/>
      <c r="W202" s="313"/>
    </row>
    <row r="203" ht="15.0" customHeight="1">
      <c r="A203" s="304" t="s">
        <v>529</v>
      </c>
      <c r="B203" s="312"/>
      <c r="C203" s="313"/>
      <c r="D203" s="313"/>
      <c r="E203" s="309">
        <v>-5.0</v>
      </c>
      <c r="F203" s="310">
        <v>-5.0</v>
      </c>
      <c r="G203" s="308">
        <v>52.0</v>
      </c>
      <c r="H203" s="309">
        <v>55.0</v>
      </c>
      <c r="I203" s="309">
        <v>58.0</v>
      </c>
      <c r="J203" s="309">
        <v>0.0</v>
      </c>
      <c r="K203" s="310">
        <v>50.0</v>
      </c>
      <c r="L203" s="308">
        <v>5.0</v>
      </c>
      <c r="M203" s="313"/>
      <c r="N203" s="313"/>
      <c r="O203" s="311"/>
      <c r="P203" s="313"/>
      <c r="Q203" s="313"/>
      <c r="R203" s="313"/>
      <c r="S203" s="311"/>
      <c r="T203" s="312"/>
      <c r="U203" s="313"/>
      <c r="V203" s="313"/>
      <c r="W203" s="313"/>
    </row>
    <row r="204" ht="15.0" customHeight="1">
      <c r="A204" s="304" t="s">
        <v>530</v>
      </c>
      <c r="B204" s="308"/>
      <c r="C204" s="309"/>
      <c r="D204" s="309"/>
      <c r="E204" s="309">
        <v>3.0</v>
      </c>
      <c r="F204" s="310">
        <v>3.0</v>
      </c>
      <c r="G204" s="308">
        <v>30.0</v>
      </c>
      <c r="H204" s="309">
        <v>32.0</v>
      </c>
      <c r="I204" s="309">
        <v>27.0</v>
      </c>
      <c r="J204" s="309">
        <v>10.0</v>
      </c>
      <c r="K204" s="310">
        <v>30.0</v>
      </c>
      <c r="L204" s="308"/>
      <c r="M204" s="313"/>
      <c r="N204" s="313"/>
      <c r="O204" s="311"/>
      <c r="P204" s="313"/>
      <c r="Q204" s="313"/>
      <c r="R204" s="313"/>
      <c r="S204" s="311"/>
      <c r="T204" s="312"/>
      <c r="U204" s="313"/>
      <c r="V204" s="313"/>
      <c r="W204" s="313"/>
    </row>
    <row r="205" ht="15.0" customHeight="1">
      <c r="A205" s="304" t="s">
        <v>531</v>
      </c>
      <c r="B205" s="308"/>
      <c r="C205" s="309"/>
      <c r="D205" s="309"/>
      <c r="E205" s="309"/>
      <c r="F205" s="310"/>
      <c r="G205" s="308">
        <v>25.0</v>
      </c>
      <c r="H205" s="309">
        <v>23.0</v>
      </c>
      <c r="I205" s="309">
        <v>26.0</v>
      </c>
      <c r="J205" s="309">
        <v>0.0</v>
      </c>
      <c r="K205" s="310">
        <v>24.0</v>
      </c>
      <c r="L205" s="308">
        <v>3.0</v>
      </c>
      <c r="M205" s="313"/>
      <c r="N205" s="313"/>
      <c r="O205" s="311"/>
      <c r="P205" s="313"/>
      <c r="Q205" s="313"/>
      <c r="R205" s="313"/>
      <c r="S205" s="311"/>
      <c r="T205" s="312"/>
      <c r="U205" s="313"/>
      <c r="V205" s="313"/>
      <c r="W205" s="313"/>
    </row>
    <row r="206" ht="15.0" customHeight="1">
      <c r="A206" s="304" t="s">
        <v>532</v>
      </c>
      <c r="B206" s="308"/>
      <c r="C206" s="309"/>
      <c r="D206" s="309"/>
      <c r="E206" s="309">
        <v>-6.0</v>
      </c>
      <c r="F206" s="310">
        <v>-2.0</v>
      </c>
      <c r="G206" s="308">
        <v>55.0</v>
      </c>
      <c r="H206" s="309">
        <v>58.0</v>
      </c>
      <c r="I206" s="309">
        <v>54.0</v>
      </c>
      <c r="J206" s="309">
        <v>-1.0</v>
      </c>
      <c r="K206" s="310">
        <v>62.0</v>
      </c>
      <c r="L206" s="308"/>
      <c r="M206" s="313"/>
      <c r="N206" s="313"/>
      <c r="O206" s="311"/>
      <c r="P206" s="313"/>
      <c r="Q206" s="313"/>
      <c r="R206" s="313"/>
      <c r="S206" s="311"/>
      <c r="T206" s="312"/>
      <c r="U206" s="313"/>
      <c r="V206" s="313"/>
      <c r="W206" s="313"/>
    </row>
    <row r="207" ht="15.0" customHeight="1">
      <c r="A207" s="304" t="s">
        <v>533</v>
      </c>
      <c r="B207" s="308"/>
      <c r="C207" s="309"/>
      <c r="D207" s="309"/>
      <c r="E207" s="309">
        <v>-6.0</v>
      </c>
      <c r="F207" s="310">
        <v>-2.0</v>
      </c>
      <c r="G207" s="308">
        <v>55.0</v>
      </c>
      <c r="H207" s="309">
        <v>58.0</v>
      </c>
      <c r="I207" s="309">
        <v>54.0</v>
      </c>
      <c r="J207" s="309">
        <v>0.0</v>
      </c>
      <c r="K207" s="310">
        <v>56.0</v>
      </c>
      <c r="L207" s="308"/>
      <c r="M207" s="313"/>
      <c r="N207" s="313"/>
      <c r="O207" s="310">
        <v>3.0</v>
      </c>
      <c r="P207" s="313"/>
      <c r="Q207" s="313"/>
      <c r="R207" s="313"/>
      <c r="S207" s="311"/>
      <c r="T207" s="312"/>
      <c r="U207" s="313"/>
      <c r="V207" s="313"/>
      <c r="W207" s="313"/>
    </row>
    <row r="208" ht="15.0" customHeight="1">
      <c r="A208" s="304" t="s">
        <v>534</v>
      </c>
      <c r="B208" s="308"/>
      <c r="C208" s="309"/>
      <c r="D208" s="309"/>
      <c r="E208" s="309"/>
      <c r="F208" s="310"/>
      <c r="G208" s="308">
        <v>6.0</v>
      </c>
      <c r="H208" s="309">
        <v>6.0</v>
      </c>
      <c r="I208" s="309">
        <v>6.0</v>
      </c>
      <c r="J208" s="309">
        <v>6.0</v>
      </c>
      <c r="K208" s="310">
        <v>6.0</v>
      </c>
      <c r="L208" s="308"/>
      <c r="M208" s="313"/>
      <c r="N208" s="313"/>
      <c r="O208" s="311"/>
      <c r="P208" s="313"/>
      <c r="Q208" s="313"/>
      <c r="R208" s="313"/>
      <c r="S208" s="311"/>
      <c r="T208" s="312"/>
      <c r="U208" s="313"/>
      <c r="V208" s="313"/>
      <c r="W208" s="313"/>
    </row>
    <row r="209" ht="15.0" customHeight="1">
      <c r="A209" s="304" t="s">
        <v>535</v>
      </c>
      <c r="B209" s="308">
        <v>0.0</v>
      </c>
      <c r="C209" s="309">
        <v>0.0</v>
      </c>
      <c r="D209" s="309">
        <v>0.0</v>
      </c>
      <c r="E209" s="309">
        <v>-5.0</v>
      </c>
      <c r="F209" s="310">
        <v>-2.0</v>
      </c>
      <c r="G209" s="308">
        <v>47.0</v>
      </c>
      <c r="H209" s="309">
        <v>49.0</v>
      </c>
      <c r="I209" s="309">
        <v>43.0</v>
      </c>
      <c r="J209" s="309">
        <v>-3.0</v>
      </c>
      <c r="K209" s="310">
        <v>48.0</v>
      </c>
      <c r="L209" s="308"/>
      <c r="M209" s="313"/>
      <c r="N209" s="313"/>
      <c r="O209" s="311"/>
      <c r="P209" s="313"/>
      <c r="Q209" s="313"/>
      <c r="R209" s="313"/>
      <c r="S209" s="311"/>
      <c r="T209" s="312"/>
      <c r="U209" s="313"/>
      <c r="V209" s="313"/>
      <c r="W209" s="313"/>
    </row>
    <row r="210" ht="15.0" customHeight="1">
      <c r="A210" s="304" t="s">
        <v>536</v>
      </c>
      <c r="B210" s="308">
        <v>0.0</v>
      </c>
      <c r="C210" s="309">
        <v>0.0</v>
      </c>
      <c r="D210" s="309">
        <v>0.0</v>
      </c>
      <c r="E210" s="309">
        <v>-6.0</v>
      </c>
      <c r="F210" s="310">
        <v>-2.0</v>
      </c>
      <c r="G210" s="308">
        <v>19.0</v>
      </c>
      <c r="H210" s="309">
        <v>21.0</v>
      </c>
      <c r="I210" s="309">
        <v>16.0</v>
      </c>
      <c r="J210" s="309">
        <v>-1.0</v>
      </c>
      <c r="K210" s="310">
        <v>19.0</v>
      </c>
      <c r="L210" s="308"/>
      <c r="M210" s="313"/>
      <c r="N210" s="313"/>
      <c r="O210" s="310">
        <v>4.0</v>
      </c>
      <c r="P210" s="313"/>
      <c r="Q210" s="313"/>
      <c r="R210" s="313"/>
      <c r="S210" s="311"/>
      <c r="T210" s="312"/>
      <c r="U210" s="313"/>
      <c r="V210" s="313"/>
      <c r="W210" s="313"/>
    </row>
    <row r="211" ht="15.0" customHeight="1">
      <c r="A211" s="304" t="s">
        <v>537</v>
      </c>
      <c r="B211" s="308"/>
      <c r="C211" s="309">
        <v>5.0</v>
      </c>
      <c r="D211" s="309"/>
      <c r="E211" s="309">
        <v>-5.0</v>
      </c>
      <c r="F211" s="310">
        <v>-5.0</v>
      </c>
      <c r="G211" s="308">
        <v>31.0</v>
      </c>
      <c r="H211" s="309">
        <v>33.0</v>
      </c>
      <c r="I211" s="309">
        <v>29.0</v>
      </c>
      <c r="J211" s="309">
        <v>0.0</v>
      </c>
      <c r="K211" s="310">
        <v>30.0</v>
      </c>
      <c r="L211" s="308"/>
      <c r="M211" s="313"/>
      <c r="N211" s="313"/>
      <c r="O211" s="311"/>
      <c r="P211" s="313"/>
      <c r="Q211" s="313"/>
      <c r="R211" s="313"/>
      <c r="S211" s="311"/>
      <c r="T211" s="312"/>
      <c r="U211" s="313"/>
      <c r="V211" s="313"/>
      <c r="W211" s="313"/>
    </row>
    <row r="212" ht="15.0" customHeight="1">
      <c r="A212" s="304" t="s">
        <v>538</v>
      </c>
      <c r="B212" s="312"/>
      <c r="C212" s="313"/>
      <c r="D212" s="313"/>
      <c r="E212" s="309">
        <v>-5.0</v>
      </c>
      <c r="F212" s="310">
        <v>-5.0</v>
      </c>
      <c r="G212" s="308">
        <v>31.0</v>
      </c>
      <c r="H212" s="309">
        <v>29.0</v>
      </c>
      <c r="I212" s="309">
        <v>33.0</v>
      </c>
      <c r="J212" s="309">
        <v>0.0</v>
      </c>
      <c r="K212" s="310">
        <v>30.0</v>
      </c>
      <c r="L212" s="308">
        <v>3.0</v>
      </c>
      <c r="M212" s="313"/>
      <c r="N212" s="313"/>
      <c r="O212" s="310"/>
      <c r="P212" s="313"/>
      <c r="Q212" s="313"/>
      <c r="R212" s="313"/>
      <c r="S212" s="311"/>
      <c r="T212" s="312"/>
      <c r="U212" s="313"/>
      <c r="V212" s="313"/>
      <c r="W212" s="313"/>
    </row>
    <row r="213" ht="15.0" customHeight="1">
      <c r="A213" s="304" t="s">
        <v>539</v>
      </c>
      <c r="B213" s="308">
        <v>-5.0</v>
      </c>
      <c r="C213" s="309">
        <v>-5.0</v>
      </c>
      <c r="D213" s="309">
        <v>-5.0</v>
      </c>
      <c r="E213" s="309">
        <v>-5.0</v>
      </c>
      <c r="F213" s="310">
        <v>10.0</v>
      </c>
      <c r="G213" s="308">
        <v>6.0</v>
      </c>
      <c r="H213" s="309">
        <v>6.0</v>
      </c>
      <c r="I213" s="309">
        <v>10.0</v>
      </c>
      <c r="J213" s="309">
        <v>10.0</v>
      </c>
      <c r="K213" s="310">
        <v>8.0</v>
      </c>
      <c r="L213" s="312"/>
      <c r="M213" s="309"/>
      <c r="N213" s="313"/>
      <c r="O213" s="310">
        <v>1.0</v>
      </c>
      <c r="P213" s="313"/>
      <c r="Q213" s="313"/>
      <c r="R213" s="313"/>
      <c r="S213" s="311"/>
      <c r="T213" s="312"/>
      <c r="U213" s="313"/>
      <c r="V213" s="313"/>
      <c r="W213" s="313"/>
    </row>
    <row r="214" ht="15.0" customHeight="1">
      <c r="A214" s="304" t="s">
        <v>540</v>
      </c>
      <c r="B214" s="312"/>
      <c r="C214" s="313"/>
      <c r="D214" s="313"/>
      <c r="E214" s="309">
        <v>-10.0</v>
      </c>
      <c r="F214" s="310">
        <v>8.0</v>
      </c>
      <c r="G214" s="308">
        <v>4.0</v>
      </c>
      <c r="H214" s="309">
        <v>6.0</v>
      </c>
      <c r="I214" s="309">
        <v>8.0</v>
      </c>
      <c r="J214" s="309">
        <v>4.0</v>
      </c>
      <c r="K214" s="310">
        <v>4.0</v>
      </c>
      <c r="L214" s="312"/>
      <c r="M214" s="313"/>
      <c r="N214" s="313"/>
      <c r="O214" s="311"/>
      <c r="P214" s="313"/>
      <c r="Q214" s="313"/>
      <c r="R214" s="313"/>
      <c r="S214" s="311"/>
      <c r="T214" s="312"/>
      <c r="U214" s="313"/>
      <c r="V214" s="313"/>
      <c r="W214" s="313"/>
    </row>
    <row r="215" ht="15.0" customHeight="1">
      <c r="A215" s="304" t="s">
        <v>541</v>
      </c>
      <c r="B215" s="312"/>
      <c r="C215" s="313"/>
      <c r="D215" s="313"/>
      <c r="E215" s="309">
        <v>-3.0</v>
      </c>
      <c r="F215" s="310">
        <v>7.0</v>
      </c>
      <c r="G215" s="308">
        <v>6.0</v>
      </c>
      <c r="H215" s="309">
        <v>9.0</v>
      </c>
      <c r="I215" s="309">
        <v>12.0</v>
      </c>
      <c r="J215" s="309">
        <v>6.0</v>
      </c>
      <c r="K215" s="310">
        <v>10.0</v>
      </c>
      <c r="L215" s="312"/>
      <c r="M215" s="313"/>
      <c r="N215" s="313"/>
      <c r="O215" s="311"/>
      <c r="P215" s="313"/>
      <c r="Q215" s="313"/>
      <c r="R215" s="313"/>
      <c r="S215" s="311"/>
      <c r="T215" s="312"/>
      <c r="U215" s="313"/>
      <c r="V215" s="313"/>
      <c r="W215" s="313"/>
    </row>
    <row r="216" ht="15.0" customHeight="1">
      <c r="A216" s="304" t="s">
        <v>542</v>
      </c>
      <c r="B216" s="312"/>
      <c r="C216" s="313"/>
      <c r="D216" s="313"/>
      <c r="E216" s="309">
        <v>-1.0</v>
      </c>
      <c r="F216" s="310">
        <v>7.0</v>
      </c>
      <c r="G216" s="308">
        <v>4.0</v>
      </c>
      <c r="H216" s="309">
        <v>7.0</v>
      </c>
      <c r="I216" s="309">
        <v>10.0</v>
      </c>
      <c r="J216" s="309">
        <v>4.0</v>
      </c>
      <c r="K216" s="310">
        <v>8.0</v>
      </c>
      <c r="L216" s="312"/>
      <c r="M216" s="313"/>
      <c r="N216" s="313"/>
      <c r="O216" s="310">
        <v>1.0</v>
      </c>
      <c r="P216" s="313"/>
      <c r="Q216" s="313"/>
      <c r="R216" s="313"/>
      <c r="S216" s="311"/>
      <c r="T216" s="312"/>
      <c r="U216" s="313"/>
      <c r="V216" s="313"/>
      <c r="W216" s="313"/>
    </row>
    <row r="217" ht="15.0" customHeight="1">
      <c r="A217" s="304" t="s">
        <v>543</v>
      </c>
      <c r="B217" s="308">
        <v>0.0</v>
      </c>
      <c r="C217" s="309">
        <v>0.0</v>
      </c>
      <c r="D217" s="309">
        <v>0.0</v>
      </c>
      <c r="E217" s="309">
        <v>-2.0</v>
      </c>
      <c r="F217" s="310">
        <v>9.0</v>
      </c>
      <c r="G217" s="308">
        <v>4.0</v>
      </c>
      <c r="H217" s="309">
        <v>7.0</v>
      </c>
      <c r="I217" s="309">
        <v>10.0</v>
      </c>
      <c r="J217" s="309">
        <v>5.0</v>
      </c>
      <c r="K217" s="310">
        <v>8.0</v>
      </c>
      <c r="L217" s="312"/>
      <c r="M217" s="313"/>
      <c r="N217" s="313"/>
      <c r="O217" s="310"/>
      <c r="P217" s="313"/>
      <c r="Q217" s="313"/>
      <c r="R217" s="313"/>
      <c r="S217" s="311"/>
      <c r="T217" s="312"/>
      <c r="U217" s="313"/>
      <c r="V217" s="313"/>
      <c r="W217" s="313"/>
    </row>
    <row r="218" ht="15.0" customHeight="1">
      <c r="A218" s="304" t="s">
        <v>544</v>
      </c>
      <c r="B218" s="308">
        <v>0.0</v>
      </c>
      <c r="C218" s="309">
        <v>0.0</v>
      </c>
      <c r="D218" s="309">
        <v>0.0</v>
      </c>
      <c r="E218" s="309">
        <v>-10.0</v>
      </c>
      <c r="F218" s="310">
        <v>8.0</v>
      </c>
      <c r="G218" s="308">
        <v>12.0</v>
      </c>
      <c r="H218" s="309">
        <v>8.0</v>
      </c>
      <c r="I218" s="309">
        <v>14.0</v>
      </c>
      <c r="J218" s="309">
        <v>26.0</v>
      </c>
      <c r="K218" s="310">
        <v>18.0</v>
      </c>
      <c r="L218" s="312"/>
      <c r="M218" s="313"/>
      <c r="N218" s="313"/>
      <c r="O218" s="310">
        <v>2.0</v>
      </c>
      <c r="P218" s="313"/>
      <c r="Q218" s="313"/>
      <c r="R218" s="313"/>
      <c r="S218" s="311"/>
      <c r="T218" s="312"/>
      <c r="U218" s="313"/>
      <c r="V218" s="313"/>
      <c r="W218" s="313"/>
    </row>
    <row r="219" ht="15.0" customHeight="1">
      <c r="A219" s="304" t="s">
        <v>545</v>
      </c>
      <c r="B219" s="308">
        <v>-5.0</v>
      </c>
      <c r="C219" s="309">
        <v>-5.0</v>
      </c>
      <c r="D219" s="309">
        <v>-5.0</v>
      </c>
      <c r="E219" s="309">
        <v>-5.0</v>
      </c>
      <c r="F219" s="310">
        <v>6.0</v>
      </c>
      <c r="G219" s="308">
        <v>6.0</v>
      </c>
      <c r="H219" s="309">
        <v>8.0</v>
      </c>
      <c r="I219" s="309">
        <v>10.0</v>
      </c>
      <c r="J219" s="309">
        <v>6.0</v>
      </c>
      <c r="K219" s="310">
        <v>6.0</v>
      </c>
      <c r="L219" s="312"/>
      <c r="M219" s="313"/>
      <c r="N219" s="313"/>
      <c r="O219" s="311"/>
      <c r="P219" s="313"/>
      <c r="Q219" s="313"/>
      <c r="R219" s="313"/>
      <c r="S219" s="311"/>
      <c r="T219" s="312"/>
      <c r="U219" s="313"/>
      <c r="V219" s="313"/>
      <c r="W219" s="313"/>
    </row>
    <row r="220" ht="15.0" customHeight="1">
      <c r="A220" s="304" t="s">
        <v>546</v>
      </c>
      <c r="B220" s="308"/>
      <c r="C220" s="309"/>
      <c r="D220" s="309"/>
      <c r="E220" s="309">
        <v>-5.0</v>
      </c>
      <c r="F220" s="310">
        <v>4.0</v>
      </c>
      <c r="G220" s="308">
        <v>2.0</v>
      </c>
      <c r="H220" s="309">
        <v>4.0</v>
      </c>
      <c r="I220" s="309">
        <v>4.0</v>
      </c>
      <c r="J220" s="309">
        <v>2.0</v>
      </c>
      <c r="K220" s="310">
        <v>2.0</v>
      </c>
      <c r="L220" s="312"/>
      <c r="M220" s="313"/>
      <c r="N220" s="313"/>
      <c r="O220" s="311"/>
      <c r="P220" s="313"/>
      <c r="Q220" s="313"/>
      <c r="R220" s="313"/>
      <c r="S220" s="311"/>
      <c r="T220" s="312"/>
      <c r="U220" s="313"/>
      <c r="V220" s="313"/>
      <c r="W220" s="313"/>
    </row>
    <row r="221" ht="15.0" customHeight="1">
      <c r="A221" s="304" t="s">
        <v>547</v>
      </c>
      <c r="B221" s="308">
        <v>-6.0</v>
      </c>
      <c r="C221" s="309">
        <v>-6.0</v>
      </c>
      <c r="D221" s="309">
        <v>-6.0</v>
      </c>
      <c r="E221" s="309">
        <v>-6.0</v>
      </c>
      <c r="F221" s="310">
        <v>6.0</v>
      </c>
      <c r="G221" s="308">
        <v>6.0</v>
      </c>
      <c r="H221" s="309">
        <v>6.0</v>
      </c>
      <c r="I221" s="309">
        <v>6.0</v>
      </c>
      <c r="J221" s="309">
        <v>6.0</v>
      </c>
      <c r="K221" s="310">
        <v>0.0</v>
      </c>
      <c r="L221" s="312"/>
      <c r="M221" s="313"/>
      <c r="N221" s="313"/>
      <c r="O221" s="311"/>
      <c r="P221" s="313"/>
      <c r="Q221" s="313"/>
      <c r="R221" s="313"/>
      <c r="S221" s="311"/>
      <c r="T221" s="312"/>
      <c r="U221" s="313"/>
      <c r="V221" s="313"/>
      <c r="W221" s="313"/>
    </row>
    <row r="222" ht="15.0" customHeight="1">
      <c r="A222" s="304" t="s">
        <v>548</v>
      </c>
      <c r="B222" s="308"/>
      <c r="C222" s="309"/>
      <c r="D222" s="309"/>
      <c r="E222" s="309">
        <v>-1.0</v>
      </c>
      <c r="F222" s="310">
        <v>2.0</v>
      </c>
      <c r="G222" s="308">
        <v>4.0</v>
      </c>
      <c r="H222" s="309">
        <v>6.0</v>
      </c>
      <c r="I222" s="309">
        <v>8.0</v>
      </c>
      <c r="J222" s="309">
        <v>4.0</v>
      </c>
      <c r="K222" s="310">
        <v>4.0</v>
      </c>
      <c r="L222" s="312"/>
      <c r="M222" s="313"/>
      <c r="N222" s="313"/>
      <c r="O222" s="311"/>
      <c r="P222" s="313"/>
      <c r="Q222" s="313"/>
      <c r="R222" s="313"/>
      <c r="S222" s="311"/>
      <c r="T222" s="312"/>
      <c r="U222" s="313"/>
      <c r="V222" s="313"/>
      <c r="W222" s="313"/>
    </row>
    <row r="223" ht="15.0" customHeight="1">
      <c r="A223" s="304" t="s">
        <v>549</v>
      </c>
      <c r="B223" s="308"/>
      <c r="C223" s="309"/>
      <c r="D223" s="309"/>
      <c r="E223" s="309"/>
      <c r="F223" s="310">
        <v>1.0</v>
      </c>
      <c r="G223" s="308">
        <v>2.0</v>
      </c>
      <c r="H223" s="309">
        <v>3.0</v>
      </c>
      <c r="I223" s="309">
        <v>4.0</v>
      </c>
      <c r="J223" s="309">
        <v>2.0</v>
      </c>
      <c r="K223" s="310">
        <v>3.0</v>
      </c>
      <c r="L223" s="312"/>
      <c r="M223" s="313"/>
      <c r="N223" s="313"/>
      <c r="O223" s="311"/>
      <c r="P223" s="313"/>
      <c r="Q223" s="313"/>
      <c r="R223" s="313"/>
      <c r="S223" s="311"/>
      <c r="T223" s="312"/>
      <c r="U223" s="313"/>
      <c r="V223" s="313"/>
      <c r="W223" s="313"/>
    </row>
    <row r="224" ht="15.0" customHeight="1">
      <c r="A224" s="304" t="s">
        <v>550</v>
      </c>
      <c r="B224" s="308">
        <v>-5.0</v>
      </c>
      <c r="C224" s="309">
        <v>-5.0</v>
      </c>
      <c r="D224" s="309">
        <v>-5.0</v>
      </c>
      <c r="E224" s="309">
        <v>-5.0</v>
      </c>
      <c r="F224" s="310">
        <v>6.0</v>
      </c>
      <c r="G224" s="308">
        <v>7.0</v>
      </c>
      <c r="H224" s="309">
        <v>10.0</v>
      </c>
      <c r="I224" s="309">
        <v>11.0</v>
      </c>
      <c r="J224" s="309">
        <v>5.0</v>
      </c>
      <c r="K224" s="310">
        <v>8.0</v>
      </c>
      <c r="L224" s="312"/>
      <c r="M224" s="313"/>
      <c r="N224" s="313"/>
      <c r="O224" s="311"/>
      <c r="P224" s="313"/>
      <c r="Q224" s="313"/>
      <c r="R224" s="313"/>
      <c r="S224" s="311"/>
      <c r="T224" s="312"/>
      <c r="U224" s="313"/>
      <c r="V224" s="313"/>
      <c r="W224" s="313"/>
    </row>
    <row r="225" ht="15.0" customHeight="1">
      <c r="A225" s="304" t="s">
        <v>551</v>
      </c>
      <c r="B225" s="308"/>
      <c r="C225" s="309"/>
      <c r="D225" s="309"/>
      <c r="E225" s="309">
        <v>8.0</v>
      </c>
      <c r="F225" s="310"/>
      <c r="G225" s="308"/>
      <c r="H225" s="309"/>
      <c r="I225" s="309"/>
      <c r="J225" s="309">
        <v>8.0</v>
      </c>
      <c r="K225" s="310"/>
      <c r="L225" s="312"/>
      <c r="M225" s="309"/>
      <c r="N225" s="313"/>
      <c r="O225" s="310"/>
      <c r="P225" s="313"/>
      <c r="Q225" s="313"/>
      <c r="R225" s="313"/>
      <c r="S225" s="311"/>
      <c r="T225" s="312"/>
      <c r="U225" s="313"/>
      <c r="V225" s="313"/>
      <c r="W225" s="313"/>
    </row>
    <row r="226" ht="15.0" customHeight="1">
      <c r="A226" s="304" t="s">
        <v>79</v>
      </c>
      <c r="B226" s="308"/>
      <c r="C226" s="309"/>
      <c r="D226" s="309"/>
      <c r="E226" s="309">
        <v>8.0</v>
      </c>
      <c r="F226" s="310">
        <v>-2.0</v>
      </c>
      <c r="G226" s="308">
        <v>12.0</v>
      </c>
      <c r="H226" s="309">
        <v>11.0</v>
      </c>
      <c r="I226" s="309">
        <v>13.0</v>
      </c>
      <c r="J226" s="309">
        <v>5.0</v>
      </c>
      <c r="K226" s="310">
        <v>0.0</v>
      </c>
      <c r="L226" s="312"/>
      <c r="M226" s="309"/>
      <c r="N226" s="309">
        <v>0.02</v>
      </c>
      <c r="O226" s="310"/>
      <c r="P226" s="313"/>
      <c r="Q226" s="313"/>
      <c r="R226" s="313"/>
      <c r="S226" s="311"/>
      <c r="T226" s="312"/>
      <c r="U226" s="313"/>
      <c r="V226" s="313"/>
      <c r="W226" s="313"/>
    </row>
    <row r="227" ht="15.0" customHeight="1">
      <c r="A227" s="304" t="s">
        <v>552</v>
      </c>
      <c r="B227" s="308"/>
      <c r="C227" s="309"/>
      <c r="D227" s="309"/>
      <c r="E227" s="309">
        <v>6.0</v>
      </c>
      <c r="F227" s="310">
        <v>-2.0</v>
      </c>
      <c r="G227" s="308">
        <v>15.0</v>
      </c>
      <c r="H227" s="309">
        <v>13.0</v>
      </c>
      <c r="I227" s="309">
        <v>16.0</v>
      </c>
      <c r="J227" s="309">
        <v>6.0</v>
      </c>
      <c r="K227" s="310"/>
      <c r="L227" s="312"/>
      <c r="M227" s="309"/>
      <c r="N227" s="313"/>
      <c r="O227" s="310"/>
      <c r="P227" s="313"/>
      <c r="Q227" s="313"/>
      <c r="R227" s="313"/>
      <c r="S227" s="311"/>
      <c r="T227" s="312"/>
      <c r="U227" s="313"/>
      <c r="V227" s="313"/>
      <c r="W227" s="313"/>
    </row>
    <row r="228" ht="15.0" customHeight="1">
      <c r="A228" s="304" t="s">
        <v>553</v>
      </c>
      <c r="B228" s="308"/>
      <c r="C228" s="309"/>
      <c r="D228" s="309"/>
      <c r="E228" s="309">
        <v>5.0</v>
      </c>
      <c r="F228" s="310"/>
      <c r="G228" s="308"/>
      <c r="H228" s="309"/>
      <c r="I228" s="309"/>
      <c r="J228" s="309">
        <v>4.0</v>
      </c>
      <c r="K228" s="310"/>
      <c r="L228" s="312"/>
      <c r="M228" s="309"/>
      <c r="N228" s="313"/>
      <c r="O228" s="310"/>
      <c r="P228" s="313"/>
      <c r="Q228" s="313"/>
      <c r="R228" s="313"/>
      <c r="S228" s="311"/>
      <c r="T228" s="312"/>
      <c r="U228" s="313"/>
      <c r="V228" s="313"/>
      <c r="W228" s="313"/>
    </row>
    <row r="229" ht="15.0" customHeight="1">
      <c r="A229" s="304" t="s">
        <v>554</v>
      </c>
      <c r="B229" s="308"/>
      <c r="C229" s="309"/>
      <c r="D229" s="309"/>
      <c r="E229" s="309">
        <v>6.0</v>
      </c>
      <c r="F229" s="310"/>
      <c r="G229" s="308"/>
      <c r="H229" s="309"/>
      <c r="I229" s="309"/>
      <c r="J229" s="309">
        <v>6.0</v>
      </c>
      <c r="K229" s="310"/>
      <c r="L229" s="312"/>
      <c r="M229" s="309"/>
      <c r="N229" s="313"/>
      <c r="O229" s="310"/>
      <c r="P229" s="313"/>
      <c r="Q229" s="313"/>
      <c r="R229" s="313"/>
      <c r="S229" s="311"/>
      <c r="T229" s="312"/>
      <c r="U229" s="313"/>
      <c r="V229" s="313"/>
      <c r="W229" s="313"/>
    </row>
    <row r="230" ht="15.0" customHeight="1">
      <c r="A230" s="304" t="s">
        <v>555</v>
      </c>
      <c r="B230" s="308">
        <v>-5.0</v>
      </c>
      <c r="C230" s="309">
        <v>-5.0</v>
      </c>
      <c r="D230" s="309">
        <v>-5.0</v>
      </c>
      <c r="E230" s="309">
        <v>6.0</v>
      </c>
      <c r="F230" s="310">
        <v>-5.0</v>
      </c>
      <c r="G230" s="308">
        <v>6.0</v>
      </c>
      <c r="H230" s="309">
        <v>8.0</v>
      </c>
      <c r="I230" s="309">
        <v>10.0</v>
      </c>
      <c r="J230" s="309">
        <v>7.0</v>
      </c>
      <c r="K230" s="310"/>
      <c r="L230" s="312"/>
      <c r="M230" s="309"/>
      <c r="N230" s="313"/>
      <c r="O230" s="310"/>
      <c r="P230" s="313"/>
      <c r="Q230" s="313"/>
      <c r="R230" s="313"/>
      <c r="S230" s="311"/>
      <c r="T230" s="312"/>
      <c r="U230" s="313"/>
      <c r="V230" s="313"/>
      <c r="W230" s="313"/>
    </row>
    <row r="231" ht="15.0" customHeight="1">
      <c r="A231" s="304" t="s">
        <v>556</v>
      </c>
      <c r="B231" s="308">
        <v>-5.0</v>
      </c>
      <c r="C231" s="309">
        <v>-5.0</v>
      </c>
      <c r="D231" s="309">
        <v>-5.0</v>
      </c>
      <c r="E231" s="309">
        <v>6.0</v>
      </c>
      <c r="F231" s="310">
        <v>-5.0</v>
      </c>
      <c r="G231" s="308">
        <v>8.0</v>
      </c>
      <c r="H231" s="309">
        <v>10.0</v>
      </c>
      <c r="I231" s="309">
        <v>12.0</v>
      </c>
      <c r="J231" s="309">
        <v>6.0</v>
      </c>
      <c r="K231" s="310"/>
      <c r="L231" s="312"/>
      <c r="M231" s="309"/>
      <c r="N231" s="313"/>
      <c r="O231" s="310"/>
      <c r="P231" s="313"/>
      <c r="Q231" s="313"/>
      <c r="R231" s="313"/>
      <c r="S231" s="311"/>
      <c r="T231" s="312"/>
      <c r="U231" s="313"/>
      <c r="V231" s="313"/>
      <c r="W231" s="313"/>
    </row>
    <row r="232" ht="15.0" customHeight="1">
      <c r="A232" s="304" t="s">
        <v>557</v>
      </c>
      <c r="B232" s="308"/>
      <c r="C232" s="309"/>
      <c r="D232" s="309"/>
      <c r="E232" s="309">
        <v>2.0</v>
      </c>
      <c r="F232" s="310">
        <v>-2.0</v>
      </c>
      <c r="G232" s="308">
        <v>10.0</v>
      </c>
      <c r="H232" s="309">
        <v>9.0</v>
      </c>
      <c r="I232" s="309">
        <v>11.0</v>
      </c>
      <c r="J232" s="309">
        <v>3.0</v>
      </c>
      <c r="K232" s="310"/>
      <c r="L232" s="312"/>
      <c r="M232" s="309"/>
      <c r="N232" s="313"/>
      <c r="O232" s="310"/>
      <c r="P232" s="313"/>
      <c r="Q232" s="313"/>
      <c r="R232" s="313"/>
      <c r="S232" s="311"/>
      <c r="T232" s="312"/>
      <c r="U232" s="313"/>
      <c r="V232" s="313"/>
      <c r="W232" s="313"/>
    </row>
    <row r="233" ht="15.0" customHeight="1">
      <c r="A233" s="304" t="s">
        <v>558</v>
      </c>
      <c r="B233" s="308"/>
      <c r="C233" s="309"/>
      <c r="D233" s="309"/>
      <c r="E233" s="309"/>
      <c r="F233" s="310"/>
      <c r="G233" s="308">
        <v>11.0</v>
      </c>
      <c r="H233" s="309">
        <v>12.0</v>
      </c>
      <c r="I233" s="309">
        <v>10.0</v>
      </c>
      <c r="J233" s="309">
        <v>11.0</v>
      </c>
      <c r="K233" s="310">
        <v>-3.0</v>
      </c>
      <c r="L233" s="312"/>
      <c r="M233" s="309"/>
      <c r="N233" s="313"/>
      <c r="O233" s="310">
        <v>3.0</v>
      </c>
      <c r="P233" s="313"/>
      <c r="Q233" s="313"/>
      <c r="R233" s="313"/>
      <c r="S233" s="311"/>
      <c r="T233" s="312"/>
      <c r="U233" s="313"/>
      <c r="V233" s="313"/>
      <c r="W233" s="313"/>
    </row>
    <row r="234" ht="15.0" customHeight="1">
      <c r="A234" s="304" t="s">
        <v>559</v>
      </c>
      <c r="B234" s="308"/>
      <c r="C234" s="309"/>
      <c r="D234" s="309"/>
      <c r="E234" s="309"/>
      <c r="F234" s="310"/>
      <c r="G234" s="308">
        <v>11.0</v>
      </c>
      <c r="H234" s="309">
        <v>12.0</v>
      </c>
      <c r="I234" s="309">
        <v>10.0</v>
      </c>
      <c r="J234" s="309">
        <v>11.0</v>
      </c>
      <c r="K234" s="310">
        <v>-3.0</v>
      </c>
      <c r="L234" s="312"/>
      <c r="M234" s="309"/>
      <c r="N234" s="313"/>
      <c r="O234" s="310">
        <v>3.0</v>
      </c>
      <c r="P234" s="313"/>
      <c r="Q234" s="313"/>
      <c r="R234" s="313"/>
      <c r="S234" s="311"/>
      <c r="T234" s="312"/>
      <c r="U234" s="313"/>
      <c r="V234" s="313"/>
      <c r="W234" s="313"/>
    </row>
    <row r="235" ht="15.0" customHeight="1">
      <c r="A235" s="304" t="s">
        <v>560</v>
      </c>
      <c r="B235" s="308"/>
      <c r="C235" s="309"/>
      <c r="D235" s="309"/>
      <c r="E235" s="309"/>
      <c r="F235" s="310"/>
      <c r="G235" s="308">
        <v>11.0</v>
      </c>
      <c r="H235" s="309">
        <v>12.0</v>
      </c>
      <c r="I235" s="309">
        <v>10.0</v>
      </c>
      <c r="J235" s="309">
        <v>11.0</v>
      </c>
      <c r="K235" s="310">
        <v>-3.0</v>
      </c>
      <c r="L235" s="312"/>
      <c r="M235" s="309"/>
      <c r="N235" s="313"/>
      <c r="O235" s="310">
        <v>3.0</v>
      </c>
      <c r="P235" s="313"/>
      <c r="Q235" s="313"/>
      <c r="R235" s="313"/>
      <c r="S235" s="311"/>
      <c r="T235" s="312"/>
      <c r="U235" s="313"/>
      <c r="V235" s="313"/>
      <c r="W235" s="313"/>
    </row>
    <row r="236" ht="15.0" customHeight="1">
      <c r="A236" s="304" t="s">
        <v>561</v>
      </c>
      <c r="B236" s="308"/>
      <c r="C236" s="309"/>
      <c r="D236" s="309"/>
      <c r="E236" s="309">
        <v>4.0</v>
      </c>
      <c r="F236" s="310"/>
      <c r="G236" s="308"/>
      <c r="H236" s="309"/>
      <c r="I236" s="309"/>
      <c r="J236" s="309">
        <v>4.0</v>
      </c>
      <c r="K236" s="310"/>
      <c r="L236" s="312"/>
      <c r="M236" s="309"/>
      <c r="N236" s="313"/>
      <c r="O236" s="310">
        <v>5.0</v>
      </c>
      <c r="P236" s="313"/>
      <c r="Q236" s="313"/>
      <c r="R236" s="313"/>
      <c r="S236" s="311"/>
      <c r="T236" s="312"/>
      <c r="U236" s="313"/>
      <c r="V236" s="313"/>
      <c r="W236" s="313"/>
    </row>
    <row r="237" ht="15.0" customHeight="1">
      <c r="A237" s="304"/>
      <c r="B237" s="308"/>
      <c r="C237" s="309"/>
      <c r="D237" s="309"/>
      <c r="E237" s="313"/>
      <c r="F237" s="311"/>
      <c r="G237" s="312"/>
      <c r="H237" s="313"/>
      <c r="I237" s="313"/>
      <c r="J237" s="313"/>
      <c r="K237" s="311"/>
      <c r="L237" s="308"/>
      <c r="M237" s="313"/>
      <c r="N237" s="313"/>
      <c r="O237" s="311"/>
      <c r="P237" s="313"/>
      <c r="Q237" s="313"/>
      <c r="R237" s="313"/>
      <c r="S237" s="311"/>
      <c r="T237" s="312"/>
      <c r="U237" s="313"/>
      <c r="V237" s="313"/>
      <c r="W237" s="313"/>
    </row>
    <row r="238" ht="15.0" customHeight="1">
      <c r="A238" s="331"/>
      <c r="B238" s="332"/>
      <c r="C238" s="333"/>
      <c r="D238" s="333"/>
      <c r="E238" s="338"/>
      <c r="F238" s="335"/>
      <c r="G238" s="336"/>
      <c r="H238" s="338"/>
      <c r="I238" s="338"/>
      <c r="J238" s="338"/>
      <c r="K238" s="335"/>
      <c r="L238" s="332"/>
      <c r="M238" s="338"/>
      <c r="N238" s="338"/>
      <c r="O238" s="335"/>
      <c r="P238" s="338"/>
      <c r="Q238" s="338"/>
      <c r="R238" s="338"/>
      <c r="S238" s="335"/>
      <c r="T238" s="336"/>
      <c r="U238" s="338"/>
      <c r="V238" s="338"/>
      <c r="W238" s="338"/>
    </row>
    <row r="239" ht="15.0" customHeight="1">
      <c r="A239" s="337"/>
      <c r="B239" s="308"/>
      <c r="C239" s="309"/>
      <c r="D239" s="309"/>
      <c r="E239" s="313"/>
      <c r="F239" s="311"/>
      <c r="G239" s="312"/>
      <c r="H239" s="313"/>
      <c r="I239" s="313"/>
      <c r="J239" s="313"/>
      <c r="K239" s="311"/>
      <c r="L239" s="308"/>
      <c r="M239" s="313"/>
      <c r="N239" s="313"/>
      <c r="O239" s="311"/>
      <c r="P239" s="313"/>
      <c r="Q239" s="313"/>
      <c r="R239" s="313"/>
      <c r="S239" s="311"/>
      <c r="T239" s="312"/>
      <c r="U239" s="313"/>
      <c r="V239" s="313"/>
      <c r="W239" s="313"/>
    </row>
    <row r="240" ht="15.0" customHeight="1">
      <c r="A240" s="304" t="s">
        <v>273</v>
      </c>
      <c r="B240" s="308"/>
      <c r="C240" s="309"/>
      <c r="D240" s="309"/>
      <c r="E240" s="309"/>
      <c r="F240" s="310"/>
      <c r="G240" s="308"/>
      <c r="H240" s="309"/>
      <c r="I240" s="309"/>
      <c r="J240" s="309"/>
      <c r="K240" s="310"/>
      <c r="L240" s="308"/>
      <c r="M240" s="313"/>
      <c r="N240" s="313"/>
      <c r="O240" s="310"/>
      <c r="P240" s="313"/>
      <c r="Q240" s="313"/>
      <c r="R240" s="313"/>
      <c r="S240" s="311"/>
      <c r="T240" s="312"/>
      <c r="U240" s="313"/>
      <c r="V240" s="313"/>
      <c r="W240" s="313"/>
    </row>
    <row r="241" ht="15.0" customHeight="1">
      <c r="A241" s="304" t="s">
        <v>562</v>
      </c>
      <c r="B241" s="308">
        <v>4.0</v>
      </c>
      <c r="C241" s="309">
        <v>4.0</v>
      </c>
      <c r="D241" s="309">
        <v>4.0</v>
      </c>
      <c r="E241" s="309">
        <v>1.0</v>
      </c>
      <c r="F241" s="310">
        <v>1.0</v>
      </c>
      <c r="G241" s="308">
        <v>12.0</v>
      </c>
      <c r="H241" s="309">
        <v>12.0</v>
      </c>
      <c r="I241" s="309">
        <v>12.0</v>
      </c>
      <c r="J241" s="309">
        <v>12.0</v>
      </c>
      <c r="K241" s="310">
        <v>12.0</v>
      </c>
      <c r="L241" s="308">
        <v>8.0</v>
      </c>
      <c r="M241" s="313"/>
      <c r="N241" s="313"/>
      <c r="O241" s="310">
        <v>2.0</v>
      </c>
      <c r="P241" s="313"/>
      <c r="Q241" s="313"/>
      <c r="R241" s="313"/>
      <c r="S241" s="311"/>
      <c r="T241" s="312"/>
      <c r="U241" s="313"/>
      <c r="V241" s="313"/>
      <c r="W241" s="313"/>
    </row>
    <row r="242" ht="15.0" customHeight="1">
      <c r="A242" s="304" t="s">
        <v>563</v>
      </c>
      <c r="B242" s="308">
        <v>1.0</v>
      </c>
      <c r="C242" s="309">
        <v>1.0</v>
      </c>
      <c r="D242" s="309">
        <v>1.0</v>
      </c>
      <c r="E242" s="309">
        <v>1.0</v>
      </c>
      <c r="F242" s="310">
        <v>1.0</v>
      </c>
      <c r="G242" s="308">
        <v>11.0</v>
      </c>
      <c r="H242" s="309">
        <v>11.0</v>
      </c>
      <c r="I242" s="309">
        <v>11.0</v>
      </c>
      <c r="J242" s="309">
        <v>11.0</v>
      </c>
      <c r="K242" s="310">
        <v>11.0</v>
      </c>
      <c r="L242" s="308">
        <v>4.0</v>
      </c>
      <c r="M242" s="313"/>
      <c r="N242" s="313"/>
      <c r="O242" s="310">
        <v>2.0</v>
      </c>
      <c r="P242" s="313"/>
      <c r="Q242" s="313"/>
      <c r="R242" s="313"/>
      <c r="S242" s="311"/>
      <c r="T242" s="312"/>
      <c r="U242" s="313"/>
      <c r="V242" s="313"/>
      <c r="W242" s="313"/>
    </row>
    <row r="243" ht="15.0" customHeight="1">
      <c r="A243" s="304" t="s">
        <v>564</v>
      </c>
      <c r="B243" s="308"/>
      <c r="C243" s="309"/>
      <c r="D243" s="309">
        <v>6.0</v>
      </c>
      <c r="E243" s="309"/>
      <c r="F243" s="310"/>
      <c r="G243" s="308">
        <v>8.0</v>
      </c>
      <c r="H243" s="309">
        <v>8.0</v>
      </c>
      <c r="I243" s="309">
        <v>8.0</v>
      </c>
      <c r="J243" s="309">
        <v>8.0</v>
      </c>
      <c r="K243" s="310">
        <v>8.0</v>
      </c>
      <c r="L243" s="308">
        <v>1.0</v>
      </c>
      <c r="M243" s="313"/>
      <c r="N243" s="313"/>
      <c r="O243" s="310">
        <v>1.0</v>
      </c>
      <c r="P243" s="313"/>
      <c r="Q243" s="313"/>
      <c r="R243" s="313"/>
      <c r="S243" s="311"/>
      <c r="T243" s="312"/>
      <c r="U243" s="313"/>
      <c r="V243" s="313"/>
      <c r="W243" s="313"/>
    </row>
    <row r="244" ht="15.0" customHeight="1">
      <c r="A244" s="304" t="s">
        <v>565</v>
      </c>
      <c r="B244" s="308">
        <v>6.0</v>
      </c>
      <c r="C244" s="313"/>
      <c r="D244" s="313"/>
      <c r="E244" s="309">
        <v>6.0</v>
      </c>
      <c r="F244" s="311"/>
      <c r="G244" s="308">
        <v>6.0</v>
      </c>
      <c r="H244" s="313"/>
      <c r="I244" s="313"/>
      <c r="J244" s="309">
        <v>6.0</v>
      </c>
      <c r="K244" s="311"/>
      <c r="L244" s="312"/>
      <c r="M244" s="313"/>
      <c r="N244" s="313"/>
      <c r="O244" s="310">
        <v>6.0</v>
      </c>
      <c r="P244" s="313"/>
      <c r="Q244" s="313"/>
      <c r="R244" s="313"/>
      <c r="S244" s="311"/>
      <c r="T244" s="312"/>
      <c r="U244" s="313"/>
      <c r="V244" s="313"/>
      <c r="W244" s="313"/>
    </row>
    <row r="245" ht="15.0" customHeight="1">
      <c r="A245" s="304" t="s">
        <v>566</v>
      </c>
      <c r="B245" s="308">
        <v>5.0</v>
      </c>
      <c r="C245" s="313"/>
      <c r="D245" s="313"/>
      <c r="E245" s="309">
        <v>5.0</v>
      </c>
      <c r="F245" s="311"/>
      <c r="G245" s="308">
        <v>5.0</v>
      </c>
      <c r="H245" s="313"/>
      <c r="I245" s="313"/>
      <c r="J245" s="309">
        <v>5.0</v>
      </c>
      <c r="K245" s="311"/>
      <c r="L245" s="312"/>
      <c r="M245" s="313"/>
      <c r="N245" s="313"/>
      <c r="O245" s="310">
        <v>5.0</v>
      </c>
      <c r="P245" s="313"/>
      <c r="Q245" s="313"/>
      <c r="R245" s="313"/>
      <c r="S245" s="311"/>
      <c r="T245" s="312"/>
      <c r="U245" s="313"/>
      <c r="V245" s="313"/>
      <c r="W245" s="313"/>
    </row>
    <row r="246" ht="15.0" customHeight="1">
      <c r="A246" s="304" t="s">
        <v>567</v>
      </c>
      <c r="B246" s="308">
        <v>4.0</v>
      </c>
      <c r="C246" s="313"/>
      <c r="D246" s="313"/>
      <c r="E246" s="309">
        <v>4.0</v>
      </c>
      <c r="F246" s="311"/>
      <c r="G246" s="308">
        <v>4.0</v>
      </c>
      <c r="H246" s="313"/>
      <c r="I246" s="313"/>
      <c r="J246" s="309">
        <v>4.0</v>
      </c>
      <c r="K246" s="311"/>
      <c r="L246" s="312"/>
      <c r="M246" s="313"/>
      <c r="N246" s="313"/>
      <c r="O246" s="310">
        <v>4.0</v>
      </c>
      <c r="P246" s="313"/>
      <c r="Q246" s="313"/>
      <c r="R246" s="313"/>
      <c r="S246" s="311"/>
      <c r="T246" s="312"/>
      <c r="U246" s="313"/>
      <c r="V246" s="313"/>
      <c r="W246" s="313"/>
    </row>
    <row r="247" ht="15.0" customHeight="1">
      <c r="A247" s="304" t="s">
        <v>568</v>
      </c>
      <c r="B247" s="308">
        <v>2.0</v>
      </c>
      <c r="C247" s="313"/>
      <c r="D247" s="313"/>
      <c r="E247" s="309">
        <v>2.0</v>
      </c>
      <c r="F247" s="311"/>
      <c r="G247" s="308">
        <v>2.0</v>
      </c>
      <c r="H247" s="313"/>
      <c r="I247" s="313"/>
      <c r="J247" s="309">
        <v>2.0</v>
      </c>
      <c r="K247" s="311"/>
      <c r="L247" s="312"/>
      <c r="M247" s="313"/>
      <c r="N247" s="313"/>
      <c r="O247" s="310">
        <v>2.0</v>
      </c>
      <c r="P247" s="313"/>
      <c r="Q247" s="313"/>
      <c r="R247" s="313"/>
      <c r="S247" s="311"/>
      <c r="T247" s="312"/>
      <c r="U247" s="313"/>
      <c r="V247" s="313"/>
      <c r="W247" s="313"/>
    </row>
    <row r="248" ht="15.0" customHeight="1">
      <c r="A248" s="304" t="s">
        <v>569</v>
      </c>
      <c r="B248" s="308"/>
      <c r="C248" s="313"/>
      <c r="D248" s="313"/>
      <c r="E248" s="309">
        <v>1.0</v>
      </c>
      <c r="F248" s="311"/>
      <c r="G248" s="308">
        <v>3.0</v>
      </c>
      <c r="H248" s="309">
        <v>3.0</v>
      </c>
      <c r="I248" s="309">
        <v>3.0</v>
      </c>
      <c r="J248" s="309">
        <v>3.0</v>
      </c>
      <c r="K248" s="310">
        <v>3.0</v>
      </c>
      <c r="L248" s="312"/>
      <c r="M248" s="313"/>
      <c r="N248" s="313"/>
      <c r="O248" s="310">
        <v>3.0</v>
      </c>
      <c r="P248" s="313"/>
      <c r="Q248" s="313"/>
      <c r="R248" s="313"/>
      <c r="S248" s="311"/>
      <c r="T248" s="312"/>
      <c r="U248" s="313"/>
      <c r="V248" s="313"/>
      <c r="W248" s="313"/>
    </row>
    <row r="249" ht="15.0" customHeight="1">
      <c r="A249" s="304" t="s">
        <v>570</v>
      </c>
      <c r="B249" s="308"/>
      <c r="C249" s="313"/>
      <c r="D249" s="313"/>
      <c r="E249" s="309"/>
      <c r="F249" s="311"/>
      <c r="G249" s="308">
        <v>9.0</v>
      </c>
      <c r="H249" s="309">
        <v>9.0</v>
      </c>
      <c r="I249" s="309">
        <v>9.0</v>
      </c>
      <c r="J249" s="309">
        <v>9.0</v>
      </c>
      <c r="K249" s="310">
        <v>9.0</v>
      </c>
      <c r="L249" s="312"/>
      <c r="M249" s="313"/>
      <c r="N249" s="313"/>
      <c r="O249" s="310">
        <v>4.0</v>
      </c>
      <c r="P249" s="313"/>
      <c r="Q249" s="313"/>
      <c r="R249" s="313"/>
      <c r="S249" s="311"/>
      <c r="T249" s="312"/>
      <c r="U249" s="313"/>
      <c r="V249" s="313"/>
      <c r="W249" s="313"/>
    </row>
    <row r="250" ht="15.0" customHeight="1">
      <c r="A250" s="304" t="s">
        <v>571</v>
      </c>
      <c r="B250" s="308"/>
      <c r="C250" s="313"/>
      <c r="D250" s="313"/>
      <c r="E250" s="309"/>
      <c r="F250" s="311"/>
      <c r="G250" s="308">
        <v>9.0</v>
      </c>
      <c r="H250" s="309">
        <v>9.0</v>
      </c>
      <c r="I250" s="309">
        <v>9.0</v>
      </c>
      <c r="J250" s="309">
        <v>9.0</v>
      </c>
      <c r="K250" s="310">
        <v>9.0</v>
      </c>
      <c r="L250" s="312"/>
      <c r="M250" s="313"/>
      <c r="N250" s="313"/>
      <c r="O250" s="310">
        <v>4.0</v>
      </c>
      <c r="P250" s="313"/>
      <c r="Q250" s="313"/>
      <c r="R250" s="313"/>
      <c r="S250" s="311"/>
      <c r="T250" s="312"/>
      <c r="U250" s="313"/>
      <c r="V250" s="313"/>
      <c r="W250" s="313"/>
    </row>
    <row r="251" ht="15.0" customHeight="1">
      <c r="A251" s="304" t="s">
        <v>572</v>
      </c>
      <c r="B251" s="308"/>
      <c r="C251" s="313"/>
      <c r="D251" s="313"/>
      <c r="E251" s="309"/>
      <c r="F251" s="311"/>
      <c r="G251" s="308">
        <v>9.0</v>
      </c>
      <c r="H251" s="309">
        <v>9.0</v>
      </c>
      <c r="I251" s="309">
        <v>9.0</v>
      </c>
      <c r="J251" s="309">
        <v>9.0</v>
      </c>
      <c r="K251" s="310">
        <v>9.0</v>
      </c>
      <c r="L251" s="312"/>
      <c r="M251" s="313"/>
      <c r="N251" s="313"/>
      <c r="O251" s="311"/>
      <c r="P251" s="313"/>
      <c r="Q251" s="313"/>
      <c r="R251" s="313"/>
      <c r="S251" s="311"/>
      <c r="T251" s="312"/>
      <c r="U251" s="313"/>
      <c r="V251" s="313"/>
      <c r="W251" s="313"/>
    </row>
    <row r="252" ht="15.0" customHeight="1">
      <c r="A252" s="304" t="s">
        <v>573</v>
      </c>
      <c r="B252" s="308"/>
      <c r="C252" s="313"/>
      <c r="D252" s="313"/>
      <c r="E252" s="309"/>
      <c r="F252" s="311"/>
      <c r="G252" s="308">
        <v>9.0</v>
      </c>
      <c r="H252" s="309">
        <v>9.0</v>
      </c>
      <c r="I252" s="309">
        <v>9.0</v>
      </c>
      <c r="J252" s="309">
        <v>9.0</v>
      </c>
      <c r="K252" s="310">
        <v>9.0</v>
      </c>
      <c r="L252" s="312"/>
      <c r="M252" s="313"/>
      <c r="N252" s="313"/>
      <c r="O252" s="310">
        <v>5.0</v>
      </c>
      <c r="P252" s="313"/>
      <c r="Q252" s="313"/>
      <c r="R252" s="313"/>
      <c r="S252" s="311"/>
      <c r="T252" s="312"/>
      <c r="U252" s="313"/>
      <c r="V252" s="313"/>
      <c r="W252" s="313"/>
    </row>
    <row r="253" ht="15.0" customHeight="1">
      <c r="A253" s="304" t="s">
        <v>574</v>
      </c>
      <c r="B253" s="308"/>
      <c r="C253" s="313"/>
      <c r="D253" s="313"/>
      <c r="E253" s="309"/>
      <c r="F253" s="310">
        <v>2.0</v>
      </c>
      <c r="G253" s="312"/>
      <c r="H253" s="309"/>
      <c r="I253" s="313"/>
      <c r="J253" s="309">
        <v>2.0</v>
      </c>
      <c r="K253" s="311"/>
      <c r="L253" s="312"/>
      <c r="M253" s="313"/>
      <c r="N253" s="313"/>
      <c r="O253" s="311"/>
      <c r="P253" s="313"/>
      <c r="Q253" s="313"/>
      <c r="R253" s="313"/>
      <c r="S253" s="311"/>
      <c r="T253" s="312"/>
      <c r="U253" s="313"/>
      <c r="V253" s="313"/>
      <c r="W253" s="313"/>
    </row>
    <row r="254" ht="15.0" customHeight="1">
      <c r="A254" s="304" t="s">
        <v>575</v>
      </c>
      <c r="B254" s="308"/>
      <c r="C254" s="313"/>
      <c r="D254" s="313"/>
      <c r="E254" s="309"/>
      <c r="F254" s="310">
        <v>4.0</v>
      </c>
      <c r="G254" s="312"/>
      <c r="H254" s="309">
        <v>1.0</v>
      </c>
      <c r="I254" s="313"/>
      <c r="J254" s="309">
        <v>4.0</v>
      </c>
      <c r="K254" s="311"/>
      <c r="L254" s="312"/>
      <c r="M254" s="313"/>
      <c r="N254" s="313"/>
      <c r="O254" s="311"/>
      <c r="P254" s="313"/>
      <c r="Q254" s="313"/>
      <c r="R254" s="313"/>
      <c r="S254" s="311"/>
      <c r="T254" s="312"/>
      <c r="U254" s="313"/>
      <c r="V254" s="313"/>
      <c r="W254" s="313"/>
    </row>
    <row r="255" ht="15.0" customHeight="1">
      <c r="A255" s="304" t="s">
        <v>576</v>
      </c>
      <c r="B255" s="308"/>
      <c r="C255" s="313"/>
      <c r="D255" s="313"/>
      <c r="E255" s="309"/>
      <c r="F255" s="310">
        <v>8.0</v>
      </c>
      <c r="G255" s="308">
        <v>1.0</v>
      </c>
      <c r="H255" s="309">
        <v>1.0</v>
      </c>
      <c r="I255" s="309">
        <v>1.0</v>
      </c>
      <c r="J255" s="309">
        <v>8.0</v>
      </c>
      <c r="K255" s="310">
        <v>2.0</v>
      </c>
      <c r="L255" s="312"/>
      <c r="M255" s="309">
        <v>2.0</v>
      </c>
      <c r="N255" s="313"/>
      <c r="O255" s="311"/>
      <c r="P255" s="313"/>
      <c r="Q255" s="313"/>
      <c r="R255" s="313"/>
      <c r="S255" s="311"/>
      <c r="T255" s="312"/>
      <c r="U255" s="313"/>
      <c r="V255" s="313"/>
      <c r="W255" s="313"/>
    </row>
    <row r="256" ht="15.0" customHeight="1">
      <c r="A256" s="304" t="s">
        <v>577</v>
      </c>
      <c r="B256" s="308"/>
      <c r="C256" s="313"/>
      <c r="D256" s="313"/>
      <c r="E256" s="309">
        <v>10.0</v>
      </c>
      <c r="F256" s="311"/>
      <c r="G256" s="308">
        <v>1.0</v>
      </c>
      <c r="H256" s="309">
        <v>1.0</v>
      </c>
      <c r="I256" s="309">
        <v>2.0</v>
      </c>
      <c r="J256" s="309">
        <v>10.0</v>
      </c>
      <c r="K256" s="311"/>
      <c r="L256" s="312"/>
      <c r="M256" s="313"/>
      <c r="N256" s="313"/>
      <c r="O256" s="311"/>
      <c r="P256" s="313"/>
      <c r="Q256" s="313"/>
      <c r="R256" s="313"/>
      <c r="S256" s="311"/>
      <c r="T256" s="312"/>
      <c r="U256" s="313"/>
      <c r="V256" s="313"/>
      <c r="W256" s="313"/>
    </row>
    <row r="257" ht="15.0" customHeight="1">
      <c r="A257" s="304" t="s">
        <v>83</v>
      </c>
      <c r="B257" s="308"/>
      <c r="C257" s="313"/>
      <c r="D257" s="313"/>
      <c r="E257" s="309">
        <v>15.0</v>
      </c>
      <c r="F257" s="311"/>
      <c r="G257" s="308">
        <v>3.0</v>
      </c>
      <c r="H257" s="309">
        <v>3.0</v>
      </c>
      <c r="I257" s="309">
        <v>3.0</v>
      </c>
      <c r="J257" s="309">
        <v>15.0</v>
      </c>
      <c r="K257" s="311"/>
      <c r="L257" s="312"/>
      <c r="M257" s="313"/>
      <c r="N257" s="309">
        <v>0.02</v>
      </c>
      <c r="O257" s="311"/>
      <c r="P257" s="313"/>
      <c r="Q257" s="313"/>
      <c r="R257" s="313"/>
      <c r="S257" s="311"/>
      <c r="T257" s="312"/>
      <c r="U257" s="313"/>
      <c r="V257" s="313"/>
      <c r="W257" s="313"/>
    </row>
    <row r="258" ht="15.0" customHeight="1">
      <c r="A258" s="304" t="s">
        <v>578</v>
      </c>
      <c r="B258" s="308"/>
      <c r="C258" s="313"/>
      <c r="D258" s="313"/>
      <c r="E258" s="309">
        <v>10.0</v>
      </c>
      <c r="F258" s="311"/>
      <c r="G258" s="308">
        <v>1.0</v>
      </c>
      <c r="H258" s="309">
        <v>1.0</v>
      </c>
      <c r="I258" s="309">
        <v>2.0</v>
      </c>
      <c r="J258" s="309">
        <v>10.0</v>
      </c>
      <c r="K258" s="311"/>
      <c r="L258" s="312"/>
      <c r="M258" s="313"/>
      <c r="N258" s="313"/>
      <c r="O258" s="311"/>
      <c r="P258" s="313"/>
      <c r="Q258" s="313"/>
      <c r="R258" s="313"/>
      <c r="S258" s="311"/>
      <c r="T258" s="312"/>
      <c r="U258" s="313"/>
      <c r="V258" s="313"/>
      <c r="W258" s="313"/>
    </row>
    <row r="259" ht="15.0" customHeight="1">
      <c r="A259" s="304" t="s">
        <v>579</v>
      </c>
      <c r="B259" s="308"/>
      <c r="C259" s="313"/>
      <c r="D259" s="313"/>
      <c r="E259" s="309">
        <v>10.0</v>
      </c>
      <c r="F259" s="311"/>
      <c r="G259" s="308">
        <v>1.0</v>
      </c>
      <c r="H259" s="309">
        <v>1.0</v>
      </c>
      <c r="I259" s="309">
        <v>2.0</v>
      </c>
      <c r="J259" s="309">
        <v>10.0</v>
      </c>
      <c r="K259" s="311"/>
      <c r="L259" s="312"/>
      <c r="M259" s="313"/>
      <c r="N259" s="313"/>
      <c r="O259" s="311"/>
      <c r="P259" s="313"/>
      <c r="Q259" s="313"/>
      <c r="R259" s="313"/>
      <c r="S259" s="311"/>
      <c r="T259" s="312"/>
      <c r="U259" s="313"/>
      <c r="V259" s="313"/>
      <c r="W259" s="313"/>
    </row>
    <row r="260" ht="15.0" customHeight="1">
      <c r="A260" s="304" t="s">
        <v>580</v>
      </c>
      <c r="B260" s="308"/>
      <c r="C260" s="313"/>
      <c r="D260" s="313"/>
      <c r="E260" s="309">
        <v>10.0</v>
      </c>
      <c r="F260" s="311"/>
      <c r="G260" s="308">
        <v>1.0</v>
      </c>
      <c r="H260" s="309">
        <v>1.0</v>
      </c>
      <c r="I260" s="309">
        <v>2.0</v>
      </c>
      <c r="J260" s="309">
        <v>10.0</v>
      </c>
      <c r="K260" s="311"/>
      <c r="L260" s="312"/>
      <c r="M260" s="313"/>
      <c r="N260" s="313"/>
      <c r="O260" s="311"/>
      <c r="P260" s="313"/>
      <c r="Q260" s="313"/>
      <c r="R260" s="313"/>
      <c r="S260" s="311"/>
      <c r="T260" s="312"/>
      <c r="U260" s="313"/>
      <c r="V260" s="313"/>
      <c r="W260" s="313"/>
    </row>
    <row r="261" ht="15.0" customHeight="1">
      <c r="A261" s="304" t="s">
        <v>581</v>
      </c>
      <c r="B261" s="308"/>
      <c r="C261" s="309"/>
      <c r="D261" s="309"/>
      <c r="E261" s="309"/>
      <c r="F261" s="310"/>
      <c r="G261" s="308"/>
      <c r="H261" s="309">
        <v>1.0</v>
      </c>
      <c r="I261" s="309">
        <v>1.0</v>
      </c>
      <c r="J261" s="309"/>
      <c r="K261" s="310">
        <v>2.0</v>
      </c>
      <c r="L261" s="312"/>
      <c r="M261" s="313"/>
      <c r="N261" s="313"/>
      <c r="O261" s="311"/>
      <c r="P261" s="313"/>
      <c r="Q261" s="313"/>
      <c r="R261" s="313"/>
      <c r="S261" s="311"/>
      <c r="T261" s="312"/>
      <c r="U261" s="313"/>
      <c r="V261" s="313"/>
      <c r="W261" s="313"/>
    </row>
    <row r="262" ht="15.0" customHeight="1">
      <c r="A262" s="304"/>
      <c r="B262" s="308"/>
      <c r="C262" s="309"/>
      <c r="D262" s="309"/>
      <c r="E262" s="313"/>
      <c r="F262" s="311"/>
      <c r="G262" s="312"/>
      <c r="H262" s="313"/>
      <c r="I262" s="313"/>
      <c r="J262" s="313"/>
      <c r="K262" s="311"/>
      <c r="L262" s="308"/>
      <c r="M262" s="313"/>
      <c r="N262" s="313"/>
      <c r="O262" s="311"/>
      <c r="P262" s="313"/>
      <c r="Q262" s="313"/>
      <c r="R262" s="313"/>
      <c r="S262" s="311"/>
      <c r="T262" s="312"/>
      <c r="U262" s="313"/>
      <c r="V262" s="313"/>
      <c r="W262" s="313"/>
    </row>
    <row r="263" ht="15.0" customHeight="1">
      <c r="A263" s="331"/>
      <c r="B263" s="332"/>
      <c r="C263" s="333"/>
      <c r="D263" s="333"/>
      <c r="E263" s="338"/>
      <c r="F263" s="335"/>
      <c r="G263" s="336"/>
      <c r="H263" s="338"/>
      <c r="I263" s="338"/>
      <c r="J263" s="338"/>
      <c r="K263" s="335"/>
      <c r="L263" s="332"/>
      <c r="M263" s="338"/>
      <c r="N263" s="338"/>
      <c r="O263" s="335"/>
      <c r="P263" s="338"/>
      <c r="Q263" s="338"/>
      <c r="R263" s="338"/>
      <c r="S263" s="335"/>
      <c r="T263" s="336"/>
      <c r="U263" s="338"/>
      <c r="V263" s="338"/>
      <c r="W263" s="338"/>
    </row>
    <row r="264" ht="15.0" customHeight="1">
      <c r="A264" s="337"/>
      <c r="B264" s="308"/>
      <c r="C264" s="309"/>
      <c r="D264" s="309"/>
      <c r="E264" s="313"/>
      <c r="F264" s="311"/>
      <c r="G264" s="312"/>
      <c r="H264" s="313"/>
      <c r="I264" s="313"/>
      <c r="J264" s="313"/>
      <c r="K264" s="311"/>
      <c r="L264" s="308"/>
      <c r="M264" s="313"/>
      <c r="N264" s="313"/>
      <c r="O264" s="311"/>
      <c r="P264" s="313"/>
      <c r="Q264" s="313"/>
      <c r="R264" s="313"/>
      <c r="S264" s="311"/>
      <c r="T264" s="312"/>
      <c r="U264" s="313"/>
      <c r="V264" s="313"/>
      <c r="W264" s="313"/>
    </row>
    <row r="265" ht="15.0" customHeight="1">
      <c r="A265" s="304" t="s">
        <v>273</v>
      </c>
      <c r="B265" s="308"/>
      <c r="C265" s="309"/>
      <c r="D265" s="309"/>
      <c r="E265" s="309"/>
      <c r="F265" s="310"/>
      <c r="G265" s="308"/>
      <c r="H265" s="309"/>
      <c r="I265" s="309"/>
      <c r="J265" s="309"/>
      <c r="K265" s="310"/>
      <c r="L265" s="308"/>
      <c r="M265" s="313"/>
      <c r="N265" s="313"/>
      <c r="O265" s="310"/>
      <c r="P265" s="313"/>
      <c r="Q265" s="313"/>
      <c r="R265" s="313"/>
      <c r="S265" s="311"/>
      <c r="T265" s="312"/>
      <c r="U265" s="313"/>
      <c r="V265" s="313"/>
      <c r="W265" s="313"/>
    </row>
    <row r="266" ht="15.0" customHeight="1">
      <c r="A266" s="304" t="s">
        <v>582</v>
      </c>
      <c r="B266" s="308">
        <v>10.0</v>
      </c>
      <c r="C266" s="309">
        <v>10.0</v>
      </c>
      <c r="D266" s="309">
        <v>10.0</v>
      </c>
      <c r="E266" s="309">
        <v>10.0</v>
      </c>
      <c r="F266" s="310">
        <v>10.0</v>
      </c>
      <c r="G266" s="308">
        <v>15.0</v>
      </c>
      <c r="H266" s="309">
        <v>15.0</v>
      </c>
      <c r="I266" s="309">
        <v>15.0</v>
      </c>
      <c r="J266" s="309">
        <v>15.0</v>
      </c>
      <c r="K266" s="310">
        <v>15.0</v>
      </c>
      <c r="L266" s="308">
        <v>8.0</v>
      </c>
      <c r="M266" s="313"/>
      <c r="N266" s="313"/>
      <c r="O266" s="310">
        <v>5.0</v>
      </c>
      <c r="P266" s="313"/>
      <c r="Q266" s="313"/>
      <c r="R266" s="313"/>
      <c r="S266" s="311"/>
      <c r="T266" s="312"/>
      <c r="U266" s="313"/>
      <c r="V266" s="313"/>
      <c r="W266" s="313"/>
    </row>
    <row r="267" ht="15.0" customHeight="1">
      <c r="A267" s="339" t="s">
        <v>583</v>
      </c>
      <c r="B267" s="308">
        <v>15.0</v>
      </c>
      <c r="C267" s="309">
        <v>15.0</v>
      </c>
      <c r="D267" s="309">
        <v>15.0</v>
      </c>
      <c r="E267" s="309"/>
      <c r="F267" s="310"/>
      <c r="G267" s="308"/>
      <c r="H267" s="309"/>
      <c r="I267" s="309"/>
      <c r="J267" s="309"/>
      <c r="K267" s="310"/>
      <c r="L267" s="308">
        <v>10.0</v>
      </c>
      <c r="M267" s="309"/>
      <c r="N267" s="313"/>
      <c r="O267" s="310">
        <v>2.0</v>
      </c>
      <c r="P267" s="313"/>
      <c r="Q267" s="313"/>
      <c r="R267" s="313"/>
      <c r="S267" s="311"/>
      <c r="T267" s="312"/>
      <c r="U267" s="313"/>
      <c r="V267" s="313"/>
      <c r="W267" s="313"/>
    </row>
    <row r="268" ht="15.0" customHeight="1">
      <c r="A268" s="339" t="s">
        <v>584</v>
      </c>
      <c r="B268" s="308"/>
      <c r="C268" s="309"/>
      <c r="D268" s="309"/>
      <c r="E268" s="309"/>
      <c r="F268" s="310">
        <v>15.0</v>
      </c>
      <c r="G268" s="308"/>
      <c r="H268" s="309"/>
      <c r="I268" s="309"/>
      <c r="J268" s="309"/>
      <c r="K268" s="310"/>
      <c r="L268" s="308"/>
      <c r="M268" s="309">
        <v>5.0</v>
      </c>
      <c r="N268" s="313"/>
      <c r="O268" s="310">
        <v>2.0</v>
      </c>
      <c r="P268" s="313"/>
      <c r="Q268" s="313"/>
      <c r="R268" s="313"/>
      <c r="S268" s="311"/>
      <c r="T268" s="312"/>
      <c r="U268" s="313"/>
      <c r="V268" s="313"/>
      <c r="W268" s="313"/>
    </row>
    <row r="269" ht="15.0" customHeight="1">
      <c r="A269" s="339" t="s">
        <v>585</v>
      </c>
      <c r="B269" s="308">
        <v>10.0</v>
      </c>
      <c r="C269" s="309">
        <v>10.0</v>
      </c>
      <c r="D269" s="309">
        <v>10.0</v>
      </c>
      <c r="E269" s="309">
        <v>10.0</v>
      </c>
      <c r="F269" s="310">
        <v>10.0</v>
      </c>
      <c r="G269" s="308">
        <v>3.0</v>
      </c>
      <c r="H269" s="309">
        <v>3.0</v>
      </c>
      <c r="I269" s="309">
        <v>3.0</v>
      </c>
      <c r="J269" s="309">
        <v>3.0</v>
      </c>
      <c r="K269" s="310">
        <v>3.0</v>
      </c>
      <c r="L269" s="308">
        <v>6.0</v>
      </c>
      <c r="M269" s="309"/>
      <c r="N269" s="313"/>
      <c r="O269" s="310">
        <v>3.0</v>
      </c>
      <c r="P269" s="313"/>
      <c r="Q269" s="313"/>
      <c r="R269" s="313"/>
      <c r="S269" s="311"/>
      <c r="T269" s="312"/>
      <c r="U269" s="313"/>
      <c r="V269" s="313"/>
      <c r="W269" s="313"/>
    </row>
    <row r="270" ht="15.0" customHeight="1">
      <c r="A270" s="304" t="s">
        <v>586</v>
      </c>
      <c r="B270" s="312"/>
      <c r="C270" s="313"/>
      <c r="D270" s="313"/>
      <c r="E270" s="313"/>
      <c r="F270" s="311"/>
      <c r="G270" s="312"/>
      <c r="H270" s="313"/>
      <c r="I270" s="313"/>
      <c r="J270" s="313"/>
      <c r="K270" s="311"/>
      <c r="L270" s="308">
        <v>10.0</v>
      </c>
      <c r="M270" s="313"/>
      <c r="N270" s="313"/>
      <c r="O270" s="311"/>
      <c r="P270" s="313"/>
      <c r="Q270" s="313"/>
      <c r="R270" s="313"/>
      <c r="S270" s="311"/>
      <c r="T270" s="312"/>
      <c r="U270" s="313"/>
      <c r="V270" s="313"/>
      <c r="W270" s="313"/>
    </row>
    <row r="271" ht="15.0" customHeight="1">
      <c r="A271" s="304" t="s">
        <v>587</v>
      </c>
      <c r="B271" s="308">
        <v>10.0</v>
      </c>
      <c r="C271" s="309">
        <v>10.0</v>
      </c>
      <c r="D271" s="309">
        <v>10.0</v>
      </c>
      <c r="E271" s="309">
        <v>10.0</v>
      </c>
      <c r="F271" s="310">
        <v>10.0</v>
      </c>
      <c r="G271" s="308">
        <v>3.0</v>
      </c>
      <c r="H271" s="309">
        <v>3.0</v>
      </c>
      <c r="I271" s="309">
        <v>3.0</v>
      </c>
      <c r="J271" s="309">
        <v>3.0</v>
      </c>
      <c r="K271" s="310">
        <v>3.0</v>
      </c>
      <c r="L271" s="308">
        <v>6.0</v>
      </c>
      <c r="M271" s="313"/>
      <c r="N271" s="313"/>
      <c r="O271" s="310">
        <v>3.0</v>
      </c>
      <c r="P271" s="313"/>
      <c r="Q271" s="313"/>
      <c r="R271" s="313"/>
      <c r="S271" s="311"/>
      <c r="T271" s="312"/>
      <c r="U271" s="313"/>
      <c r="V271" s="313"/>
      <c r="W271" s="313"/>
    </row>
    <row r="272" ht="15.0" customHeight="1">
      <c r="A272" s="304" t="s">
        <v>588</v>
      </c>
      <c r="B272" s="308">
        <v>6.0</v>
      </c>
      <c r="C272" s="309">
        <v>6.0</v>
      </c>
      <c r="D272" s="309">
        <v>6.0</v>
      </c>
      <c r="E272" s="309">
        <v>6.0</v>
      </c>
      <c r="F272" s="310">
        <v>6.0</v>
      </c>
      <c r="G272" s="308">
        <v>6.0</v>
      </c>
      <c r="H272" s="309">
        <v>6.0</v>
      </c>
      <c r="I272" s="309">
        <v>6.0</v>
      </c>
      <c r="J272" s="309">
        <v>6.0</v>
      </c>
      <c r="K272" s="310">
        <v>6.0</v>
      </c>
      <c r="L272" s="308">
        <v>6.0</v>
      </c>
      <c r="M272" s="313"/>
      <c r="N272" s="313"/>
      <c r="O272" s="310">
        <v>1.0</v>
      </c>
      <c r="P272" s="313"/>
      <c r="Q272" s="313"/>
      <c r="R272" s="313"/>
      <c r="S272" s="311"/>
      <c r="T272" s="312"/>
      <c r="U272" s="313"/>
      <c r="V272" s="313"/>
      <c r="W272" s="313"/>
    </row>
    <row r="273" ht="15.0" customHeight="1">
      <c r="A273" s="304" t="s">
        <v>589</v>
      </c>
      <c r="B273" s="308"/>
      <c r="C273" s="309"/>
      <c r="D273" s="309"/>
      <c r="E273" s="309"/>
      <c r="F273" s="310"/>
      <c r="G273" s="308">
        <v>3.0</v>
      </c>
      <c r="H273" s="309">
        <v>3.0</v>
      </c>
      <c r="I273" s="309">
        <v>3.0</v>
      </c>
      <c r="J273" s="313"/>
      <c r="K273" s="311"/>
      <c r="L273" s="308"/>
      <c r="M273" s="313"/>
      <c r="N273" s="313"/>
      <c r="O273" s="310">
        <v>3.0</v>
      </c>
      <c r="P273" s="313"/>
      <c r="Q273" s="313"/>
      <c r="R273" s="313"/>
      <c r="S273" s="311"/>
      <c r="T273" s="312"/>
      <c r="U273" s="313"/>
      <c r="V273" s="313"/>
      <c r="W273" s="313"/>
    </row>
    <row r="274" ht="15.0" customHeight="1">
      <c r="A274" s="304" t="s">
        <v>590</v>
      </c>
      <c r="B274" s="308"/>
      <c r="C274" s="309"/>
      <c r="D274" s="309"/>
      <c r="E274" s="309"/>
      <c r="F274" s="310"/>
      <c r="G274" s="308">
        <v>3.0</v>
      </c>
      <c r="H274" s="309">
        <v>3.0</v>
      </c>
      <c r="I274" s="309">
        <v>3.0</v>
      </c>
      <c r="J274" s="313"/>
      <c r="K274" s="311"/>
      <c r="L274" s="308"/>
      <c r="M274" s="313"/>
      <c r="N274" s="313"/>
      <c r="O274" s="310">
        <v>3.0</v>
      </c>
      <c r="P274" s="313"/>
      <c r="Q274" s="313"/>
      <c r="R274" s="313"/>
      <c r="S274" s="311"/>
      <c r="T274" s="312"/>
      <c r="U274" s="313"/>
      <c r="V274" s="313"/>
      <c r="W274" s="313"/>
    </row>
    <row r="275" ht="15.0" customHeight="1">
      <c r="A275" s="304" t="s">
        <v>591</v>
      </c>
      <c r="B275" s="308">
        <v>-10.0</v>
      </c>
      <c r="C275" s="309">
        <v>-10.0</v>
      </c>
      <c r="D275" s="309">
        <v>-10.0</v>
      </c>
      <c r="E275" s="309"/>
      <c r="F275" s="310"/>
      <c r="G275" s="308">
        <v>-20.0</v>
      </c>
      <c r="H275" s="309">
        <v>-20.0</v>
      </c>
      <c r="I275" s="309">
        <v>-20.0</v>
      </c>
      <c r="J275" s="309">
        <v>-20.0</v>
      </c>
      <c r="K275" s="310">
        <v>-20.0</v>
      </c>
      <c r="L275" s="308">
        <v>7.0</v>
      </c>
      <c r="M275" s="313"/>
      <c r="N275" s="313"/>
      <c r="O275" s="310">
        <v>3.0</v>
      </c>
      <c r="P275" s="313"/>
      <c r="Q275" s="309"/>
      <c r="R275" s="309"/>
      <c r="S275" s="311"/>
      <c r="T275" s="312"/>
      <c r="U275" s="313"/>
      <c r="V275" s="313"/>
      <c r="W275" s="313"/>
    </row>
    <row r="276" ht="15.0" customHeight="1">
      <c r="A276" s="304" t="s">
        <v>592</v>
      </c>
      <c r="B276" s="308">
        <v>10.0</v>
      </c>
      <c r="C276" s="309">
        <v>10.0</v>
      </c>
      <c r="D276" s="309">
        <v>10.0</v>
      </c>
      <c r="E276" s="309">
        <v>10.0</v>
      </c>
      <c r="F276" s="310">
        <v>10.0</v>
      </c>
      <c r="G276" s="308">
        <v>3.0</v>
      </c>
      <c r="H276" s="309">
        <v>3.0</v>
      </c>
      <c r="I276" s="309">
        <v>3.0</v>
      </c>
      <c r="J276" s="309">
        <v>3.0</v>
      </c>
      <c r="K276" s="310">
        <v>3.0</v>
      </c>
      <c r="L276" s="308">
        <v>6.0</v>
      </c>
      <c r="M276" s="313"/>
      <c r="N276" s="313"/>
      <c r="O276" s="310">
        <v>3.0</v>
      </c>
      <c r="P276" s="313"/>
      <c r="Q276" s="313"/>
      <c r="R276" s="313"/>
      <c r="S276" s="311"/>
      <c r="T276" s="312"/>
      <c r="U276" s="313"/>
      <c r="V276" s="313"/>
      <c r="W276" s="313"/>
    </row>
    <row r="277" ht="15.0" customHeight="1">
      <c r="A277" s="304" t="s">
        <v>87</v>
      </c>
      <c r="B277" s="308"/>
      <c r="C277" s="309"/>
      <c r="D277" s="309"/>
      <c r="E277" s="309">
        <v>12.0</v>
      </c>
      <c r="F277" s="310"/>
      <c r="G277" s="308"/>
      <c r="H277" s="309"/>
      <c r="I277" s="309"/>
      <c r="J277" s="309"/>
      <c r="K277" s="310"/>
      <c r="L277" s="308"/>
      <c r="M277" s="313"/>
      <c r="N277" s="309">
        <v>0.1</v>
      </c>
      <c r="O277" s="310">
        <v>2.0</v>
      </c>
      <c r="P277" s="313"/>
      <c r="Q277" s="313"/>
      <c r="R277" s="313"/>
      <c r="S277" s="311"/>
      <c r="T277" s="312"/>
      <c r="U277" s="313"/>
      <c r="V277" s="313"/>
      <c r="W277" s="313"/>
    </row>
    <row r="278" ht="15.0" customHeight="1">
      <c r="A278" s="304" t="s">
        <v>593</v>
      </c>
      <c r="B278" s="308">
        <v>4.0</v>
      </c>
      <c r="C278" s="309">
        <v>4.0</v>
      </c>
      <c r="D278" s="309">
        <v>4.0</v>
      </c>
      <c r="E278" s="309">
        <v>4.0</v>
      </c>
      <c r="F278" s="310">
        <v>4.0</v>
      </c>
      <c r="G278" s="308"/>
      <c r="H278" s="309"/>
      <c r="I278" s="309"/>
      <c r="J278" s="309"/>
      <c r="K278" s="310"/>
      <c r="L278" s="308"/>
      <c r="M278" s="313"/>
      <c r="N278" s="313"/>
      <c r="O278" s="310"/>
      <c r="P278" s="313"/>
      <c r="Q278" s="313"/>
      <c r="R278" s="313"/>
      <c r="S278" s="311"/>
      <c r="T278" s="312"/>
      <c r="U278" s="313"/>
      <c r="V278" s="313"/>
      <c r="W278" s="313"/>
    </row>
    <row r="279" ht="15.0" customHeight="1">
      <c r="A279" s="304" t="s">
        <v>594</v>
      </c>
      <c r="B279" s="308">
        <v>0.0</v>
      </c>
      <c r="C279" s="309">
        <v>0.0</v>
      </c>
      <c r="D279" s="309">
        <v>0.0</v>
      </c>
      <c r="E279" s="309">
        <v>0.0</v>
      </c>
      <c r="F279" s="310">
        <v>0.0</v>
      </c>
      <c r="G279" s="308">
        <v>0.0</v>
      </c>
      <c r="H279" s="309">
        <v>0.0</v>
      </c>
      <c r="I279" s="309">
        <v>0.0</v>
      </c>
      <c r="J279" s="309">
        <v>0.0</v>
      </c>
      <c r="K279" s="310">
        <v>0.0</v>
      </c>
      <c r="L279" s="308"/>
      <c r="M279" s="313"/>
      <c r="N279" s="313"/>
      <c r="O279" s="310">
        <v>12.0</v>
      </c>
      <c r="P279" s="313"/>
      <c r="Q279" s="313"/>
      <c r="R279" s="313"/>
      <c r="S279" s="311"/>
      <c r="T279" s="312"/>
      <c r="U279" s="313"/>
      <c r="V279" s="313"/>
      <c r="W279" s="313"/>
    </row>
    <row r="280" ht="15.0" customHeight="1">
      <c r="A280" s="304" t="s">
        <v>595</v>
      </c>
      <c r="B280" s="308">
        <v>0.0</v>
      </c>
      <c r="C280" s="309">
        <v>0.0</v>
      </c>
      <c r="D280" s="309">
        <v>0.0</v>
      </c>
      <c r="E280" s="309">
        <v>0.0</v>
      </c>
      <c r="F280" s="310">
        <v>0.0</v>
      </c>
      <c r="G280" s="308">
        <v>0.0</v>
      </c>
      <c r="H280" s="309">
        <v>0.0</v>
      </c>
      <c r="I280" s="309">
        <v>0.0</v>
      </c>
      <c r="J280" s="309">
        <v>0.0</v>
      </c>
      <c r="K280" s="310">
        <v>0.0</v>
      </c>
      <c r="L280" s="308"/>
      <c r="M280" s="313"/>
      <c r="N280" s="313"/>
      <c r="O280" s="310">
        <v>12.0</v>
      </c>
      <c r="P280" s="313"/>
      <c r="Q280" s="313"/>
      <c r="R280" s="313"/>
      <c r="S280" s="311"/>
      <c r="T280" s="312"/>
      <c r="U280" s="313"/>
      <c r="V280" s="313"/>
      <c r="W280" s="313"/>
    </row>
    <row r="281" ht="15.0" customHeight="1">
      <c r="A281" s="304" t="s">
        <v>596</v>
      </c>
      <c r="B281" s="308"/>
      <c r="C281" s="309"/>
      <c r="D281" s="309"/>
      <c r="E281" s="309">
        <v>15.0</v>
      </c>
      <c r="F281" s="310"/>
      <c r="G281" s="308"/>
      <c r="H281" s="309"/>
      <c r="I281" s="309"/>
      <c r="J281" s="309">
        <v>10.0</v>
      </c>
      <c r="K281" s="310"/>
      <c r="L281" s="308"/>
      <c r="M281" s="313"/>
      <c r="N281" s="313"/>
      <c r="O281" s="310"/>
      <c r="P281" s="313"/>
      <c r="Q281" s="313"/>
      <c r="R281" s="313"/>
      <c r="S281" s="311"/>
      <c r="T281" s="312"/>
      <c r="U281" s="313"/>
      <c r="V281" s="313"/>
      <c r="W281" s="313"/>
    </row>
    <row r="282" ht="15.0" customHeight="1">
      <c r="A282" s="304"/>
      <c r="B282" s="312"/>
      <c r="C282" s="313"/>
      <c r="D282" s="313"/>
      <c r="E282" s="313"/>
      <c r="F282" s="311"/>
      <c r="G282" s="312"/>
      <c r="H282" s="313"/>
      <c r="I282" s="313"/>
      <c r="J282" s="313"/>
      <c r="K282" s="311"/>
      <c r="L282" s="308"/>
      <c r="M282" s="313"/>
      <c r="N282" s="313"/>
      <c r="O282" s="311"/>
      <c r="P282" s="313"/>
      <c r="Q282" s="313"/>
      <c r="R282" s="313"/>
      <c r="S282" s="311"/>
      <c r="T282" s="312"/>
      <c r="U282" s="313"/>
      <c r="V282" s="313"/>
      <c r="W282" s="313"/>
    </row>
    <row r="283" ht="15.0" customHeight="1">
      <c r="A283" s="331"/>
      <c r="B283" s="336"/>
      <c r="C283" s="338"/>
      <c r="D283" s="338"/>
      <c r="E283" s="338"/>
      <c r="F283" s="335"/>
      <c r="G283" s="336"/>
      <c r="H283" s="338"/>
      <c r="I283" s="338"/>
      <c r="J283" s="338"/>
      <c r="K283" s="335"/>
      <c r="L283" s="332"/>
      <c r="M283" s="338"/>
      <c r="N283" s="338"/>
      <c r="O283" s="335"/>
      <c r="P283" s="338"/>
      <c r="Q283" s="338"/>
      <c r="R283" s="338"/>
      <c r="S283" s="335"/>
      <c r="T283" s="336"/>
      <c r="U283" s="338"/>
      <c r="V283" s="338"/>
      <c r="W283" s="338"/>
    </row>
    <row r="284" ht="15.0" customHeight="1">
      <c r="A284" s="337"/>
      <c r="B284" s="312"/>
      <c r="C284" s="313"/>
      <c r="D284" s="313"/>
      <c r="E284" s="313"/>
      <c r="F284" s="311"/>
      <c r="G284" s="312"/>
      <c r="H284" s="313"/>
      <c r="I284" s="313"/>
      <c r="J284" s="313"/>
      <c r="K284" s="311"/>
      <c r="L284" s="308"/>
      <c r="M284" s="313"/>
      <c r="N284" s="313"/>
      <c r="O284" s="311"/>
      <c r="P284" s="313"/>
      <c r="Q284" s="313"/>
      <c r="R284" s="313"/>
      <c r="S284" s="311"/>
      <c r="T284" s="312"/>
      <c r="U284" s="313"/>
      <c r="V284" s="313"/>
      <c r="W284" s="313"/>
    </row>
    <row r="285" ht="15.0" customHeight="1">
      <c r="A285" s="304" t="s">
        <v>273</v>
      </c>
      <c r="B285" s="312"/>
      <c r="C285" s="313"/>
      <c r="D285" s="313"/>
      <c r="E285" s="309"/>
      <c r="F285" s="310"/>
      <c r="G285" s="308"/>
      <c r="H285" s="309"/>
      <c r="I285" s="309"/>
      <c r="J285" s="309"/>
      <c r="K285" s="310"/>
      <c r="L285" s="308"/>
      <c r="M285" s="313"/>
      <c r="N285" s="313"/>
      <c r="O285" s="310"/>
      <c r="P285" s="313"/>
      <c r="Q285" s="313"/>
      <c r="R285" s="313"/>
      <c r="S285" s="311"/>
      <c r="T285" s="312"/>
      <c r="U285" s="313"/>
      <c r="V285" s="313"/>
      <c r="W285" s="313"/>
    </row>
    <row r="286" ht="15.0" customHeight="1">
      <c r="A286" s="304" t="s">
        <v>597</v>
      </c>
      <c r="B286" s="308">
        <v>-3.0</v>
      </c>
      <c r="C286" s="309">
        <v>-3.0</v>
      </c>
      <c r="D286" s="309">
        <v>12.0</v>
      </c>
      <c r="E286" s="309">
        <v>-11.0</v>
      </c>
      <c r="F286" s="310">
        <v>-10.0</v>
      </c>
      <c r="G286" s="308">
        <v>67.0</v>
      </c>
      <c r="H286" s="309">
        <v>55.0</v>
      </c>
      <c r="I286" s="309">
        <v>71.0</v>
      </c>
      <c r="J286" s="309"/>
      <c r="K286" s="310">
        <v>35.0</v>
      </c>
      <c r="L286" s="308">
        <v>4.0</v>
      </c>
      <c r="M286" s="313"/>
      <c r="N286" s="313"/>
      <c r="O286" s="310">
        <v>2.0</v>
      </c>
      <c r="P286" s="313"/>
      <c r="Q286" s="313"/>
      <c r="R286" s="313"/>
      <c r="S286" s="311"/>
      <c r="T286" s="312"/>
      <c r="U286" s="313"/>
      <c r="V286" s="313"/>
      <c r="W286" s="313"/>
    </row>
    <row r="287" ht="15.0" customHeight="1">
      <c r="A287" s="304" t="s">
        <v>598</v>
      </c>
      <c r="B287" s="312"/>
      <c r="C287" s="313"/>
      <c r="D287" s="313"/>
      <c r="E287" s="309">
        <v>-15.0</v>
      </c>
      <c r="F287" s="310">
        <v>-10.0</v>
      </c>
      <c r="G287" s="308">
        <v>98.0</v>
      </c>
      <c r="H287" s="309">
        <v>93.0</v>
      </c>
      <c r="I287" s="309">
        <v>105.0</v>
      </c>
      <c r="J287" s="309">
        <v>-6.0</v>
      </c>
      <c r="K287" s="310">
        <v>133.0</v>
      </c>
      <c r="L287" s="308">
        <v>4.0</v>
      </c>
      <c r="M287" s="313"/>
      <c r="N287" s="313"/>
      <c r="O287" s="310">
        <v>1.0</v>
      </c>
      <c r="P287" s="313"/>
      <c r="Q287" s="313"/>
      <c r="R287" s="313"/>
      <c r="S287" s="311"/>
      <c r="T287" s="312"/>
      <c r="U287" s="313"/>
      <c r="V287" s="313"/>
      <c r="W287" s="313"/>
    </row>
    <row r="288" ht="15.0" customHeight="1">
      <c r="A288" s="304" t="s">
        <v>599</v>
      </c>
      <c r="B288" s="312"/>
      <c r="C288" s="313"/>
      <c r="D288" s="313"/>
      <c r="E288" s="309">
        <v>-40.0</v>
      </c>
      <c r="F288" s="311"/>
      <c r="G288" s="308">
        <v>62.0</v>
      </c>
      <c r="H288" s="309">
        <v>85.0</v>
      </c>
      <c r="I288" s="309">
        <v>62.0</v>
      </c>
      <c r="J288" s="309">
        <v>-10.0</v>
      </c>
      <c r="K288" s="310">
        <v>67.0</v>
      </c>
      <c r="L288" s="308">
        <v>4.0</v>
      </c>
      <c r="M288" s="313"/>
      <c r="N288" s="313"/>
      <c r="O288" s="311"/>
      <c r="P288" s="313"/>
      <c r="Q288" s="313"/>
      <c r="R288" s="313"/>
      <c r="S288" s="311"/>
      <c r="T288" s="312"/>
      <c r="U288" s="313"/>
      <c r="V288" s="313"/>
      <c r="W288" s="313"/>
    </row>
    <row r="289" ht="15.0" customHeight="1">
      <c r="A289" s="304" t="s">
        <v>600</v>
      </c>
      <c r="B289" s="312"/>
      <c r="C289" s="313"/>
      <c r="D289" s="313"/>
      <c r="E289" s="313"/>
      <c r="F289" s="311"/>
      <c r="G289" s="308">
        <v>45.0</v>
      </c>
      <c r="H289" s="309">
        <v>45.0</v>
      </c>
      <c r="I289" s="309">
        <v>45.0</v>
      </c>
      <c r="J289" s="309">
        <v>45.0</v>
      </c>
      <c r="K289" s="310">
        <v>45.0</v>
      </c>
      <c r="L289" s="308"/>
      <c r="M289" s="313"/>
      <c r="N289" s="313"/>
      <c r="O289" s="311"/>
      <c r="P289" s="313"/>
      <c r="Q289" s="313"/>
      <c r="R289" s="313"/>
      <c r="S289" s="311"/>
      <c r="T289" s="312"/>
      <c r="U289" s="313"/>
      <c r="V289" s="313"/>
      <c r="W289" s="313"/>
    </row>
    <row r="290" ht="15.0" customHeight="1">
      <c r="A290" s="304" t="s">
        <v>601</v>
      </c>
      <c r="B290" s="312"/>
      <c r="C290" s="313"/>
      <c r="D290" s="313"/>
      <c r="E290" s="313"/>
      <c r="F290" s="311"/>
      <c r="G290" s="308">
        <v>45.0</v>
      </c>
      <c r="H290" s="309">
        <v>45.0</v>
      </c>
      <c r="I290" s="309">
        <v>45.0</v>
      </c>
      <c r="J290" s="309">
        <v>45.0</v>
      </c>
      <c r="K290" s="310">
        <v>45.0</v>
      </c>
      <c r="L290" s="308"/>
      <c r="M290" s="313"/>
      <c r="N290" s="313"/>
      <c r="O290" s="310">
        <v>3.0</v>
      </c>
      <c r="P290" s="313"/>
      <c r="Q290" s="313"/>
      <c r="R290" s="313"/>
      <c r="S290" s="311"/>
      <c r="T290" s="312"/>
      <c r="U290" s="313"/>
      <c r="V290" s="313"/>
      <c r="W290" s="313"/>
    </row>
    <row r="291" ht="15.0" customHeight="1">
      <c r="A291" s="304" t="s">
        <v>602</v>
      </c>
      <c r="B291" s="312"/>
      <c r="C291" s="313"/>
      <c r="D291" s="313"/>
      <c r="E291" s="309">
        <v>-6.0</v>
      </c>
      <c r="F291" s="310">
        <v>-2.0</v>
      </c>
      <c r="G291" s="308">
        <v>81.0</v>
      </c>
      <c r="H291" s="309">
        <v>95.0</v>
      </c>
      <c r="I291" s="309">
        <v>85.0</v>
      </c>
      <c r="J291" s="313"/>
      <c r="K291" s="310">
        <v>85.0</v>
      </c>
      <c r="L291" s="308"/>
      <c r="M291" s="313"/>
      <c r="N291" s="313"/>
      <c r="O291" s="310">
        <v>5.0</v>
      </c>
      <c r="P291" s="313"/>
      <c r="Q291" s="313"/>
      <c r="R291" s="313"/>
      <c r="S291" s="311"/>
      <c r="T291" s="312"/>
      <c r="U291" s="313"/>
      <c r="V291" s="313"/>
      <c r="W291" s="313"/>
    </row>
    <row r="292" ht="15.0" customHeight="1">
      <c r="A292" s="304" t="s">
        <v>603</v>
      </c>
      <c r="B292" s="312"/>
      <c r="C292" s="313"/>
      <c r="D292" s="313"/>
      <c r="E292" s="309">
        <v>-30.0</v>
      </c>
      <c r="F292" s="310">
        <v>-10.0</v>
      </c>
      <c r="G292" s="308">
        <v>122.0</v>
      </c>
      <c r="H292" s="309">
        <v>120.0</v>
      </c>
      <c r="I292" s="309">
        <v>107.0</v>
      </c>
      <c r="J292" s="309">
        <v>-6.0</v>
      </c>
      <c r="K292" s="310">
        <v>132.0</v>
      </c>
      <c r="L292" s="308"/>
      <c r="M292" s="313"/>
      <c r="N292" s="313"/>
      <c r="O292" s="311"/>
      <c r="P292" s="313"/>
      <c r="Q292" s="313"/>
      <c r="R292" s="313"/>
      <c r="S292" s="311"/>
      <c r="T292" s="312"/>
      <c r="U292" s="313"/>
      <c r="V292" s="313"/>
      <c r="W292" s="313"/>
    </row>
    <row r="293" ht="15.0" customHeight="1">
      <c r="A293" s="304" t="s">
        <v>604</v>
      </c>
      <c r="B293" s="312"/>
      <c r="C293" s="313"/>
      <c r="D293" s="313"/>
      <c r="E293" s="309">
        <v>-30.0</v>
      </c>
      <c r="F293" s="310">
        <v>-10.0</v>
      </c>
      <c r="G293" s="308">
        <v>122.0</v>
      </c>
      <c r="H293" s="309">
        <v>120.0</v>
      </c>
      <c r="I293" s="309">
        <v>107.0</v>
      </c>
      <c r="J293" s="309">
        <v>-6.0</v>
      </c>
      <c r="K293" s="310">
        <v>132.0</v>
      </c>
      <c r="L293" s="308"/>
      <c r="M293" s="313"/>
      <c r="N293" s="313"/>
      <c r="O293" s="311"/>
      <c r="P293" s="313"/>
      <c r="Q293" s="313"/>
      <c r="R293" s="313"/>
      <c r="S293" s="311"/>
      <c r="T293" s="312"/>
      <c r="U293" s="313"/>
      <c r="V293" s="313"/>
      <c r="W293" s="313"/>
    </row>
    <row r="294" ht="15.0" customHeight="1">
      <c r="A294" s="304" t="s">
        <v>605</v>
      </c>
      <c r="B294" s="312"/>
      <c r="C294" s="313"/>
      <c r="D294" s="313"/>
      <c r="E294" s="309">
        <v>-30.0</v>
      </c>
      <c r="F294" s="310">
        <v>-10.0</v>
      </c>
      <c r="G294" s="308">
        <v>122.0</v>
      </c>
      <c r="H294" s="309">
        <v>120.0</v>
      </c>
      <c r="I294" s="309">
        <v>107.0</v>
      </c>
      <c r="J294" s="309">
        <v>-6.0</v>
      </c>
      <c r="K294" s="310">
        <v>132.0</v>
      </c>
      <c r="L294" s="308"/>
      <c r="M294" s="313"/>
      <c r="N294" s="313"/>
      <c r="O294" s="311"/>
      <c r="P294" s="313"/>
      <c r="Q294" s="313"/>
      <c r="R294" s="313"/>
      <c r="S294" s="311"/>
      <c r="T294" s="312"/>
      <c r="U294" s="313"/>
      <c r="V294" s="313"/>
      <c r="W294" s="313"/>
    </row>
    <row r="295" ht="15.0" customHeight="1">
      <c r="A295" s="304" t="s">
        <v>606</v>
      </c>
      <c r="B295" s="312"/>
      <c r="C295" s="313"/>
      <c r="D295" s="313"/>
      <c r="E295" s="309"/>
      <c r="F295" s="310"/>
      <c r="G295" s="308">
        <v>55.0</v>
      </c>
      <c r="H295" s="309">
        <v>78.0</v>
      </c>
      <c r="I295" s="309">
        <v>56.0</v>
      </c>
      <c r="J295" s="309">
        <v>-15.0</v>
      </c>
      <c r="K295" s="310">
        <v>60.0</v>
      </c>
      <c r="L295" s="308">
        <v>3.0</v>
      </c>
      <c r="M295" s="313"/>
      <c r="N295" s="313"/>
      <c r="O295" s="311"/>
      <c r="P295" s="313"/>
      <c r="Q295" s="313"/>
      <c r="R295" s="313"/>
      <c r="S295" s="311"/>
      <c r="T295" s="312"/>
      <c r="U295" s="313"/>
      <c r="V295" s="313"/>
      <c r="W295" s="313"/>
    </row>
    <row r="296" ht="15.0" customHeight="1">
      <c r="A296" s="304" t="s">
        <v>607</v>
      </c>
      <c r="B296" s="312"/>
      <c r="C296" s="313"/>
      <c r="D296" s="313"/>
      <c r="E296" s="309">
        <v>-30.0</v>
      </c>
      <c r="F296" s="310">
        <v>-10.0</v>
      </c>
      <c r="G296" s="308">
        <v>65.0</v>
      </c>
      <c r="H296" s="309">
        <v>63.0</v>
      </c>
      <c r="I296" s="309">
        <v>55.0</v>
      </c>
      <c r="J296" s="309">
        <v>-6.0</v>
      </c>
      <c r="K296" s="310">
        <v>-63.0</v>
      </c>
      <c r="L296" s="308"/>
      <c r="M296" s="313"/>
      <c r="N296" s="313"/>
      <c r="O296" s="310">
        <v>8.0</v>
      </c>
      <c r="P296" s="313"/>
      <c r="Q296" s="313"/>
      <c r="R296" s="313"/>
      <c r="S296" s="311"/>
      <c r="T296" s="312"/>
      <c r="U296" s="313"/>
      <c r="V296" s="313"/>
      <c r="W296" s="313"/>
    </row>
    <row r="297" ht="15.0" customHeight="1">
      <c r="A297" s="322" t="s">
        <v>608</v>
      </c>
      <c r="B297" s="315"/>
      <c r="C297" s="315"/>
      <c r="D297" s="315"/>
      <c r="E297" s="315">
        <v>-40.0</v>
      </c>
      <c r="F297" s="323">
        <v>-20.0</v>
      </c>
      <c r="G297" s="315">
        <v>132.0</v>
      </c>
      <c r="H297" s="315">
        <v>130.0</v>
      </c>
      <c r="I297" s="315">
        <v>117.0</v>
      </c>
      <c r="J297" s="315">
        <v>-16.0</v>
      </c>
      <c r="K297" s="323">
        <v>142.0</v>
      </c>
      <c r="L297" s="329"/>
      <c r="M297" s="325"/>
      <c r="N297" s="325"/>
      <c r="O297" s="323">
        <v>4.0</v>
      </c>
      <c r="P297" s="325"/>
      <c r="Q297" s="325"/>
      <c r="R297" s="325"/>
      <c r="S297" s="326"/>
      <c r="T297" s="325"/>
      <c r="U297" s="325"/>
      <c r="V297" s="325"/>
      <c r="W297" s="325"/>
    </row>
    <row r="298" ht="15.0" customHeight="1">
      <c r="A298" s="304" t="s">
        <v>609</v>
      </c>
      <c r="B298" s="312"/>
      <c r="C298" s="313"/>
      <c r="D298" s="313"/>
      <c r="E298" s="309">
        <v>-15.0</v>
      </c>
      <c r="F298" s="310"/>
      <c r="G298" s="308">
        <v>81.0</v>
      </c>
      <c r="H298" s="309">
        <v>93.0</v>
      </c>
      <c r="I298" s="309">
        <v>98.0</v>
      </c>
      <c r="J298" s="309">
        <v>-3.0</v>
      </c>
      <c r="K298" s="310">
        <v>82.0</v>
      </c>
      <c r="L298" s="308"/>
      <c r="M298" s="313"/>
      <c r="N298" s="313"/>
      <c r="O298" s="311"/>
      <c r="P298" s="313"/>
      <c r="Q298" s="313"/>
      <c r="R298" s="313"/>
      <c r="S298" s="311"/>
      <c r="T298" s="312"/>
      <c r="U298" s="313"/>
      <c r="V298" s="313"/>
      <c r="W298" s="313"/>
    </row>
    <row r="299" ht="15.0" customHeight="1">
      <c r="A299" s="304" t="s">
        <v>610</v>
      </c>
      <c r="B299" s="312"/>
      <c r="C299" s="313"/>
      <c r="D299" s="313"/>
      <c r="E299" s="309">
        <v>-20.0</v>
      </c>
      <c r="F299" s="310">
        <v>0.0</v>
      </c>
      <c r="G299" s="308">
        <v>96.0</v>
      </c>
      <c r="H299" s="309">
        <v>108.0</v>
      </c>
      <c r="I299" s="309">
        <v>113.0</v>
      </c>
      <c r="J299" s="309">
        <v>-4.0</v>
      </c>
      <c r="K299" s="310">
        <v>97.0</v>
      </c>
      <c r="L299" s="308"/>
      <c r="M299" s="313"/>
      <c r="N299" s="313"/>
      <c r="O299" s="311"/>
      <c r="P299" s="313"/>
      <c r="Q299" s="313"/>
      <c r="R299" s="313"/>
      <c r="S299" s="311"/>
      <c r="T299" s="312"/>
      <c r="U299" s="313"/>
      <c r="V299" s="313"/>
      <c r="W299" s="313"/>
    </row>
    <row r="300" ht="15.0" customHeight="1">
      <c r="A300" s="304" t="s">
        <v>611</v>
      </c>
      <c r="B300" s="312"/>
      <c r="C300" s="313"/>
      <c r="D300" s="313"/>
      <c r="E300" s="309">
        <v>-30.0</v>
      </c>
      <c r="F300" s="310">
        <v>-10.0</v>
      </c>
      <c r="G300" s="308">
        <v>82.0</v>
      </c>
      <c r="H300" s="309">
        <v>80.0</v>
      </c>
      <c r="I300" s="309">
        <v>72.0</v>
      </c>
      <c r="J300" s="309">
        <v>-6.0</v>
      </c>
      <c r="K300" s="310">
        <v>80.0</v>
      </c>
      <c r="L300" s="308"/>
      <c r="M300" s="313"/>
      <c r="N300" s="313"/>
      <c r="O300" s="311"/>
      <c r="P300" s="313"/>
      <c r="Q300" s="313"/>
      <c r="R300" s="313"/>
      <c r="S300" s="311"/>
      <c r="T300" s="312"/>
      <c r="U300" s="313"/>
      <c r="V300" s="313"/>
      <c r="W300" s="313"/>
    </row>
    <row r="301" ht="15.0" customHeight="1">
      <c r="A301" s="304" t="s">
        <v>612</v>
      </c>
      <c r="B301" s="312"/>
      <c r="C301" s="313"/>
      <c r="D301" s="313"/>
      <c r="E301" s="309">
        <v>-30.0</v>
      </c>
      <c r="F301" s="310">
        <v>-10.0</v>
      </c>
      <c r="G301" s="308">
        <v>109.0</v>
      </c>
      <c r="H301" s="309">
        <v>107.0</v>
      </c>
      <c r="I301" s="309">
        <v>97.0</v>
      </c>
      <c r="J301" s="309">
        <v>-6.0</v>
      </c>
      <c r="K301" s="310">
        <v>106.0</v>
      </c>
      <c r="L301" s="308"/>
      <c r="M301" s="313"/>
      <c r="N301" s="313"/>
      <c r="O301" s="311"/>
      <c r="P301" s="313"/>
      <c r="Q301" s="313"/>
      <c r="R301" s="313"/>
      <c r="S301" s="311"/>
      <c r="T301" s="312"/>
      <c r="U301" s="313"/>
      <c r="V301" s="313"/>
      <c r="W301" s="313"/>
    </row>
    <row r="302" ht="15.0" customHeight="1">
      <c r="A302" s="304" t="s">
        <v>613</v>
      </c>
      <c r="B302" s="308">
        <v>-7.0</v>
      </c>
      <c r="C302" s="309">
        <v>-7.0</v>
      </c>
      <c r="D302" s="309">
        <v>-7.0</v>
      </c>
      <c r="E302" s="309">
        <v>-15.0</v>
      </c>
      <c r="F302" s="310">
        <v>33.0</v>
      </c>
      <c r="G302" s="308">
        <v>56.0</v>
      </c>
      <c r="H302" s="309">
        <v>48.0</v>
      </c>
      <c r="I302" s="309">
        <v>61.0</v>
      </c>
      <c r="J302" s="309">
        <v>70.0</v>
      </c>
      <c r="K302" s="310">
        <v>57.0</v>
      </c>
      <c r="L302" s="312"/>
      <c r="M302" s="309"/>
      <c r="N302" s="313"/>
      <c r="O302" s="310">
        <v>1.0</v>
      </c>
      <c r="P302" s="313"/>
      <c r="Q302" s="313"/>
      <c r="R302" s="313"/>
      <c r="S302" s="311"/>
      <c r="T302" s="312"/>
      <c r="U302" s="313"/>
      <c r="V302" s="313"/>
      <c r="W302" s="313"/>
    </row>
    <row r="303" ht="15.0" customHeight="1">
      <c r="A303" s="304" t="s">
        <v>614</v>
      </c>
      <c r="B303" s="308">
        <v>0.0</v>
      </c>
      <c r="C303" s="309">
        <v>0.0</v>
      </c>
      <c r="D303" s="309">
        <v>0.0</v>
      </c>
      <c r="E303" s="309">
        <v>-18.0</v>
      </c>
      <c r="F303" s="310">
        <v>30.0</v>
      </c>
      <c r="G303" s="308">
        <v>34.0</v>
      </c>
      <c r="H303" s="309">
        <v>24.0</v>
      </c>
      <c r="I303" s="309">
        <v>32.0</v>
      </c>
      <c r="J303" s="309">
        <v>44.0</v>
      </c>
      <c r="K303" s="310">
        <v>53.0</v>
      </c>
      <c r="L303" s="312"/>
      <c r="M303" s="313"/>
      <c r="N303" s="313"/>
      <c r="O303" s="310">
        <v>3.0</v>
      </c>
      <c r="P303" s="313"/>
      <c r="Q303" s="313"/>
      <c r="R303" s="313"/>
      <c r="S303" s="311"/>
      <c r="T303" s="312"/>
      <c r="U303" s="313"/>
      <c r="V303" s="313"/>
      <c r="W303" s="313"/>
    </row>
    <row r="304" ht="15.0" customHeight="1">
      <c r="A304" s="304" t="s">
        <v>615</v>
      </c>
      <c r="B304" s="312"/>
      <c r="C304" s="313"/>
      <c r="D304" s="313"/>
      <c r="E304" s="309">
        <v>-15.0</v>
      </c>
      <c r="F304" s="310">
        <v>30.0</v>
      </c>
      <c r="G304" s="308">
        <v>47.0</v>
      </c>
      <c r="H304" s="309">
        <v>52.0</v>
      </c>
      <c r="I304" s="309">
        <v>50.0</v>
      </c>
      <c r="J304" s="309">
        <v>65.0</v>
      </c>
      <c r="K304" s="310">
        <v>57.0</v>
      </c>
      <c r="L304" s="312"/>
      <c r="M304" s="313"/>
      <c r="N304" s="313"/>
      <c r="O304" s="311"/>
      <c r="P304" s="313"/>
      <c r="Q304" s="313"/>
      <c r="R304" s="313"/>
      <c r="S304" s="311"/>
      <c r="T304" s="312"/>
      <c r="U304" s="313"/>
      <c r="V304" s="313"/>
      <c r="W304" s="313"/>
    </row>
    <row r="305" ht="15.0" customHeight="1">
      <c r="A305" s="304" t="s">
        <v>616</v>
      </c>
      <c r="B305" s="312"/>
      <c r="C305" s="313"/>
      <c r="D305" s="313"/>
      <c r="E305" s="309">
        <v>-15.0</v>
      </c>
      <c r="F305" s="310">
        <v>30.0</v>
      </c>
      <c r="G305" s="308">
        <v>45.0</v>
      </c>
      <c r="H305" s="309">
        <v>47.0</v>
      </c>
      <c r="I305" s="309">
        <v>60.0</v>
      </c>
      <c r="J305" s="309">
        <v>50.0</v>
      </c>
      <c r="K305" s="310">
        <v>55.0</v>
      </c>
      <c r="L305" s="312"/>
      <c r="M305" s="313"/>
      <c r="N305" s="313"/>
      <c r="O305" s="310">
        <v>1.0</v>
      </c>
      <c r="P305" s="313"/>
      <c r="Q305" s="313"/>
      <c r="R305" s="313"/>
      <c r="S305" s="311"/>
      <c r="T305" s="312"/>
      <c r="U305" s="313"/>
      <c r="V305" s="313"/>
      <c r="W305" s="313"/>
    </row>
    <row r="306" ht="15.0" customHeight="1">
      <c r="A306" s="304" t="s">
        <v>617</v>
      </c>
      <c r="B306" s="312"/>
      <c r="C306" s="313"/>
      <c r="D306" s="313"/>
      <c r="E306" s="309">
        <v>-15.0</v>
      </c>
      <c r="F306" s="310">
        <v>30.0</v>
      </c>
      <c r="G306" s="308">
        <v>45.0</v>
      </c>
      <c r="H306" s="309">
        <v>47.0</v>
      </c>
      <c r="I306" s="309">
        <v>60.0</v>
      </c>
      <c r="J306" s="309">
        <v>50.0</v>
      </c>
      <c r="K306" s="310">
        <v>55.0</v>
      </c>
      <c r="L306" s="312"/>
      <c r="M306" s="313"/>
      <c r="N306" s="313"/>
      <c r="O306" s="311"/>
      <c r="P306" s="313"/>
      <c r="Q306" s="313"/>
      <c r="R306" s="313"/>
      <c r="S306" s="311"/>
      <c r="T306" s="312"/>
      <c r="U306" s="313"/>
      <c r="V306" s="313"/>
      <c r="W306" s="313"/>
    </row>
    <row r="307" ht="15.0" customHeight="1">
      <c r="A307" s="304" t="s">
        <v>618</v>
      </c>
      <c r="B307" s="312"/>
      <c r="C307" s="313"/>
      <c r="D307" s="313"/>
      <c r="E307" s="309">
        <v>-15.0</v>
      </c>
      <c r="F307" s="310">
        <v>25.0</v>
      </c>
      <c r="G307" s="308">
        <v>50.0</v>
      </c>
      <c r="H307" s="309">
        <v>42.0</v>
      </c>
      <c r="I307" s="309">
        <v>55.0</v>
      </c>
      <c r="J307" s="309">
        <v>40.0</v>
      </c>
      <c r="K307" s="310">
        <v>50.0</v>
      </c>
      <c r="L307" s="312"/>
      <c r="M307" s="313"/>
      <c r="N307" s="313"/>
      <c r="O307" s="311"/>
      <c r="P307" s="313"/>
      <c r="Q307" s="313"/>
      <c r="R307" s="313"/>
      <c r="S307" s="311"/>
      <c r="T307" s="312"/>
      <c r="U307" s="313"/>
      <c r="V307" s="313"/>
      <c r="W307" s="313"/>
    </row>
    <row r="308" ht="15.0" customHeight="1">
      <c r="A308" s="304" t="s">
        <v>619</v>
      </c>
      <c r="B308" s="312"/>
      <c r="C308" s="313"/>
      <c r="D308" s="313"/>
      <c r="E308" s="309">
        <v>-15.0</v>
      </c>
      <c r="F308" s="310">
        <v>20.0</v>
      </c>
      <c r="G308" s="308">
        <v>45.0</v>
      </c>
      <c r="H308" s="309">
        <v>37.0</v>
      </c>
      <c r="I308" s="309">
        <v>50.0</v>
      </c>
      <c r="J308" s="309">
        <v>30.0</v>
      </c>
      <c r="K308" s="310">
        <v>45.0</v>
      </c>
      <c r="L308" s="312"/>
      <c r="M308" s="313"/>
      <c r="N308" s="313"/>
      <c r="O308" s="311"/>
      <c r="P308" s="313"/>
      <c r="Q308" s="313"/>
      <c r="R308" s="313"/>
      <c r="S308" s="311"/>
      <c r="T308" s="312"/>
      <c r="U308" s="313"/>
      <c r="V308" s="313"/>
      <c r="W308" s="313"/>
    </row>
    <row r="309" ht="15.0" customHeight="1">
      <c r="A309" s="304" t="s">
        <v>620</v>
      </c>
      <c r="B309" s="312"/>
      <c r="C309" s="313"/>
      <c r="D309" s="313"/>
      <c r="E309" s="309">
        <v>-15.0</v>
      </c>
      <c r="F309" s="310">
        <v>15.0</v>
      </c>
      <c r="G309" s="308">
        <v>40.0</v>
      </c>
      <c r="H309" s="309">
        <v>32.0</v>
      </c>
      <c r="I309" s="309">
        <v>45.0</v>
      </c>
      <c r="J309" s="309">
        <v>20.0</v>
      </c>
      <c r="K309" s="310">
        <v>40.0</v>
      </c>
      <c r="L309" s="312"/>
      <c r="M309" s="313"/>
      <c r="N309" s="313"/>
      <c r="O309" s="311"/>
      <c r="P309" s="313"/>
      <c r="Q309" s="313"/>
      <c r="R309" s="313"/>
      <c r="S309" s="311"/>
      <c r="T309" s="312"/>
      <c r="U309" s="313"/>
      <c r="V309" s="313"/>
      <c r="W309" s="313"/>
    </row>
    <row r="310" ht="15.0" customHeight="1">
      <c r="A310" s="304" t="s">
        <v>621</v>
      </c>
      <c r="B310" s="312"/>
      <c r="C310" s="313"/>
      <c r="D310" s="313"/>
      <c r="E310" s="309">
        <v>-4.0</v>
      </c>
      <c r="F310" s="310">
        <v>8.0</v>
      </c>
      <c r="G310" s="308">
        <v>18.0</v>
      </c>
      <c r="H310" s="309">
        <v>25.0</v>
      </c>
      <c r="I310" s="309">
        <v>22.0</v>
      </c>
      <c r="J310" s="309">
        <v>8.0</v>
      </c>
      <c r="K310" s="310">
        <v>25.0</v>
      </c>
      <c r="L310" s="312"/>
      <c r="M310" s="313"/>
      <c r="N310" s="313"/>
      <c r="O310" s="311"/>
      <c r="P310" s="313"/>
      <c r="Q310" s="313"/>
      <c r="R310" s="313"/>
      <c r="S310" s="311"/>
      <c r="T310" s="312"/>
      <c r="U310" s="313"/>
      <c r="V310" s="313"/>
      <c r="W310" s="313"/>
    </row>
    <row r="311" ht="15.0" customHeight="1">
      <c r="A311" s="304" t="s">
        <v>622</v>
      </c>
      <c r="B311" s="312"/>
      <c r="C311" s="313"/>
      <c r="D311" s="313"/>
      <c r="E311" s="309">
        <v>-5.0</v>
      </c>
      <c r="F311" s="310">
        <v>12.0</v>
      </c>
      <c r="G311" s="308">
        <v>25.0</v>
      </c>
      <c r="H311" s="309">
        <v>28.0</v>
      </c>
      <c r="I311" s="309">
        <v>32.0</v>
      </c>
      <c r="J311" s="309">
        <v>15.0</v>
      </c>
      <c r="K311" s="310">
        <v>35.0</v>
      </c>
      <c r="L311" s="312"/>
      <c r="M311" s="313"/>
      <c r="N311" s="313"/>
      <c r="O311" s="311"/>
      <c r="P311" s="313"/>
      <c r="Q311" s="313"/>
      <c r="R311" s="313"/>
      <c r="S311" s="311"/>
      <c r="T311" s="312"/>
      <c r="U311" s="313"/>
      <c r="V311" s="313"/>
      <c r="W311" s="313"/>
    </row>
    <row r="312" ht="15.0" customHeight="1">
      <c r="A312" s="304" t="s">
        <v>623</v>
      </c>
      <c r="B312" s="312"/>
      <c r="C312" s="313"/>
      <c r="D312" s="313"/>
      <c r="E312" s="309">
        <v>-15.0</v>
      </c>
      <c r="F312" s="310">
        <v>15.0</v>
      </c>
      <c r="G312" s="308">
        <v>6.0</v>
      </c>
      <c r="H312" s="309">
        <v>9.0</v>
      </c>
      <c r="I312" s="309">
        <v>12.0</v>
      </c>
      <c r="J312" s="309">
        <v>6.0</v>
      </c>
      <c r="K312" s="310">
        <v>6.0</v>
      </c>
      <c r="L312" s="312"/>
      <c r="M312" s="313"/>
      <c r="N312" s="313"/>
      <c r="O312" s="311"/>
      <c r="P312" s="313"/>
      <c r="Q312" s="313"/>
      <c r="R312" s="313"/>
      <c r="S312" s="311"/>
      <c r="T312" s="312"/>
      <c r="U312" s="313"/>
      <c r="V312" s="313"/>
      <c r="W312" s="313"/>
    </row>
    <row r="313" ht="15.0" customHeight="1">
      <c r="A313" s="304" t="s">
        <v>624</v>
      </c>
      <c r="B313" s="312"/>
      <c r="C313" s="313"/>
      <c r="D313" s="313"/>
      <c r="E313" s="309">
        <v>-15.0</v>
      </c>
      <c r="F313" s="310">
        <v>30.0</v>
      </c>
      <c r="G313" s="308">
        <v>55.0</v>
      </c>
      <c r="H313" s="309">
        <v>47.0</v>
      </c>
      <c r="I313" s="309">
        <v>60.0</v>
      </c>
      <c r="J313" s="309">
        <v>60.0</v>
      </c>
      <c r="K313" s="310">
        <v>55.0</v>
      </c>
      <c r="L313" s="312"/>
      <c r="M313" s="313"/>
      <c r="N313" s="313"/>
      <c r="O313" s="311"/>
      <c r="P313" s="313"/>
      <c r="Q313" s="313"/>
      <c r="R313" s="313"/>
      <c r="S313" s="311"/>
      <c r="T313" s="312"/>
      <c r="U313" s="313"/>
      <c r="V313" s="313"/>
      <c r="W313" s="313"/>
    </row>
    <row r="314" ht="15.0" customHeight="1">
      <c r="A314" s="304" t="s">
        <v>625</v>
      </c>
      <c r="B314" s="312"/>
      <c r="C314" s="313"/>
      <c r="D314" s="313"/>
      <c r="E314" s="309">
        <v>-15.0</v>
      </c>
      <c r="F314" s="310">
        <v>15.0</v>
      </c>
      <c r="G314" s="308">
        <v>40.0</v>
      </c>
      <c r="H314" s="309">
        <v>32.0</v>
      </c>
      <c r="I314" s="309">
        <v>45.0</v>
      </c>
      <c r="J314" s="309">
        <v>20.0</v>
      </c>
      <c r="K314" s="310">
        <v>40.0</v>
      </c>
      <c r="L314" s="312"/>
      <c r="M314" s="313"/>
      <c r="N314" s="313"/>
      <c r="O314" s="311"/>
      <c r="P314" s="313"/>
      <c r="Q314" s="313"/>
      <c r="R314" s="313"/>
      <c r="S314" s="311"/>
      <c r="T314" s="312"/>
      <c r="U314" s="313"/>
      <c r="V314" s="313"/>
      <c r="W314" s="313"/>
    </row>
    <row r="315" ht="15.0" customHeight="1">
      <c r="A315" s="304" t="s">
        <v>626</v>
      </c>
      <c r="B315" s="312"/>
      <c r="C315" s="313"/>
      <c r="D315" s="313"/>
      <c r="E315" s="309">
        <v>-5.0</v>
      </c>
      <c r="F315" s="310">
        <v>10.0</v>
      </c>
      <c r="G315" s="308">
        <v>23.0</v>
      </c>
      <c r="H315" s="309">
        <v>26.0</v>
      </c>
      <c r="I315" s="309">
        <v>30.0</v>
      </c>
      <c r="J315" s="309">
        <v>15.0</v>
      </c>
      <c r="K315" s="310">
        <v>32.0</v>
      </c>
      <c r="L315" s="312"/>
      <c r="M315" s="313"/>
      <c r="N315" s="313"/>
      <c r="O315" s="311"/>
      <c r="P315" s="313"/>
      <c r="Q315" s="313"/>
      <c r="R315" s="313"/>
      <c r="S315" s="311"/>
      <c r="T315" s="312"/>
      <c r="U315" s="313"/>
      <c r="V315" s="313"/>
      <c r="W315" s="313"/>
    </row>
    <row r="316" ht="15.0" customHeight="1">
      <c r="A316" s="304" t="s">
        <v>627</v>
      </c>
      <c r="B316" s="312"/>
      <c r="C316" s="313"/>
      <c r="D316" s="313"/>
      <c r="E316" s="309">
        <v>-4.0</v>
      </c>
      <c r="F316" s="310">
        <v>8.0</v>
      </c>
      <c r="G316" s="308">
        <v>12.0</v>
      </c>
      <c r="H316" s="309">
        <v>15.0</v>
      </c>
      <c r="I316" s="309">
        <v>18.0</v>
      </c>
      <c r="J316" s="309">
        <v>6.0</v>
      </c>
      <c r="K316" s="310">
        <v>15.0</v>
      </c>
      <c r="L316" s="312"/>
      <c r="M316" s="313"/>
      <c r="N316" s="313"/>
      <c r="O316" s="311"/>
      <c r="P316" s="313"/>
      <c r="Q316" s="313"/>
      <c r="R316" s="313"/>
      <c r="S316" s="311"/>
      <c r="T316" s="312"/>
      <c r="U316" s="313"/>
      <c r="V316" s="313"/>
      <c r="W316" s="313"/>
    </row>
    <row r="317" ht="15.0" customHeight="1">
      <c r="A317" s="304" t="s">
        <v>628</v>
      </c>
      <c r="B317" s="312"/>
      <c r="C317" s="313"/>
      <c r="D317" s="313"/>
      <c r="E317" s="309">
        <v>-2.0</v>
      </c>
      <c r="F317" s="310">
        <v>2.0</v>
      </c>
      <c r="G317" s="308">
        <v>8.0</v>
      </c>
      <c r="H317" s="309">
        <v>9.0</v>
      </c>
      <c r="I317" s="309">
        <v>10.0</v>
      </c>
      <c r="J317" s="309">
        <v>4.0</v>
      </c>
      <c r="K317" s="310">
        <v>9.0</v>
      </c>
      <c r="L317" s="312"/>
      <c r="M317" s="313"/>
      <c r="N317" s="313"/>
      <c r="O317" s="311"/>
      <c r="P317" s="313"/>
      <c r="Q317" s="313"/>
      <c r="R317" s="313"/>
      <c r="S317" s="311"/>
      <c r="T317" s="312"/>
      <c r="U317" s="313"/>
      <c r="V317" s="313"/>
      <c r="W317" s="313"/>
    </row>
    <row r="318" ht="15.0" customHeight="1">
      <c r="A318" s="304" t="s">
        <v>91</v>
      </c>
      <c r="B318" s="312"/>
      <c r="C318" s="313"/>
      <c r="D318" s="313"/>
      <c r="E318" s="309">
        <v>35.0</v>
      </c>
      <c r="F318" s="310">
        <v>-8.0</v>
      </c>
      <c r="G318" s="308">
        <v>42.0</v>
      </c>
      <c r="H318" s="309">
        <v>31.0</v>
      </c>
      <c r="I318" s="309">
        <v>51.0</v>
      </c>
      <c r="J318" s="309">
        <v>28.0</v>
      </c>
      <c r="K318" s="310">
        <v>0.0</v>
      </c>
      <c r="L318" s="312"/>
      <c r="M318" s="313"/>
      <c r="N318" s="309">
        <v>0.02</v>
      </c>
      <c r="O318" s="311"/>
      <c r="P318" s="313"/>
      <c r="Q318" s="313"/>
      <c r="R318" s="313"/>
      <c r="S318" s="311"/>
      <c r="T318" s="312"/>
      <c r="U318" s="313"/>
      <c r="V318" s="313"/>
      <c r="W318" s="313"/>
    </row>
    <row r="319" ht="15.0" customHeight="1">
      <c r="A319" s="304" t="s">
        <v>629</v>
      </c>
      <c r="B319" s="312"/>
      <c r="C319" s="313"/>
      <c r="D319" s="313"/>
      <c r="E319" s="309">
        <v>30.0</v>
      </c>
      <c r="F319" s="310">
        <v>-10.0</v>
      </c>
      <c r="G319" s="308">
        <v>52.0</v>
      </c>
      <c r="H319" s="309">
        <v>37.0</v>
      </c>
      <c r="I319" s="309">
        <v>63.0</v>
      </c>
      <c r="J319" s="309">
        <v>30.0</v>
      </c>
      <c r="K319" s="310">
        <v>0.0</v>
      </c>
      <c r="L319" s="312"/>
      <c r="M319" s="313"/>
      <c r="N319" s="313"/>
      <c r="O319" s="311"/>
      <c r="P319" s="313"/>
      <c r="Q319" s="313"/>
      <c r="R319" s="313"/>
      <c r="S319" s="311"/>
      <c r="T319" s="312"/>
      <c r="U319" s="313"/>
      <c r="V319" s="313"/>
      <c r="W319" s="313"/>
    </row>
    <row r="320" ht="15.0" customHeight="1">
      <c r="A320" s="304" t="s">
        <v>630</v>
      </c>
      <c r="B320" s="312"/>
      <c r="C320" s="313"/>
      <c r="D320" s="313"/>
      <c r="E320" s="309">
        <v>24.0</v>
      </c>
      <c r="F320" s="310"/>
      <c r="G320" s="308"/>
      <c r="H320" s="309"/>
      <c r="I320" s="309"/>
      <c r="J320" s="309">
        <v>24.0</v>
      </c>
      <c r="K320" s="310"/>
      <c r="L320" s="312"/>
      <c r="M320" s="313"/>
      <c r="N320" s="313"/>
      <c r="O320" s="311"/>
      <c r="P320" s="313"/>
      <c r="Q320" s="313"/>
      <c r="R320" s="313"/>
      <c r="S320" s="311"/>
      <c r="T320" s="312"/>
      <c r="U320" s="313"/>
      <c r="V320" s="313"/>
      <c r="W320" s="313"/>
    </row>
    <row r="321" ht="15.0" customHeight="1">
      <c r="A321" s="304" t="s">
        <v>631</v>
      </c>
      <c r="B321" s="312"/>
      <c r="C321" s="313"/>
      <c r="D321" s="313"/>
      <c r="E321" s="309">
        <v>10.0</v>
      </c>
      <c r="F321" s="310"/>
      <c r="G321" s="308"/>
      <c r="H321" s="309"/>
      <c r="I321" s="309"/>
      <c r="J321" s="309">
        <v>8.0</v>
      </c>
      <c r="K321" s="310"/>
      <c r="L321" s="312"/>
      <c r="M321" s="313"/>
      <c r="N321" s="313"/>
      <c r="O321" s="311"/>
      <c r="P321" s="313"/>
      <c r="Q321" s="313"/>
      <c r="R321" s="313"/>
      <c r="S321" s="311"/>
      <c r="T321" s="312"/>
      <c r="U321" s="313"/>
      <c r="V321" s="313"/>
      <c r="W321" s="313"/>
    </row>
    <row r="322" ht="15.0" customHeight="1">
      <c r="A322" s="304" t="s">
        <v>632</v>
      </c>
      <c r="B322" s="312"/>
      <c r="C322" s="313"/>
      <c r="D322" s="313"/>
      <c r="E322" s="309">
        <v>22.0</v>
      </c>
      <c r="F322" s="310"/>
      <c r="G322" s="312"/>
      <c r="H322" s="313"/>
      <c r="I322" s="313"/>
      <c r="J322" s="309">
        <v>22.0</v>
      </c>
      <c r="K322" s="311"/>
      <c r="L322" s="312"/>
      <c r="M322" s="313"/>
      <c r="N322" s="313"/>
      <c r="O322" s="311"/>
      <c r="P322" s="313"/>
      <c r="Q322" s="313"/>
      <c r="R322" s="313"/>
      <c r="S322" s="311"/>
      <c r="T322" s="312"/>
      <c r="U322" s="313"/>
      <c r="V322" s="313"/>
      <c r="W322" s="313"/>
    </row>
    <row r="323" ht="15.0" customHeight="1">
      <c r="A323" s="304" t="s">
        <v>633</v>
      </c>
      <c r="B323" s="312"/>
      <c r="C323" s="313"/>
      <c r="D323" s="313"/>
      <c r="E323" s="309">
        <v>20.0</v>
      </c>
      <c r="F323" s="310"/>
      <c r="G323" s="312"/>
      <c r="H323" s="313"/>
      <c r="I323" s="313"/>
      <c r="J323" s="309">
        <v>20.0</v>
      </c>
      <c r="K323" s="311"/>
      <c r="L323" s="312"/>
      <c r="M323" s="313"/>
      <c r="N323" s="313"/>
      <c r="O323" s="311"/>
      <c r="P323" s="313"/>
      <c r="Q323" s="313"/>
      <c r="R323" s="313"/>
      <c r="S323" s="311"/>
      <c r="T323" s="312"/>
      <c r="U323" s="313"/>
      <c r="V323" s="313"/>
      <c r="W323" s="313"/>
    </row>
    <row r="324" ht="15.0" customHeight="1">
      <c r="A324" s="304" t="s">
        <v>634</v>
      </c>
      <c r="B324" s="312"/>
      <c r="C324" s="313"/>
      <c r="D324" s="313"/>
      <c r="E324" s="309">
        <v>4.0</v>
      </c>
      <c r="F324" s="310"/>
      <c r="G324" s="312"/>
      <c r="H324" s="313"/>
      <c r="I324" s="313"/>
      <c r="J324" s="309">
        <v>4.0</v>
      </c>
      <c r="K324" s="311"/>
      <c r="L324" s="312"/>
      <c r="M324" s="313"/>
      <c r="N324" s="313"/>
      <c r="O324" s="310">
        <v>6.0</v>
      </c>
      <c r="P324" s="313"/>
      <c r="Q324" s="313"/>
      <c r="R324" s="313"/>
      <c r="S324" s="311"/>
      <c r="T324" s="312"/>
      <c r="U324" s="313"/>
      <c r="V324" s="313"/>
      <c r="W324" s="313"/>
    </row>
    <row r="325" ht="15.0" customHeight="1">
      <c r="A325" s="304" t="s">
        <v>635</v>
      </c>
      <c r="B325" s="312"/>
      <c r="C325" s="313"/>
      <c r="D325" s="313"/>
      <c r="E325" s="309">
        <v>8.0</v>
      </c>
      <c r="F325" s="310">
        <v>-10.0</v>
      </c>
      <c r="G325" s="308">
        <v>35.0</v>
      </c>
      <c r="H325" s="309">
        <v>25.0</v>
      </c>
      <c r="I325" s="309">
        <v>42.0</v>
      </c>
      <c r="J325" s="309">
        <v>15.0</v>
      </c>
      <c r="K325" s="311"/>
      <c r="L325" s="312"/>
      <c r="M325" s="313"/>
      <c r="N325" s="313"/>
      <c r="O325" s="310"/>
      <c r="P325" s="313"/>
      <c r="Q325" s="313"/>
      <c r="R325" s="313"/>
      <c r="S325" s="311"/>
      <c r="T325" s="312"/>
      <c r="U325" s="313"/>
      <c r="V325" s="313"/>
      <c r="W325" s="313"/>
    </row>
    <row r="326" ht="15.0" customHeight="1">
      <c r="A326" s="304" t="s">
        <v>636</v>
      </c>
      <c r="B326" s="312"/>
      <c r="C326" s="313"/>
      <c r="D326" s="313"/>
      <c r="E326" s="309"/>
      <c r="F326" s="310"/>
      <c r="G326" s="308"/>
      <c r="H326" s="309"/>
      <c r="I326" s="309"/>
      <c r="J326" s="309"/>
      <c r="K326" s="310"/>
      <c r="L326" s="312"/>
      <c r="M326" s="313"/>
      <c r="N326" s="313"/>
      <c r="O326" s="310">
        <v>6.0</v>
      </c>
      <c r="P326" s="313"/>
      <c r="Q326" s="313"/>
      <c r="R326" s="313"/>
      <c r="S326" s="311"/>
      <c r="T326" s="312"/>
      <c r="U326" s="313"/>
      <c r="V326" s="313"/>
      <c r="W326" s="313"/>
    </row>
    <row r="327" ht="15.0" customHeight="1">
      <c r="A327" s="337"/>
      <c r="B327" s="312"/>
      <c r="C327" s="313"/>
      <c r="D327" s="313"/>
      <c r="E327" s="313"/>
      <c r="F327" s="311"/>
      <c r="G327" s="312"/>
      <c r="H327" s="313"/>
      <c r="I327" s="313"/>
      <c r="J327" s="313"/>
      <c r="K327" s="311"/>
      <c r="L327" s="308"/>
      <c r="M327" s="313"/>
      <c r="N327" s="313"/>
      <c r="O327" s="311"/>
      <c r="P327" s="313"/>
      <c r="Q327" s="313"/>
      <c r="R327" s="313"/>
      <c r="S327" s="311"/>
      <c r="T327" s="312"/>
      <c r="U327" s="313"/>
      <c r="V327" s="313"/>
      <c r="W327" s="313"/>
    </row>
    <row r="328" ht="15.0" customHeight="1">
      <c r="A328" s="340"/>
      <c r="B328" s="336"/>
      <c r="C328" s="338"/>
      <c r="D328" s="338"/>
      <c r="E328" s="338"/>
      <c r="F328" s="335"/>
      <c r="G328" s="336"/>
      <c r="H328" s="338"/>
      <c r="I328" s="338"/>
      <c r="J328" s="338"/>
      <c r="K328" s="335"/>
      <c r="L328" s="332"/>
      <c r="M328" s="338"/>
      <c r="N328" s="338"/>
      <c r="O328" s="335"/>
      <c r="P328" s="338"/>
      <c r="Q328" s="338"/>
      <c r="R328" s="338"/>
      <c r="S328" s="335"/>
      <c r="T328" s="336"/>
      <c r="U328" s="338"/>
      <c r="V328" s="338"/>
      <c r="W328" s="338"/>
    </row>
    <row r="329" ht="15.0" customHeight="1">
      <c r="A329" s="337"/>
      <c r="B329" s="312"/>
      <c r="C329" s="313"/>
      <c r="D329" s="313"/>
      <c r="E329" s="313"/>
      <c r="F329" s="311"/>
      <c r="G329" s="312"/>
      <c r="H329" s="313"/>
      <c r="I329" s="313"/>
      <c r="J329" s="313"/>
      <c r="K329" s="311"/>
      <c r="L329" s="308"/>
      <c r="M329" s="313"/>
      <c r="N329" s="313"/>
      <c r="O329" s="311"/>
      <c r="P329" s="313"/>
      <c r="Q329" s="313"/>
      <c r="R329" s="313"/>
      <c r="S329" s="311"/>
      <c r="T329" s="312"/>
      <c r="U329" s="313"/>
      <c r="V329" s="313"/>
      <c r="W329" s="313"/>
    </row>
    <row r="330" ht="15.0" customHeight="1">
      <c r="A330" s="304" t="s">
        <v>273</v>
      </c>
      <c r="B330" s="312"/>
      <c r="C330" s="313"/>
      <c r="D330" s="313"/>
      <c r="E330" s="309"/>
      <c r="F330" s="310"/>
      <c r="G330" s="308"/>
      <c r="H330" s="309"/>
      <c r="I330" s="309"/>
      <c r="J330" s="309"/>
      <c r="K330" s="310"/>
      <c r="L330" s="308"/>
      <c r="M330" s="313"/>
      <c r="N330" s="313"/>
      <c r="O330" s="310"/>
      <c r="P330" s="313"/>
      <c r="Q330" s="313"/>
      <c r="R330" s="313"/>
      <c r="S330" s="311"/>
      <c r="T330" s="312"/>
      <c r="U330" s="313"/>
      <c r="V330" s="313"/>
      <c r="W330" s="313"/>
    </row>
    <row r="331" ht="15.0" customHeight="1">
      <c r="A331" s="304" t="s">
        <v>637</v>
      </c>
      <c r="B331" s="308">
        <v>-3.0</v>
      </c>
      <c r="C331" s="309">
        <v>-3.0</v>
      </c>
      <c r="D331" s="309">
        <v>12.0</v>
      </c>
      <c r="E331" s="309">
        <v>-9.0</v>
      </c>
      <c r="F331" s="310">
        <v>-5.0</v>
      </c>
      <c r="G331" s="308">
        <v>42.0</v>
      </c>
      <c r="H331" s="309">
        <v>30.0</v>
      </c>
      <c r="I331" s="309">
        <v>49.0</v>
      </c>
      <c r="J331" s="309">
        <v>0.0</v>
      </c>
      <c r="K331" s="310">
        <v>22.0</v>
      </c>
      <c r="L331" s="308">
        <v>2.0</v>
      </c>
      <c r="M331" s="313"/>
      <c r="N331" s="313"/>
      <c r="O331" s="310">
        <v>2.0</v>
      </c>
      <c r="P331" s="313"/>
      <c r="Q331" s="313"/>
      <c r="R331" s="313"/>
      <c r="S331" s="311"/>
      <c r="T331" s="312"/>
      <c r="U331" s="313"/>
      <c r="V331" s="313"/>
      <c r="W331" s="313"/>
    </row>
    <row r="332" ht="15.0" customHeight="1">
      <c r="A332" s="304" t="s">
        <v>638</v>
      </c>
      <c r="B332" s="312"/>
      <c r="C332" s="313"/>
      <c r="D332" s="313"/>
      <c r="E332" s="309">
        <v>-21.0</v>
      </c>
      <c r="F332" s="310">
        <v>-7.0</v>
      </c>
      <c r="G332" s="308">
        <v>71.0</v>
      </c>
      <c r="H332" s="309">
        <v>63.0</v>
      </c>
      <c r="I332" s="309">
        <v>66.0</v>
      </c>
      <c r="J332" s="309">
        <v>-4.0</v>
      </c>
      <c r="K332" s="310">
        <v>93.0</v>
      </c>
      <c r="L332" s="308">
        <v>2.0</v>
      </c>
      <c r="M332" s="313"/>
      <c r="N332" s="313"/>
      <c r="O332" s="310">
        <v>1.0</v>
      </c>
      <c r="P332" s="313"/>
      <c r="Q332" s="313"/>
      <c r="R332" s="313"/>
      <c r="S332" s="311"/>
      <c r="T332" s="312"/>
      <c r="U332" s="313"/>
      <c r="V332" s="313"/>
      <c r="W332" s="313"/>
    </row>
    <row r="333" ht="15.0" customHeight="1">
      <c r="A333" s="304" t="s">
        <v>639</v>
      </c>
      <c r="B333" s="312"/>
      <c r="C333" s="313"/>
      <c r="D333" s="313"/>
      <c r="E333" s="313"/>
      <c r="F333" s="311"/>
      <c r="G333" s="308">
        <v>30.0</v>
      </c>
      <c r="H333" s="309">
        <v>30.0</v>
      </c>
      <c r="I333" s="309">
        <v>30.0</v>
      </c>
      <c r="J333" s="309">
        <v>30.0</v>
      </c>
      <c r="K333" s="310">
        <v>30.0</v>
      </c>
      <c r="L333" s="308"/>
      <c r="M333" s="313"/>
      <c r="N333" s="313"/>
      <c r="O333" s="311"/>
      <c r="P333" s="313"/>
      <c r="Q333" s="313"/>
      <c r="R333" s="313"/>
      <c r="S333" s="311"/>
      <c r="T333" s="312"/>
      <c r="U333" s="313"/>
      <c r="V333" s="313"/>
      <c r="W333" s="313"/>
    </row>
    <row r="334" ht="15.0" customHeight="1">
      <c r="A334" s="304" t="s">
        <v>640</v>
      </c>
      <c r="B334" s="312"/>
      <c r="C334" s="313"/>
      <c r="D334" s="313"/>
      <c r="E334" s="313"/>
      <c r="F334" s="311"/>
      <c r="G334" s="308">
        <v>30.0</v>
      </c>
      <c r="H334" s="309">
        <v>30.0</v>
      </c>
      <c r="I334" s="309">
        <v>30.0</v>
      </c>
      <c r="J334" s="309">
        <v>30.0</v>
      </c>
      <c r="K334" s="310">
        <v>30.0</v>
      </c>
      <c r="L334" s="308"/>
      <c r="M334" s="313"/>
      <c r="N334" s="313"/>
      <c r="O334" s="310">
        <v>3.0</v>
      </c>
      <c r="P334" s="313"/>
      <c r="Q334" s="313"/>
      <c r="R334" s="313"/>
      <c r="S334" s="311"/>
      <c r="T334" s="312"/>
      <c r="U334" s="313"/>
      <c r="V334" s="313"/>
      <c r="W334" s="313"/>
    </row>
    <row r="335" ht="15.0" customHeight="1">
      <c r="A335" s="304" t="s">
        <v>641</v>
      </c>
      <c r="B335" s="312"/>
      <c r="C335" s="313"/>
      <c r="D335" s="313"/>
      <c r="E335" s="309">
        <v>-21.0</v>
      </c>
      <c r="F335" s="310">
        <v>-7.0</v>
      </c>
      <c r="G335" s="308">
        <v>85.0</v>
      </c>
      <c r="H335" s="309">
        <v>82.0</v>
      </c>
      <c r="I335" s="309">
        <v>83.0</v>
      </c>
      <c r="J335" s="309"/>
      <c r="K335" s="310">
        <v>84.0</v>
      </c>
      <c r="L335" s="308"/>
      <c r="M335" s="313"/>
      <c r="N335" s="313"/>
      <c r="O335" s="310">
        <v>4.0</v>
      </c>
      <c r="P335" s="313"/>
      <c r="Q335" s="313"/>
      <c r="R335" s="313"/>
      <c r="S335" s="311"/>
      <c r="T335" s="312"/>
      <c r="U335" s="313"/>
      <c r="V335" s="313"/>
      <c r="W335" s="313"/>
    </row>
    <row r="336" ht="15.0" customHeight="1">
      <c r="A336" s="304" t="s">
        <v>642</v>
      </c>
      <c r="B336" s="312"/>
      <c r="C336" s="313"/>
      <c r="D336" s="313"/>
      <c r="E336" s="309">
        <v>-21.0</v>
      </c>
      <c r="F336" s="310">
        <v>-7.0</v>
      </c>
      <c r="G336" s="308">
        <v>82.0</v>
      </c>
      <c r="H336" s="309">
        <v>82.0</v>
      </c>
      <c r="I336" s="309">
        <v>83.0</v>
      </c>
      <c r="J336" s="309">
        <v>-4.0</v>
      </c>
      <c r="K336" s="310">
        <v>92.0</v>
      </c>
      <c r="L336" s="308"/>
      <c r="M336" s="313"/>
      <c r="N336" s="313"/>
      <c r="O336" s="311"/>
      <c r="P336" s="313"/>
      <c r="Q336" s="313"/>
      <c r="R336" s="313"/>
      <c r="S336" s="311"/>
      <c r="T336" s="312"/>
      <c r="U336" s="313"/>
      <c r="V336" s="313"/>
      <c r="W336" s="313"/>
    </row>
    <row r="337" ht="15.0" customHeight="1">
      <c r="A337" s="304" t="s">
        <v>643</v>
      </c>
      <c r="B337" s="312"/>
      <c r="C337" s="313"/>
      <c r="D337" s="313"/>
      <c r="E337" s="309">
        <v>-14.0</v>
      </c>
      <c r="F337" s="310">
        <v>-7.0</v>
      </c>
      <c r="G337" s="308">
        <v>75.0</v>
      </c>
      <c r="H337" s="309">
        <v>72.0</v>
      </c>
      <c r="I337" s="309">
        <v>73.0</v>
      </c>
      <c r="J337" s="309">
        <v>-4.0</v>
      </c>
      <c r="K337" s="310">
        <v>82.0</v>
      </c>
      <c r="L337" s="308"/>
      <c r="M337" s="313"/>
      <c r="N337" s="313"/>
      <c r="O337" s="311"/>
      <c r="P337" s="313"/>
      <c r="Q337" s="313"/>
      <c r="R337" s="313"/>
      <c r="S337" s="311"/>
      <c r="T337" s="312"/>
      <c r="U337" s="313"/>
      <c r="V337" s="313"/>
      <c r="W337" s="313"/>
    </row>
    <row r="338" ht="15.0" customHeight="1">
      <c r="A338" s="304" t="s">
        <v>644</v>
      </c>
      <c r="B338" s="312"/>
      <c r="C338" s="313"/>
      <c r="D338" s="313"/>
      <c r="E338" s="309">
        <v>-21.0</v>
      </c>
      <c r="F338" s="310">
        <v>-7.0</v>
      </c>
      <c r="G338" s="308">
        <v>82.0</v>
      </c>
      <c r="H338" s="309">
        <v>82.0</v>
      </c>
      <c r="I338" s="309">
        <v>83.0</v>
      </c>
      <c r="J338" s="309">
        <v>-4.0</v>
      </c>
      <c r="K338" s="310">
        <v>92.0</v>
      </c>
      <c r="L338" s="308"/>
      <c r="M338" s="313"/>
      <c r="N338" s="313"/>
      <c r="O338" s="311"/>
      <c r="P338" s="313"/>
      <c r="Q338" s="313"/>
      <c r="R338" s="313"/>
      <c r="S338" s="311"/>
      <c r="T338" s="312"/>
      <c r="U338" s="313"/>
      <c r="V338" s="313"/>
      <c r="W338" s="313"/>
    </row>
    <row r="339" ht="15.0" customHeight="1">
      <c r="A339" s="304" t="s">
        <v>645</v>
      </c>
      <c r="B339" s="312"/>
      <c r="C339" s="313"/>
      <c r="D339" s="313"/>
      <c r="E339" s="309"/>
      <c r="F339" s="310"/>
      <c r="G339" s="308">
        <v>46.0</v>
      </c>
      <c r="H339" s="309">
        <v>43.0</v>
      </c>
      <c r="I339" s="309">
        <v>41.0</v>
      </c>
      <c r="J339" s="309">
        <v>-10.0</v>
      </c>
      <c r="K339" s="310">
        <v>40.0</v>
      </c>
      <c r="L339" s="308">
        <v>1.0</v>
      </c>
      <c r="M339" s="313"/>
      <c r="N339" s="313"/>
      <c r="O339" s="311"/>
      <c r="P339" s="313"/>
      <c r="Q339" s="313"/>
      <c r="R339" s="313"/>
      <c r="S339" s="311"/>
      <c r="T339" s="312"/>
      <c r="U339" s="313"/>
      <c r="V339" s="313"/>
      <c r="W339" s="313"/>
    </row>
    <row r="340" ht="15.0" customHeight="1">
      <c r="A340" s="304" t="s">
        <v>646</v>
      </c>
      <c r="B340" s="312"/>
      <c r="C340" s="313"/>
      <c r="D340" s="313"/>
      <c r="E340" s="309">
        <v>-21.0</v>
      </c>
      <c r="F340" s="310">
        <v>-7.0</v>
      </c>
      <c r="G340" s="308">
        <v>33.0</v>
      </c>
      <c r="H340" s="309">
        <v>31.0</v>
      </c>
      <c r="I340" s="309">
        <v>29.0</v>
      </c>
      <c r="J340" s="309">
        <v>-4.0</v>
      </c>
      <c r="K340" s="310">
        <v>31.0</v>
      </c>
      <c r="L340" s="308"/>
      <c r="M340" s="313"/>
      <c r="N340" s="313"/>
      <c r="O340" s="310">
        <v>6.0</v>
      </c>
      <c r="P340" s="313"/>
      <c r="Q340" s="313"/>
      <c r="R340" s="313"/>
      <c r="S340" s="311"/>
      <c r="T340" s="312"/>
      <c r="U340" s="313"/>
      <c r="V340" s="313"/>
      <c r="W340" s="313"/>
    </row>
    <row r="341" ht="15.0" customHeight="1">
      <c r="A341" s="322" t="s">
        <v>647</v>
      </c>
      <c r="B341" s="315"/>
      <c r="C341" s="315"/>
      <c r="D341" s="315"/>
      <c r="E341" s="315">
        <v>-31.0</v>
      </c>
      <c r="F341" s="323">
        <v>-17.0</v>
      </c>
      <c r="G341" s="315">
        <v>95.0</v>
      </c>
      <c r="H341" s="315">
        <v>92.0</v>
      </c>
      <c r="I341" s="315">
        <v>93.0</v>
      </c>
      <c r="J341" s="315">
        <v>-14.0</v>
      </c>
      <c r="K341" s="323">
        <v>102.0</v>
      </c>
      <c r="L341" s="329"/>
      <c r="M341" s="325"/>
      <c r="N341" s="325"/>
      <c r="O341" s="323">
        <v>4.0</v>
      </c>
      <c r="P341" s="325"/>
      <c r="Q341" s="325"/>
      <c r="R341" s="325"/>
      <c r="S341" s="326"/>
      <c r="T341" s="325"/>
      <c r="U341" s="325"/>
      <c r="V341" s="325"/>
      <c r="W341" s="325"/>
    </row>
    <row r="342" ht="15.0" customHeight="1">
      <c r="A342" s="304" t="s">
        <v>648</v>
      </c>
      <c r="B342" s="312"/>
      <c r="C342" s="313"/>
      <c r="D342" s="313"/>
      <c r="E342" s="309">
        <v>-25.0</v>
      </c>
      <c r="F342" s="310">
        <v>-2.0</v>
      </c>
      <c r="G342" s="308">
        <v>78.0</v>
      </c>
      <c r="H342" s="309">
        <v>76.0</v>
      </c>
      <c r="I342" s="309">
        <v>83.0</v>
      </c>
      <c r="J342" s="309">
        <v>-5.0</v>
      </c>
      <c r="K342" s="310">
        <v>75.0</v>
      </c>
      <c r="L342" s="308"/>
      <c r="M342" s="313"/>
      <c r="N342" s="313"/>
      <c r="O342" s="310"/>
      <c r="P342" s="313"/>
      <c r="Q342" s="313"/>
      <c r="R342" s="313"/>
      <c r="S342" s="311"/>
      <c r="T342" s="312"/>
      <c r="U342" s="313"/>
      <c r="V342" s="313"/>
      <c r="W342" s="313"/>
    </row>
    <row r="343" ht="15.0" customHeight="1">
      <c r="A343" s="304" t="s">
        <v>649</v>
      </c>
      <c r="B343" s="312"/>
      <c r="C343" s="313"/>
      <c r="D343" s="313"/>
      <c r="E343" s="309">
        <v>-21.0</v>
      </c>
      <c r="F343" s="310">
        <v>-7.0</v>
      </c>
      <c r="G343" s="308">
        <v>68.0</v>
      </c>
      <c r="H343" s="309">
        <v>66.0</v>
      </c>
      <c r="I343" s="309">
        <v>63.0</v>
      </c>
      <c r="J343" s="309">
        <v>-4.0</v>
      </c>
      <c r="K343" s="310">
        <v>65.0</v>
      </c>
      <c r="L343" s="308"/>
      <c r="M343" s="313"/>
      <c r="N343" s="313"/>
      <c r="O343" s="310"/>
      <c r="P343" s="313"/>
      <c r="Q343" s="313"/>
      <c r="R343" s="313"/>
      <c r="S343" s="311"/>
      <c r="T343" s="312"/>
      <c r="U343" s="313"/>
      <c r="V343" s="313"/>
      <c r="W343" s="313"/>
    </row>
    <row r="344" ht="15.0" customHeight="1">
      <c r="A344" s="304" t="s">
        <v>650</v>
      </c>
      <c r="B344" s="312"/>
      <c r="C344" s="313"/>
      <c r="D344" s="313"/>
      <c r="E344" s="309">
        <v>-21.0</v>
      </c>
      <c r="F344" s="310">
        <v>-7.0</v>
      </c>
      <c r="G344" s="308">
        <v>51.0</v>
      </c>
      <c r="H344" s="309">
        <v>49.0</v>
      </c>
      <c r="I344" s="309">
        <v>47.0</v>
      </c>
      <c r="J344" s="309">
        <v>-4.0</v>
      </c>
      <c r="K344" s="310">
        <v>49.0</v>
      </c>
      <c r="L344" s="308"/>
      <c r="M344" s="313"/>
      <c r="N344" s="313"/>
      <c r="O344" s="311"/>
      <c r="P344" s="313"/>
      <c r="Q344" s="313"/>
      <c r="R344" s="313"/>
      <c r="S344" s="311"/>
      <c r="T344" s="312"/>
      <c r="U344" s="313"/>
      <c r="V344" s="313"/>
      <c r="W344" s="313"/>
    </row>
    <row r="345" ht="15.0" customHeight="1">
      <c r="A345" s="304" t="s">
        <v>651</v>
      </c>
      <c r="B345" s="308">
        <v>-6.0</v>
      </c>
      <c r="C345" s="309">
        <v>-6.0</v>
      </c>
      <c r="D345" s="309">
        <v>-6.0</v>
      </c>
      <c r="E345" s="309">
        <v>-10.0</v>
      </c>
      <c r="F345" s="310">
        <v>20.0</v>
      </c>
      <c r="G345" s="308">
        <v>32.0</v>
      </c>
      <c r="H345" s="309">
        <v>26.0</v>
      </c>
      <c r="I345" s="309">
        <v>34.0</v>
      </c>
      <c r="J345" s="309">
        <v>40.0</v>
      </c>
      <c r="K345" s="310">
        <v>33.0</v>
      </c>
      <c r="L345" s="312"/>
      <c r="M345" s="309"/>
      <c r="N345" s="313"/>
      <c r="O345" s="310">
        <v>1.0</v>
      </c>
      <c r="P345" s="313"/>
      <c r="Q345" s="313"/>
      <c r="R345" s="313"/>
      <c r="S345" s="311"/>
      <c r="T345" s="312"/>
      <c r="U345" s="313"/>
      <c r="V345" s="313"/>
      <c r="W345" s="313"/>
    </row>
    <row r="346" ht="15.0" customHeight="1">
      <c r="A346" s="304" t="s">
        <v>652</v>
      </c>
      <c r="B346" s="312"/>
      <c r="C346" s="313"/>
      <c r="D346" s="313"/>
      <c r="E346" s="309">
        <v>-12.0</v>
      </c>
      <c r="F346" s="310">
        <v>17.0</v>
      </c>
      <c r="G346" s="308">
        <v>20.0</v>
      </c>
      <c r="H346" s="309">
        <v>16.0</v>
      </c>
      <c r="I346" s="309">
        <v>24.0</v>
      </c>
      <c r="J346" s="309">
        <v>34.0</v>
      </c>
      <c r="K346" s="310">
        <v>29.0</v>
      </c>
      <c r="L346" s="312"/>
      <c r="M346" s="313"/>
      <c r="N346" s="313"/>
      <c r="O346" s="310">
        <v>2.0</v>
      </c>
      <c r="P346" s="313"/>
      <c r="Q346" s="313"/>
      <c r="R346" s="313"/>
      <c r="S346" s="311"/>
      <c r="T346" s="312"/>
      <c r="U346" s="313"/>
      <c r="V346" s="313"/>
      <c r="W346" s="313"/>
    </row>
    <row r="347" ht="15.0" customHeight="1">
      <c r="A347" s="304" t="s">
        <v>653</v>
      </c>
      <c r="B347" s="312"/>
      <c r="C347" s="313"/>
      <c r="D347" s="313"/>
      <c r="E347" s="309">
        <v>-10.0</v>
      </c>
      <c r="F347" s="310">
        <v>17.0</v>
      </c>
      <c r="G347" s="308">
        <v>26.0</v>
      </c>
      <c r="H347" s="309">
        <v>20.0</v>
      </c>
      <c r="I347" s="309">
        <v>28.0</v>
      </c>
      <c r="J347" s="309">
        <v>35.0</v>
      </c>
      <c r="K347" s="310">
        <v>33.0</v>
      </c>
      <c r="L347" s="312"/>
      <c r="M347" s="313"/>
      <c r="N347" s="313"/>
      <c r="O347" s="311"/>
      <c r="P347" s="313"/>
      <c r="Q347" s="313"/>
      <c r="R347" s="313"/>
      <c r="S347" s="311"/>
      <c r="T347" s="312"/>
      <c r="U347" s="313"/>
      <c r="V347" s="313"/>
      <c r="W347" s="313"/>
    </row>
    <row r="348" ht="15.0" customHeight="1">
      <c r="A348" s="304" t="s">
        <v>654</v>
      </c>
      <c r="B348" s="312"/>
      <c r="C348" s="313"/>
      <c r="D348" s="313"/>
      <c r="E348" s="309">
        <v>-10.0</v>
      </c>
      <c r="F348" s="310">
        <v>17.0</v>
      </c>
      <c r="G348" s="308">
        <v>31.0</v>
      </c>
      <c r="H348" s="309">
        <v>25.0</v>
      </c>
      <c r="I348" s="309">
        <v>33.0</v>
      </c>
      <c r="J348" s="309">
        <v>28.0</v>
      </c>
      <c r="K348" s="310">
        <v>31.0</v>
      </c>
      <c r="L348" s="312"/>
      <c r="M348" s="313"/>
      <c r="N348" s="313"/>
      <c r="O348" s="310">
        <v>1.0</v>
      </c>
      <c r="P348" s="313"/>
      <c r="Q348" s="313"/>
      <c r="R348" s="313"/>
      <c r="S348" s="311"/>
      <c r="T348" s="312"/>
      <c r="U348" s="313"/>
      <c r="V348" s="313"/>
      <c r="W348" s="313"/>
    </row>
    <row r="349" ht="15.0" customHeight="1">
      <c r="A349" s="304" t="s">
        <v>655</v>
      </c>
      <c r="B349" s="312"/>
      <c r="C349" s="313"/>
      <c r="D349" s="313"/>
      <c r="E349" s="309">
        <v>-10.0</v>
      </c>
      <c r="F349" s="310">
        <v>17.0</v>
      </c>
      <c r="G349" s="308">
        <v>31.0</v>
      </c>
      <c r="H349" s="309">
        <v>25.0</v>
      </c>
      <c r="I349" s="309">
        <v>33.0</v>
      </c>
      <c r="J349" s="309">
        <v>30.0</v>
      </c>
      <c r="K349" s="310">
        <v>31.0</v>
      </c>
      <c r="L349" s="312"/>
      <c r="M349" s="313"/>
      <c r="N349" s="313"/>
      <c r="O349" s="310"/>
      <c r="P349" s="313"/>
      <c r="Q349" s="313"/>
      <c r="R349" s="313"/>
      <c r="S349" s="311"/>
      <c r="T349" s="312"/>
      <c r="U349" s="313"/>
      <c r="V349" s="313"/>
      <c r="W349" s="313"/>
    </row>
    <row r="350" ht="15.0" customHeight="1">
      <c r="A350" s="304" t="s">
        <v>656</v>
      </c>
      <c r="B350" s="312"/>
      <c r="C350" s="313"/>
      <c r="D350" s="313"/>
      <c r="E350" s="309">
        <v>-10.0</v>
      </c>
      <c r="F350" s="310">
        <v>17.0</v>
      </c>
      <c r="G350" s="308">
        <v>31.0</v>
      </c>
      <c r="H350" s="309">
        <v>25.0</v>
      </c>
      <c r="I350" s="309">
        <v>33.0</v>
      </c>
      <c r="J350" s="309">
        <v>28.0</v>
      </c>
      <c r="K350" s="310">
        <v>31.0</v>
      </c>
      <c r="L350" s="312"/>
      <c r="M350" s="313"/>
      <c r="N350" s="313"/>
      <c r="O350" s="311"/>
      <c r="P350" s="313"/>
      <c r="Q350" s="313"/>
      <c r="R350" s="313"/>
      <c r="S350" s="311"/>
      <c r="T350" s="312"/>
      <c r="U350" s="313"/>
      <c r="V350" s="313"/>
      <c r="W350" s="313"/>
    </row>
    <row r="351" ht="15.0" customHeight="1">
      <c r="A351" s="304" t="s">
        <v>657</v>
      </c>
      <c r="B351" s="312"/>
      <c r="C351" s="313"/>
      <c r="D351" s="313"/>
      <c r="E351" s="309">
        <v>-10.0</v>
      </c>
      <c r="F351" s="310">
        <v>14.0</v>
      </c>
      <c r="G351" s="308">
        <v>28.0</v>
      </c>
      <c r="H351" s="309">
        <v>22.0</v>
      </c>
      <c r="I351" s="309">
        <v>30.0</v>
      </c>
      <c r="J351" s="309">
        <v>20.0</v>
      </c>
      <c r="K351" s="310">
        <v>28.0</v>
      </c>
      <c r="L351" s="312"/>
      <c r="M351" s="313"/>
      <c r="N351" s="313"/>
      <c r="O351" s="311"/>
      <c r="P351" s="313"/>
      <c r="Q351" s="313"/>
      <c r="R351" s="313"/>
      <c r="S351" s="311"/>
      <c r="T351" s="312"/>
      <c r="U351" s="313"/>
      <c r="V351" s="313"/>
      <c r="W351" s="313"/>
    </row>
    <row r="352" ht="15.0" customHeight="1">
      <c r="A352" s="304" t="s">
        <v>658</v>
      </c>
      <c r="B352" s="312"/>
      <c r="C352" s="313"/>
      <c r="D352" s="313"/>
      <c r="E352" s="309">
        <v>-10.0</v>
      </c>
      <c r="F352" s="310">
        <v>11.0</v>
      </c>
      <c r="G352" s="308">
        <v>25.0</v>
      </c>
      <c r="H352" s="309">
        <v>19.0</v>
      </c>
      <c r="I352" s="309">
        <v>27.0</v>
      </c>
      <c r="J352" s="309">
        <v>14.0</v>
      </c>
      <c r="K352" s="310">
        <v>25.0</v>
      </c>
      <c r="L352" s="312"/>
      <c r="M352" s="313"/>
      <c r="N352" s="313"/>
      <c r="O352" s="311"/>
      <c r="P352" s="313"/>
      <c r="Q352" s="313"/>
      <c r="R352" s="313"/>
      <c r="S352" s="311"/>
      <c r="T352" s="312"/>
      <c r="U352" s="313"/>
      <c r="V352" s="313"/>
      <c r="W352" s="313"/>
    </row>
    <row r="353" ht="15.0" customHeight="1">
      <c r="A353" s="304" t="s">
        <v>659</v>
      </c>
      <c r="B353" s="312"/>
      <c r="C353" s="313"/>
      <c r="D353" s="313"/>
      <c r="E353" s="309">
        <v>-10.0</v>
      </c>
      <c r="F353" s="310">
        <v>8.0</v>
      </c>
      <c r="G353" s="308">
        <v>22.0</v>
      </c>
      <c r="H353" s="309">
        <v>16.0</v>
      </c>
      <c r="I353" s="309">
        <v>24.0</v>
      </c>
      <c r="J353" s="309">
        <v>8.0</v>
      </c>
      <c r="K353" s="310">
        <v>22.0</v>
      </c>
      <c r="L353" s="312"/>
      <c r="M353" s="313"/>
      <c r="N353" s="313"/>
      <c r="O353" s="311"/>
      <c r="P353" s="313"/>
      <c r="Q353" s="313"/>
      <c r="R353" s="313"/>
      <c r="S353" s="311"/>
      <c r="T353" s="312"/>
      <c r="U353" s="313"/>
      <c r="V353" s="313"/>
      <c r="W353" s="313"/>
    </row>
    <row r="354" ht="15.0" customHeight="1">
      <c r="A354" s="304" t="s">
        <v>660</v>
      </c>
      <c r="B354" s="312"/>
      <c r="C354" s="313"/>
      <c r="D354" s="313"/>
      <c r="E354" s="309">
        <v>-5.0</v>
      </c>
      <c r="F354" s="310">
        <v>6.0</v>
      </c>
      <c r="G354" s="308">
        <v>15.0</v>
      </c>
      <c r="H354" s="309">
        <v>16.0</v>
      </c>
      <c r="I354" s="309">
        <v>17.0</v>
      </c>
      <c r="J354" s="309">
        <v>6.0</v>
      </c>
      <c r="K354" s="310">
        <v>16.0</v>
      </c>
      <c r="L354" s="312"/>
      <c r="M354" s="313"/>
      <c r="N354" s="313"/>
      <c r="O354" s="311"/>
      <c r="P354" s="313"/>
      <c r="Q354" s="313"/>
      <c r="R354" s="313"/>
      <c r="S354" s="311"/>
      <c r="T354" s="312"/>
      <c r="U354" s="313"/>
      <c r="V354" s="313"/>
      <c r="W354" s="313"/>
    </row>
    <row r="355" ht="15.0" customHeight="1">
      <c r="A355" s="304" t="s">
        <v>661</v>
      </c>
      <c r="B355" s="312"/>
      <c r="C355" s="313"/>
      <c r="D355" s="313"/>
      <c r="E355" s="309">
        <v>-5.0</v>
      </c>
      <c r="F355" s="310">
        <v>6.0</v>
      </c>
      <c r="G355" s="308">
        <v>8.0</v>
      </c>
      <c r="H355" s="309">
        <v>8.0</v>
      </c>
      <c r="I355" s="309">
        <v>10.0</v>
      </c>
      <c r="J355" s="309">
        <v>4.0</v>
      </c>
      <c r="K355" s="310">
        <v>10.0</v>
      </c>
      <c r="L355" s="312"/>
      <c r="M355" s="313"/>
      <c r="N355" s="313"/>
      <c r="O355" s="311"/>
      <c r="P355" s="313"/>
      <c r="Q355" s="313"/>
      <c r="R355" s="313"/>
      <c r="S355" s="311"/>
      <c r="T355" s="312"/>
      <c r="U355" s="313"/>
      <c r="V355" s="313"/>
      <c r="W355" s="313"/>
    </row>
    <row r="356" ht="15.0" customHeight="1">
      <c r="A356" s="304" t="s">
        <v>662</v>
      </c>
      <c r="B356" s="312"/>
      <c r="C356" s="313"/>
      <c r="D356" s="313"/>
      <c r="E356" s="309">
        <v>-10.0</v>
      </c>
      <c r="F356" s="310">
        <v>8.0</v>
      </c>
      <c r="G356" s="308">
        <v>22.0</v>
      </c>
      <c r="H356" s="309">
        <v>16.0</v>
      </c>
      <c r="I356" s="309">
        <v>24.0</v>
      </c>
      <c r="J356" s="309">
        <v>8.0</v>
      </c>
      <c r="K356" s="310">
        <v>22.0</v>
      </c>
      <c r="L356" s="312"/>
      <c r="M356" s="313"/>
      <c r="N356" s="313"/>
      <c r="O356" s="311"/>
      <c r="P356" s="313"/>
      <c r="Q356" s="313"/>
      <c r="R356" s="313"/>
      <c r="S356" s="311"/>
      <c r="T356" s="312"/>
      <c r="U356" s="313"/>
      <c r="V356" s="313"/>
      <c r="W356" s="313"/>
    </row>
    <row r="357" ht="15.0" customHeight="1">
      <c r="A357" s="304" t="s">
        <v>663</v>
      </c>
      <c r="B357" s="312"/>
      <c r="C357" s="313"/>
      <c r="D357" s="313"/>
      <c r="E357" s="309">
        <v>-5.0</v>
      </c>
      <c r="F357" s="310">
        <v>2.0</v>
      </c>
      <c r="G357" s="308">
        <v>7.0</v>
      </c>
      <c r="H357" s="309">
        <v>7.0</v>
      </c>
      <c r="I357" s="309">
        <v>9.0</v>
      </c>
      <c r="J357" s="309">
        <v>4.0</v>
      </c>
      <c r="K357" s="310">
        <v>9.0</v>
      </c>
      <c r="L357" s="312"/>
      <c r="M357" s="313"/>
      <c r="N357" s="313"/>
      <c r="O357" s="311"/>
      <c r="P357" s="313"/>
      <c r="Q357" s="313"/>
      <c r="R357" s="313"/>
      <c r="S357" s="311"/>
      <c r="T357" s="312"/>
      <c r="U357" s="313"/>
      <c r="V357" s="313"/>
      <c r="W357" s="313"/>
    </row>
    <row r="358" ht="15.0" customHeight="1">
      <c r="A358" s="304" t="s">
        <v>664</v>
      </c>
      <c r="B358" s="312"/>
      <c r="C358" s="313"/>
      <c r="D358" s="313"/>
      <c r="E358" s="309">
        <v>-10.0</v>
      </c>
      <c r="F358" s="310">
        <v>15.0</v>
      </c>
      <c r="G358" s="308">
        <v>26.0</v>
      </c>
      <c r="H358" s="309">
        <v>21.0</v>
      </c>
      <c r="I358" s="309">
        <v>28.0</v>
      </c>
      <c r="J358" s="309">
        <v>19.0</v>
      </c>
      <c r="K358" s="310">
        <v>26.0</v>
      </c>
      <c r="L358" s="312"/>
      <c r="M358" s="313"/>
      <c r="N358" s="313"/>
      <c r="O358" s="311"/>
      <c r="P358" s="313"/>
      <c r="Q358" s="313"/>
      <c r="R358" s="313"/>
      <c r="S358" s="311"/>
      <c r="T358" s="312"/>
      <c r="U358" s="313"/>
      <c r="V358" s="313"/>
      <c r="W358" s="313"/>
    </row>
    <row r="359" ht="15.0" customHeight="1">
      <c r="A359" s="304" t="s">
        <v>665</v>
      </c>
      <c r="B359" s="312"/>
      <c r="C359" s="313"/>
      <c r="D359" s="313"/>
      <c r="E359" s="309"/>
      <c r="F359" s="310">
        <v>4.0</v>
      </c>
      <c r="G359" s="308">
        <v>2.0</v>
      </c>
      <c r="H359" s="309">
        <v>2.0</v>
      </c>
      <c r="I359" s="309">
        <v>1.0</v>
      </c>
      <c r="J359" s="309"/>
      <c r="K359" s="310"/>
      <c r="L359" s="312"/>
      <c r="M359" s="313"/>
      <c r="N359" s="313"/>
      <c r="O359" s="311"/>
      <c r="P359" s="313"/>
      <c r="Q359" s="313"/>
      <c r="R359" s="313"/>
      <c r="S359" s="311"/>
      <c r="T359" s="312"/>
      <c r="U359" s="313"/>
      <c r="V359" s="313"/>
      <c r="W359" s="313"/>
    </row>
    <row r="360" ht="15.0" customHeight="1">
      <c r="A360" s="304" t="s">
        <v>95</v>
      </c>
      <c r="B360" s="312"/>
      <c r="C360" s="313"/>
      <c r="D360" s="313"/>
      <c r="E360" s="309">
        <v>26.0</v>
      </c>
      <c r="F360" s="310">
        <v>-7.0</v>
      </c>
      <c r="G360" s="308">
        <v>27.0</v>
      </c>
      <c r="H360" s="309">
        <v>24.0</v>
      </c>
      <c r="I360" s="309">
        <v>30.0</v>
      </c>
      <c r="J360" s="309">
        <v>28.0</v>
      </c>
      <c r="K360" s="310">
        <v>0.0</v>
      </c>
      <c r="L360" s="312"/>
      <c r="M360" s="313"/>
      <c r="N360" s="309">
        <v>0.02</v>
      </c>
      <c r="O360" s="311"/>
      <c r="P360" s="313"/>
      <c r="Q360" s="313"/>
      <c r="R360" s="313"/>
      <c r="S360" s="311"/>
      <c r="T360" s="312"/>
      <c r="U360" s="313"/>
      <c r="V360" s="313"/>
      <c r="W360" s="313"/>
    </row>
    <row r="361" ht="15.0" customHeight="1">
      <c r="A361" s="304" t="s">
        <v>666</v>
      </c>
      <c r="B361" s="312"/>
      <c r="C361" s="313"/>
      <c r="D361" s="313"/>
      <c r="E361" s="309">
        <v>22.0</v>
      </c>
      <c r="F361" s="310">
        <v>-7.0</v>
      </c>
      <c r="G361" s="308">
        <v>33.0</v>
      </c>
      <c r="H361" s="309">
        <v>30.0</v>
      </c>
      <c r="I361" s="309">
        <v>36.0</v>
      </c>
      <c r="J361" s="309">
        <v>22.0</v>
      </c>
      <c r="K361" s="310"/>
      <c r="L361" s="312"/>
      <c r="M361" s="313"/>
      <c r="N361" s="313"/>
      <c r="O361" s="311"/>
      <c r="P361" s="313"/>
      <c r="Q361" s="313"/>
      <c r="R361" s="313"/>
      <c r="S361" s="311"/>
      <c r="T361" s="312"/>
      <c r="U361" s="313"/>
      <c r="V361" s="313"/>
      <c r="W361" s="313"/>
    </row>
    <row r="362" ht="15.0" customHeight="1">
      <c r="A362" s="304" t="s">
        <v>667</v>
      </c>
      <c r="B362" s="312"/>
      <c r="C362" s="313"/>
      <c r="D362" s="313"/>
      <c r="E362" s="309">
        <v>19.0</v>
      </c>
      <c r="F362" s="310"/>
      <c r="G362" s="308"/>
      <c r="H362" s="309"/>
      <c r="I362" s="309"/>
      <c r="J362" s="309">
        <v>19.0</v>
      </c>
      <c r="K362" s="310"/>
      <c r="L362" s="312"/>
      <c r="M362" s="313"/>
      <c r="N362" s="313"/>
      <c r="O362" s="311"/>
      <c r="P362" s="313"/>
      <c r="Q362" s="313"/>
      <c r="R362" s="313"/>
      <c r="S362" s="311"/>
      <c r="T362" s="312"/>
      <c r="U362" s="313"/>
      <c r="V362" s="313"/>
      <c r="W362" s="313"/>
    </row>
    <row r="363" ht="15.0" customHeight="1">
      <c r="A363" s="304" t="s">
        <v>668</v>
      </c>
      <c r="B363" s="312"/>
      <c r="C363" s="313"/>
      <c r="D363" s="313"/>
      <c r="E363" s="309">
        <v>6.0</v>
      </c>
      <c r="F363" s="310"/>
      <c r="G363" s="308"/>
      <c r="H363" s="309"/>
      <c r="I363" s="309"/>
      <c r="J363" s="309">
        <v>6.0</v>
      </c>
      <c r="K363" s="310"/>
      <c r="L363" s="312"/>
      <c r="M363" s="313"/>
      <c r="N363" s="313"/>
      <c r="O363" s="311"/>
      <c r="P363" s="313"/>
      <c r="Q363" s="313"/>
      <c r="R363" s="313"/>
      <c r="S363" s="311"/>
      <c r="T363" s="312"/>
      <c r="U363" s="313"/>
      <c r="V363" s="313"/>
      <c r="W363" s="313"/>
    </row>
    <row r="364" ht="15.0" customHeight="1">
      <c r="A364" s="304" t="s">
        <v>669</v>
      </c>
      <c r="B364" s="312"/>
      <c r="C364" s="313"/>
      <c r="D364" s="313"/>
      <c r="E364" s="309">
        <v>17.0</v>
      </c>
      <c r="F364" s="310"/>
      <c r="G364" s="308"/>
      <c r="H364" s="309"/>
      <c r="I364" s="309"/>
      <c r="J364" s="309">
        <v>17.0</v>
      </c>
      <c r="K364" s="310"/>
      <c r="L364" s="312"/>
      <c r="M364" s="313"/>
      <c r="N364" s="313"/>
      <c r="O364" s="311"/>
      <c r="P364" s="313"/>
      <c r="Q364" s="313"/>
      <c r="R364" s="313"/>
      <c r="S364" s="311"/>
      <c r="T364" s="312"/>
      <c r="U364" s="313"/>
      <c r="V364" s="313"/>
      <c r="W364" s="313"/>
    </row>
    <row r="365" ht="15.0" customHeight="1">
      <c r="A365" s="304" t="s">
        <v>670</v>
      </c>
      <c r="B365" s="312"/>
      <c r="C365" s="313"/>
      <c r="D365" s="313"/>
      <c r="E365" s="309">
        <v>15.0</v>
      </c>
      <c r="F365" s="310"/>
      <c r="G365" s="308"/>
      <c r="H365" s="309"/>
      <c r="I365" s="309"/>
      <c r="J365" s="309">
        <v>15.0</v>
      </c>
      <c r="K365" s="310"/>
      <c r="L365" s="312"/>
      <c r="M365" s="313"/>
      <c r="N365" s="313"/>
      <c r="O365" s="311"/>
      <c r="P365" s="313"/>
      <c r="Q365" s="313"/>
      <c r="R365" s="313"/>
      <c r="S365" s="311"/>
      <c r="T365" s="312"/>
      <c r="U365" s="313"/>
      <c r="V365" s="313"/>
      <c r="W365" s="313"/>
    </row>
    <row r="366" ht="15.0" customHeight="1">
      <c r="A366" s="304" t="s">
        <v>671</v>
      </c>
      <c r="B366" s="312"/>
      <c r="C366" s="313"/>
      <c r="D366" s="313"/>
      <c r="E366" s="309">
        <v>4.0</v>
      </c>
      <c r="F366" s="310"/>
      <c r="G366" s="308"/>
      <c r="H366" s="309"/>
      <c r="I366" s="309"/>
      <c r="J366" s="309">
        <v>4.0</v>
      </c>
      <c r="K366" s="310"/>
      <c r="L366" s="312"/>
      <c r="M366" s="313"/>
      <c r="N366" s="313"/>
      <c r="O366" s="310">
        <v>5.0</v>
      </c>
      <c r="P366" s="313"/>
      <c r="Q366" s="313"/>
      <c r="R366" s="313"/>
      <c r="S366" s="311"/>
      <c r="T366" s="312"/>
      <c r="U366" s="313"/>
      <c r="V366" s="313"/>
      <c r="W366" s="313"/>
    </row>
    <row r="367" ht="15.0" customHeight="1">
      <c r="A367" s="304" t="s">
        <v>672</v>
      </c>
      <c r="B367" s="312"/>
      <c r="C367" s="313"/>
      <c r="D367" s="313"/>
      <c r="E367" s="309">
        <v>6.0</v>
      </c>
      <c r="F367" s="310">
        <v>-7.0</v>
      </c>
      <c r="G367" s="308">
        <v>22.0</v>
      </c>
      <c r="H367" s="309">
        <v>20.0</v>
      </c>
      <c r="I367" s="309">
        <v>24.0</v>
      </c>
      <c r="J367" s="309">
        <v>10.0</v>
      </c>
      <c r="K367" s="310"/>
      <c r="L367" s="312"/>
      <c r="M367" s="313"/>
      <c r="N367" s="313"/>
      <c r="O367" s="310"/>
      <c r="P367" s="313"/>
      <c r="Q367" s="313"/>
      <c r="R367" s="313"/>
      <c r="S367" s="311"/>
      <c r="T367" s="312"/>
      <c r="U367" s="313"/>
      <c r="V367" s="313"/>
      <c r="W367" s="313"/>
    </row>
    <row r="368" ht="15.0" customHeight="1">
      <c r="A368" s="304" t="s">
        <v>673</v>
      </c>
      <c r="B368" s="312"/>
      <c r="C368" s="313"/>
      <c r="D368" s="313"/>
      <c r="E368" s="309"/>
      <c r="F368" s="310"/>
      <c r="G368" s="308"/>
      <c r="H368" s="309"/>
      <c r="I368" s="309"/>
      <c r="J368" s="309"/>
      <c r="K368" s="310"/>
      <c r="L368" s="312"/>
      <c r="M368" s="313"/>
      <c r="N368" s="313"/>
      <c r="O368" s="310">
        <v>5.0</v>
      </c>
      <c r="P368" s="313"/>
      <c r="Q368" s="313"/>
      <c r="R368" s="313"/>
      <c r="S368" s="311"/>
      <c r="T368" s="312"/>
      <c r="U368" s="313"/>
      <c r="V368" s="313"/>
      <c r="W368" s="313"/>
    </row>
    <row r="369" ht="15.0" customHeight="1">
      <c r="A369" s="304"/>
      <c r="B369" s="308"/>
      <c r="C369" s="309"/>
      <c r="D369" s="309"/>
      <c r="E369" s="313"/>
      <c r="F369" s="311"/>
      <c r="G369" s="312"/>
      <c r="H369" s="313"/>
      <c r="I369" s="313"/>
      <c r="J369" s="313"/>
      <c r="K369" s="311"/>
      <c r="L369" s="308"/>
      <c r="M369" s="313"/>
      <c r="N369" s="313"/>
      <c r="O369" s="311"/>
      <c r="P369" s="313"/>
      <c r="Q369" s="313"/>
      <c r="R369" s="313"/>
      <c r="S369" s="311"/>
      <c r="T369" s="312"/>
      <c r="U369" s="313"/>
      <c r="V369" s="313"/>
      <c r="W369" s="313"/>
    </row>
    <row r="370" ht="15.0" customHeight="1">
      <c r="A370" s="331"/>
      <c r="B370" s="332"/>
      <c r="C370" s="333"/>
      <c r="D370" s="333"/>
      <c r="E370" s="338"/>
      <c r="F370" s="335"/>
      <c r="G370" s="336"/>
      <c r="H370" s="338"/>
      <c r="I370" s="338"/>
      <c r="J370" s="338"/>
      <c r="K370" s="335"/>
      <c r="L370" s="332"/>
      <c r="M370" s="338"/>
      <c r="N370" s="338"/>
      <c r="O370" s="335"/>
      <c r="P370" s="338"/>
      <c r="Q370" s="338"/>
      <c r="R370" s="338"/>
      <c r="S370" s="335"/>
      <c r="T370" s="336"/>
      <c r="U370" s="338"/>
      <c r="V370" s="338"/>
      <c r="W370" s="338"/>
    </row>
    <row r="371" ht="15.0" customHeight="1">
      <c r="A371" s="337"/>
      <c r="B371" s="312"/>
      <c r="C371" s="313"/>
      <c r="D371" s="313"/>
      <c r="E371" s="313"/>
      <c r="F371" s="311"/>
      <c r="G371" s="312"/>
      <c r="H371" s="313"/>
      <c r="I371" s="313"/>
      <c r="J371" s="313"/>
      <c r="K371" s="311"/>
      <c r="L371" s="308"/>
      <c r="M371" s="313"/>
      <c r="N371" s="313"/>
      <c r="O371" s="311"/>
      <c r="P371" s="313"/>
      <c r="Q371" s="313"/>
      <c r="R371" s="313"/>
      <c r="S371" s="311"/>
      <c r="T371" s="312"/>
      <c r="U371" s="313"/>
      <c r="V371" s="313"/>
      <c r="W371" s="313"/>
    </row>
    <row r="372" ht="15.0" customHeight="1">
      <c r="A372" s="304" t="s">
        <v>273</v>
      </c>
      <c r="B372" s="312"/>
      <c r="C372" s="313"/>
      <c r="D372" s="313"/>
      <c r="E372" s="309"/>
      <c r="F372" s="310"/>
      <c r="G372" s="308"/>
      <c r="H372" s="309"/>
      <c r="I372" s="309"/>
      <c r="J372" s="309"/>
      <c r="K372" s="310"/>
      <c r="L372" s="308"/>
      <c r="M372" s="313"/>
      <c r="N372" s="313"/>
      <c r="O372" s="311"/>
      <c r="P372" s="313"/>
      <c r="Q372" s="313"/>
      <c r="R372" s="313"/>
      <c r="S372" s="311"/>
      <c r="T372" s="312"/>
      <c r="U372" s="313"/>
      <c r="V372" s="313"/>
      <c r="W372" s="313"/>
    </row>
    <row r="373" ht="15.0" customHeight="1">
      <c r="A373" s="327" t="s">
        <v>674</v>
      </c>
      <c r="B373" s="318">
        <v>30.0</v>
      </c>
      <c r="C373" s="318">
        <v>29.0</v>
      </c>
      <c r="D373" s="318">
        <v>28.0</v>
      </c>
      <c r="E373" s="315">
        <v>-5.0</v>
      </c>
      <c r="F373" s="323">
        <v>-4.0</v>
      </c>
      <c r="G373" s="318">
        <v>30.0</v>
      </c>
      <c r="H373" s="318">
        <v>29.0</v>
      </c>
      <c r="I373" s="318">
        <v>28.0</v>
      </c>
      <c r="J373" s="315">
        <v>-5.0</v>
      </c>
      <c r="K373" s="323">
        <v>-4.0</v>
      </c>
      <c r="L373" s="314">
        <v>8.0</v>
      </c>
      <c r="M373" s="325"/>
      <c r="N373" s="325"/>
      <c r="O373" s="326"/>
      <c r="P373" s="325"/>
      <c r="Q373" s="325"/>
      <c r="R373" s="325"/>
      <c r="S373" s="326"/>
      <c r="T373" s="325"/>
      <c r="U373" s="325"/>
      <c r="V373" s="325"/>
      <c r="W373" s="325"/>
    </row>
    <row r="374" ht="15.0" customHeight="1">
      <c r="A374" s="304" t="s">
        <v>675</v>
      </c>
      <c r="B374" s="312"/>
      <c r="C374" s="313"/>
      <c r="D374" s="313"/>
      <c r="E374" s="309">
        <v>-10.0</v>
      </c>
      <c r="F374" s="310">
        <v>-5.0</v>
      </c>
      <c r="G374" s="308">
        <v>70.0</v>
      </c>
      <c r="H374" s="309">
        <v>75.0</v>
      </c>
      <c r="I374" s="309">
        <v>72.0</v>
      </c>
      <c r="J374" s="309">
        <v>10.0</v>
      </c>
      <c r="K374" s="310">
        <v>72.0</v>
      </c>
      <c r="L374" s="308">
        <v>7.0</v>
      </c>
      <c r="M374" s="313"/>
      <c r="N374" s="313"/>
      <c r="O374" s="311"/>
      <c r="P374" s="313"/>
      <c r="Q374" s="313"/>
      <c r="R374" s="313"/>
      <c r="S374" s="311"/>
      <c r="T374" s="312"/>
      <c r="U374" s="313"/>
      <c r="V374" s="313"/>
      <c r="W374" s="313"/>
    </row>
    <row r="375" ht="15.0" customHeight="1">
      <c r="A375" s="304" t="s">
        <v>676</v>
      </c>
      <c r="B375" s="308">
        <v>25.0</v>
      </c>
      <c r="C375" s="309">
        <v>24.0</v>
      </c>
      <c r="D375" s="309">
        <v>23.0</v>
      </c>
      <c r="E375" s="309">
        <v>-3.0</v>
      </c>
      <c r="F375" s="310">
        <v>-2.0</v>
      </c>
      <c r="G375" s="308">
        <v>25.0</v>
      </c>
      <c r="H375" s="309">
        <v>24.0</v>
      </c>
      <c r="I375" s="309">
        <v>23.0</v>
      </c>
      <c r="J375" s="309">
        <v>-3.0</v>
      </c>
      <c r="K375" s="310">
        <v>-2.0</v>
      </c>
      <c r="L375" s="308">
        <v>6.0</v>
      </c>
      <c r="M375" s="313"/>
      <c r="N375" s="313"/>
      <c r="O375" s="311"/>
      <c r="P375" s="313"/>
      <c r="Q375" s="313"/>
      <c r="R375" s="313"/>
      <c r="S375" s="311"/>
      <c r="T375" s="312"/>
      <c r="U375" s="313"/>
      <c r="V375" s="313"/>
      <c r="W375" s="313"/>
    </row>
    <row r="376" ht="15.0" customHeight="1">
      <c r="A376" s="304" t="s">
        <v>677</v>
      </c>
      <c r="B376" s="308"/>
      <c r="C376" s="309"/>
      <c r="D376" s="309"/>
      <c r="E376" s="309">
        <v>-10.0</v>
      </c>
      <c r="F376" s="310">
        <v>-10.0</v>
      </c>
      <c r="G376" s="308">
        <v>51.0</v>
      </c>
      <c r="H376" s="309">
        <v>54.0</v>
      </c>
      <c r="I376" s="309">
        <v>53.0</v>
      </c>
      <c r="J376" s="309">
        <v>0.0</v>
      </c>
      <c r="K376" s="310">
        <v>80.0</v>
      </c>
      <c r="L376" s="308"/>
      <c r="M376" s="313"/>
      <c r="N376" s="313"/>
      <c r="O376" s="311"/>
      <c r="P376" s="313"/>
      <c r="Q376" s="313"/>
      <c r="R376" s="313"/>
      <c r="S376" s="311"/>
      <c r="T376" s="312"/>
      <c r="U376" s="313"/>
      <c r="V376" s="313"/>
      <c r="W376" s="313"/>
    </row>
    <row r="377" ht="15.0" customHeight="1">
      <c r="A377" s="304" t="s">
        <v>678</v>
      </c>
      <c r="B377" s="308"/>
      <c r="C377" s="309"/>
      <c r="D377" s="309"/>
      <c r="E377" s="309">
        <v>-6.0</v>
      </c>
      <c r="F377" s="310">
        <v>-2.0</v>
      </c>
      <c r="G377" s="308">
        <v>50.0</v>
      </c>
      <c r="H377" s="309">
        <v>52.0</v>
      </c>
      <c r="I377" s="309">
        <v>48.0</v>
      </c>
      <c r="J377" s="309"/>
      <c r="K377" s="310">
        <v>50.0</v>
      </c>
      <c r="L377" s="308"/>
      <c r="M377" s="313"/>
      <c r="N377" s="313"/>
      <c r="O377" s="311"/>
      <c r="P377" s="313"/>
      <c r="Q377" s="313"/>
      <c r="R377" s="313"/>
      <c r="S377" s="311"/>
      <c r="T377" s="312"/>
      <c r="U377" s="313"/>
      <c r="V377" s="313"/>
      <c r="W377" s="313"/>
    </row>
    <row r="378" ht="15.0" customHeight="1">
      <c r="A378" s="304" t="s">
        <v>679</v>
      </c>
      <c r="B378" s="308"/>
      <c r="C378" s="309"/>
      <c r="D378" s="309"/>
      <c r="E378" s="309">
        <v>-10.0</v>
      </c>
      <c r="F378" s="310">
        <v>-4.0</v>
      </c>
      <c r="G378" s="308">
        <v>63.0</v>
      </c>
      <c r="H378" s="309">
        <v>65.0</v>
      </c>
      <c r="I378" s="309">
        <v>61.0</v>
      </c>
      <c r="J378" s="309">
        <v>-3.0</v>
      </c>
      <c r="K378" s="310">
        <v>63.0</v>
      </c>
      <c r="L378" s="308"/>
      <c r="M378" s="313"/>
      <c r="N378" s="313"/>
      <c r="O378" s="311"/>
      <c r="P378" s="313"/>
      <c r="Q378" s="313"/>
      <c r="R378" s="313"/>
      <c r="S378" s="311"/>
      <c r="T378" s="312"/>
      <c r="U378" s="313"/>
      <c r="V378" s="313"/>
      <c r="W378" s="313"/>
    </row>
    <row r="379" ht="15.0" customHeight="1">
      <c r="A379" s="304" t="s">
        <v>680</v>
      </c>
      <c r="B379" s="308"/>
      <c r="C379" s="309"/>
      <c r="D379" s="309"/>
      <c r="E379" s="309">
        <v>-8.0</v>
      </c>
      <c r="F379" s="310">
        <v>-2.0</v>
      </c>
      <c r="G379" s="308">
        <v>44.0</v>
      </c>
      <c r="H379" s="309">
        <v>48.0</v>
      </c>
      <c r="I379" s="309">
        <v>46.0</v>
      </c>
      <c r="J379" s="309">
        <v>-1.0</v>
      </c>
      <c r="K379" s="310">
        <v>46.0</v>
      </c>
      <c r="L379" s="308"/>
      <c r="M379" s="313"/>
      <c r="N379" s="313"/>
      <c r="O379" s="311"/>
      <c r="P379" s="313"/>
      <c r="Q379" s="313"/>
      <c r="R379" s="313"/>
      <c r="S379" s="311"/>
      <c r="T379" s="312"/>
      <c r="U379" s="313"/>
      <c r="V379" s="313"/>
      <c r="W379" s="313"/>
    </row>
    <row r="380" ht="15.0" customHeight="1">
      <c r="A380" s="304" t="s">
        <v>681</v>
      </c>
      <c r="B380" s="308"/>
      <c r="C380" s="309"/>
      <c r="D380" s="309"/>
      <c r="E380" s="309">
        <v>-8.0</v>
      </c>
      <c r="F380" s="310">
        <v>-2.0</v>
      </c>
      <c r="G380" s="308">
        <v>56.0</v>
      </c>
      <c r="H380" s="309">
        <v>60.0</v>
      </c>
      <c r="I380" s="309">
        <v>58.0</v>
      </c>
      <c r="J380" s="309">
        <v>-1.0</v>
      </c>
      <c r="K380" s="310">
        <v>58.0</v>
      </c>
      <c r="L380" s="308"/>
      <c r="M380" s="313"/>
      <c r="N380" s="313"/>
      <c r="O380" s="311"/>
      <c r="P380" s="313"/>
      <c r="Q380" s="313"/>
      <c r="R380" s="313"/>
      <c r="S380" s="311"/>
      <c r="T380" s="312"/>
      <c r="U380" s="313"/>
      <c r="V380" s="313"/>
      <c r="W380" s="313"/>
    </row>
    <row r="381" ht="15.0" customHeight="1">
      <c r="A381" s="304" t="s">
        <v>682</v>
      </c>
      <c r="B381" s="308">
        <v>20.0</v>
      </c>
      <c r="C381" s="309">
        <v>19.0</v>
      </c>
      <c r="D381" s="309">
        <v>18.0</v>
      </c>
      <c r="E381" s="309">
        <v>-3.0</v>
      </c>
      <c r="F381" s="310">
        <v>-2.0</v>
      </c>
      <c r="G381" s="308">
        <v>20.0</v>
      </c>
      <c r="H381" s="309">
        <v>19.0</v>
      </c>
      <c r="I381" s="309">
        <v>18.0</v>
      </c>
      <c r="J381" s="309">
        <v>-3.0</v>
      </c>
      <c r="K381" s="310">
        <v>-2.0</v>
      </c>
      <c r="L381" s="308">
        <v>5.0</v>
      </c>
      <c r="M381" s="313"/>
      <c r="N381" s="313"/>
      <c r="O381" s="311"/>
      <c r="P381" s="313"/>
      <c r="Q381" s="313"/>
      <c r="R381" s="313"/>
      <c r="S381" s="311"/>
      <c r="T381" s="312"/>
      <c r="U381" s="313"/>
      <c r="V381" s="313"/>
      <c r="W381" s="313"/>
    </row>
    <row r="382" ht="15.0" customHeight="1">
      <c r="A382" s="304" t="s">
        <v>683</v>
      </c>
      <c r="B382" s="308"/>
      <c r="C382" s="309"/>
      <c r="D382" s="309"/>
      <c r="E382" s="309">
        <v>-12.0</v>
      </c>
      <c r="F382" s="310">
        <v>-8.0</v>
      </c>
      <c r="G382" s="308">
        <v>40.0</v>
      </c>
      <c r="H382" s="309">
        <v>42.0</v>
      </c>
      <c r="I382" s="309">
        <v>38.0</v>
      </c>
      <c r="J382" s="309">
        <v>0.0</v>
      </c>
      <c r="K382" s="310">
        <v>65.0</v>
      </c>
      <c r="L382" s="308">
        <v>5.0</v>
      </c>
      <c r="M382" s="313"/>
      <c r="N382" s="313"/>
      <c r="O382" s="311"/>
      <c r="P382" s="313"/>
      <c r="Q382" s="313"/>
      <c r="R382" s="313"/>
      <c r="S382" s="311"/>
      <c r="T382" s="312"/>
      <c r="U382" s="313"/>
      <c r="V382" s="313"/>
      <c r="W382" s="313"/>
    </row>
    <row r="383" ht="15.0" customHeight="1">
      <c r="A383" s="304" t="s">
        <v>684</v>
      </c>
      <c r="B383" s="308">
        <v>8.0</v>
      </c>
      <c r="C383" s="309">
        <v>8.0</v>
      </c>
      <c r="D383" s="309">
        <v>8.0</v>
      </c>
      <c r="E383" s="309">
        <v>8.0</v>
      </c>
      <c r="F383" s="310">
        <v>8.0</v>
      </c>
      <c r="G383" s="312"/>
      <c r="H383" s="313"/>
      <c r="I383" s="313"/>
      <c r="J383" s="313"/>
      <c r="K383" s="311"/>
      <c r="L383" s="308"/>
      <c r="M383" s="313"/>
      <c r="N383" s="313"/>
      <c r="O383" s="310">
        <v>5.0</v>
      </c>
      <c r="P383" s="313"/>
      <c r="Q383" s="313"/>
      <c r="R383" s="313"/>
      <c r="S383" s="311"/>
      <c r="T383" s="312"/>
      <c r="U383" s="313"/>
      <c r="V383" s="313"/>
      <c r="W383" s="313"/>
    </row>
    <row r="384" ht="15.0" customHeight="1">
      <c r="A384" s="304" t="s">
        <v>685</v>
      </c>
      <c r="B384" s="308">
        <v>4.0</v>
      </c>
      <c r="C384" s="309">
        <v>4.0</v>
      </c>
      <c r="D384" s="309">
        <v>4.0</v>
      </c>
      <c r="E384" s="309">
        <v>4.0</v>
      </c>
      <c r="F384" s="310">
        <v>4.0</v>
      </c>
      <c r="G384" s="308">
        <v>4.0</v>
      </c>
      <c r="H384" s="309">
        <v>4.0</v>
      </c>
      <c r="I384" s="309">
        <v>4.0</v>
      </c>
      <c r="J384" s="309">
        <v>4.0</v>
      </c>
      <c r="K384" s="310">
        <v>4.0</v>
      </c>
      <c r="L384" s="308"/>
      <c r="M384" s="313"/>
      <c r="N384" s="313"/>
      <c r="O384" s="310">
        <v>5.0</v>
      </c>
      <c r="P384" s="313"/>
      <c r="Q384" s="313"/>
      <c r="R384" s="313"/>
      <c r="S384" s="311"/>
      <c r="T384" s="312"/>
      <c r="U384" s="313"/>
      <c r="V384" s="313"/>
      <c r="W384" s="313"/>
    </row>
    <row r="385" ht="15.0" customHeight="1">
      <c r="A385" s="304" t="s">
        <v>686</v>
      </c>
      <c r="B385" s="308"/>
      <c r="C385" s="309"/>
      <c r="D385" s="309"/>
      <c r="E385" s="309">
        <v>-8.0</v>
      </c>
      <c r="F385" s="310">
        <v>-2.0</v>
      </c>
      <c r="G385" s="308">
        <v>8.0</v>
      </c>
      <c r="H385" s="309">
        <v>10.0</v>
      </c>
      <c r="I385" s="309">
        <v>9.0</v>
      </c>
      <c r="J385" s="309">
        <v>-1.0</v>
      </c>
      <c r="K385" s="310">
        <v>9.0</v>
      </c>
      <c r="L385" s="308"/>
      <c r="M385" s="313"/>
      <c r="N385" s="313"/>
      <c r="O385" s="310">
        <v>1.0</v>
      </c>
      <c r="P385" s="313"/>
      <c r="Q385" s="313"/>
      <c r="R385" s="313"/>
      <c r="S385" s="311"/>
      <c r="T385" s="312"/>
      <c r="U385" s="313"/>
      <c r="V385" s="313"/>
      <c r="W385" s="313"/>
    </row>
    <row r="386" ht="15.0" customHeight="1">
      <c r="A386" s="304" t="s">
        <v>687</v>
      </c>
      <c r="B386" s="308"/>
      <c r="C386" s="309"/>
      <c r="D386" s="309"/>
      <c r="E386" s="309">
        <v>-8.0</v>
      </c>
      <c r="F386" s="310">
        <v>-2.0</v>
      </c>
      <c r="G386" s="308">
        <v>13.0</v>
      </c>
      <c r="H386" s="309">
        <v>15.0</v>
      </c>
      <c r="I386" s="309">
        <v>14.0</v>
      </c>
      <c r="J386" s="309">
        <v>-1.0</v>
      </c>
      <c r="K386" s="310">
        <v>14.0</v>
      </c>
      <c r="L386" s="308"/>
      <c r="M386" s="313"/>
      <c r="N386" s="313"/>
      <c r="O386" s="310">
        <v>3.0</v>
      </c>
      <c r="P386" s="313"/>
      <c r="Q386" s="313"/>
      <c r="R386" s="313"/>
      <c r="S386" s="311"/>
      <c r="T386" s="312"/>
      <c r="U386" s="313"/>
      <c r="V386" s="313"/>
      <c r="W386" s="313"/>
    </row>
    <row r="387" ht="15.0" customHeight="1">
      <c r="A387" s="304" t="s">
        <v>688</v>
      </c>
      <c r="B387" s="308"/>
      <c r="C387" s="309"/>
      <c r="D387" s="309"/>
      <c r="E387" s="309">
        <v>-8.0</v>
      </c>
      <c r="F387" s="310">
        <v>-2.0</v>
      </c>
      <c r="G387" s="308">
        <v>18.0</v>
      </c>
      <c r="H387" s="309">
        <v>22.0</v>
      </c>
      <c r="I387" s="309">
        <v>20.0</v>
      </c>
      <c r="J387" s="309">
        <v>-1.0</v>
      </c>
      <c r="K387" s="310">
        <v>20.0</v>
      </c>
      <c r="L387" s="308"/>
      <c r="M387" s="313"/>
      <c r="N387" s="313"/>
      <c r="O387" s="310">
        <v>4.0</v>
      </c>
      <c r="P387" s="313"/>
      <c r="Q387" s="313"/>
      <c r="R387" s="313"/>
      <c r="S387" s="311"/>
      <c r="T387" s="312"/>
      <c r="U387" s="313"/>
      <c r="V387" s="313"/>
      <c r="W387" s="313"/>
    </row>
    <row r="388" ht="15.0" customHeight="1">
      <c r="A388" s="304" t="s">
        <v>689</v>
      </c>
      <c r="B388" s="308"/>
      <c r="C388" s="309"/>
      <c r="D388" s="309"/>
      <c r="E388" s="309">
        <v>-8.0</v>
      </c>
      <c r="F388" s="310">
        <v>-2.0</v>
      </c>
      <c r="G388" s="308">
        <v>27.0</v>
      </c>
      <c r="H388" s="309">
        <v>31.0</v>
      </c>
      <c r="I388" s="309">
        <v>29.0</v>
      </c>
      <c r="J388" s="309">
        <v>-1.0</v>
      </c>
      <c r="K388" s="310">
        <v>29.0</v>
      </c>
      <c r="L388" s="308"/>
      <c r="M388" s="313"/>
      <c r="N388" s="313"/>
      <c r="O388" s="310">
        <v>5.0</v>
      </c>
      <c r="P388" s="313"/>
      <c r="Q388" s="313"/>
      <c r="R388" s="313"/>
      <c r="S388" s="311"/>
      <c r="T388" s="312"/>
      <c r="U388" s="313"/>
      <c r="V388" s="313"/>
      <c r="W388" s="313"/>
    </row>
    <row r="389" ht="15.0" customHeight="1">
      <c r="A389" s="304" t="s">
        <v>690</v>
      </c>
      <c r="B389" s="312"/>
      <c r="C389" s="313"/>
      <c r="D389" s="313"/>
      <c r="E389" s="309"/>
      <c r="F389" s="310"/>
      <c r="G389" s="308">
        <v>63.0</v>
      </c>
      <c r="H389" s="309">
        <v>65.0</v>
      </c>
      <c r="I389" s="309">
        <v>75.0</v>
      </c>
      <c r="J389" s="309">
        <v>2.0</v>
      </c>
      <c r="K389" s="310">
        <v>57.0</v>
      </c>
      <c r="L389" s="312"/>
      <c r="M389" s="313"/>
      <c r="N389" s="313"/>
      <c r="O389" s="310">
        <v>3.0</v>
      </c>
      <c r="P389" s="313"/>
      <c r="Q389" s="313"/>
      <c r="R389" s="313"/>
      <c r="S389" s="311"/>
      <c r="T389" s="312"/>
      <c r="U389" s="313"/>
      <c r="V389" s="313"/>
      <c r="W389" s="313"/>
    </row>
    <row r="390" ht="15.0" customHeight="1">
      <c r="A390" s="304" t="s">
        <v>691</v>
      </c>
      <c r="B390" s="312"/>
      <c r="C390" s="313"/>
      <c r="D390" s="313"/>
      <c r="E390" s="309">
        <v>20.0</v>
      </c>
      <c r="F390" s="310"/>
      <c r="G390" s="308">
        <v>53.0</v>
      </c>
      <c r="H390" s="309">
        <v>55.0</v>
      </c>
      <c r="I390" s="309">
        <v>73.0</v>
      </c>
      <c r="J390" s="309">
        <v>2.0</v>
      </c>
      <c r="K390" s="310">
        <v>52.0</v>
      </c>
      <c r="L390" s="312"/>
      <c r="M390" s="313"/>
      <c r="N390" s="313"/>
      <c r="O390" s="310">
        <v>3.0</v>
      </c>
      <c r="P390" s="313"/>
      <c r="Q390" s="313"/>
      <c r="R390" s="313"/>
      <c r="S390" s="311"/>
      <c r="T390" s="312"/>
      <c r="U390" s="313"/>
      <c r="V390" s="313"/>
      <c r="W390" s="313"/>
    </row>
    <row r="391" ht="15.0" customHeight="1">
      <c r="A391" s="304" t="s">
        <v>692</v>
      </c>
      <c r="B391" s="312"/>
      <c r="C391" s="313"/>
      <c r="D391" s="313"/>
      <c r="E391" s="309">
        <v>25.0</v>
      </c>
      <c r="F391" s="310"/>
      <c r="G391" s="308">
        <v>-10.0</v>
      </c>
      <c r="H391" s="309">
        <v>-10.0</v>
      </c>
      <c r="I391" s="309">
        <v>-10.0</v>
      </c>
      <c r="J391" s="309">
        <v>20.0</v>
      </c>
      <c r="K391" s="310">
        <v>-10.0</v>
      </c>
      <c r="L391" s="312"/>
      <c r="M391" s="313"/>
      <c r="N391" s="309">
        <v>0.04</v>
      </c>
      <c r="O391" s="310">
        <v>-5.0</v>
      </c>
      <c r="P391" s="313"/>
      <c r="Q391" s="313"/>
      <c r="R391" s="313"/>
      <c r="S391" s="311"/>
      <c r="T391" s="312"/>
      <c r="U391" s="313"/>
      <c r="V391" s="313"/>
      <c r="W391" s="313"/>
    </row>
    <row r="392" ht="15.0" customHeight="1">
      <c r="A392" s="304" t="s">
        <v>693</v>
      </c>
      <c r="B392" s="312"/>
      <c r="C392" s="313"/>
      <c r="D392" s="313"/>
      <c r="E392" s="309"/>
      <c r="F392" s="310"/>
      <c r="G392" s="308">
        <v>53.0</v>
      </c>
      <c r="H392" s="309">
        <v>55.0</v>
      </c>
      <c r="I392" s="309">
        <v>73.0</v>
      </c>
      <c r="J392" s="309">
        <v>30.0</v>
      </c>
      <c r="K392" s="310">
        <v>52.0</v>
      </c>
      <c r="L392" s="312"/>
      <c r="M392" s="313"/>
      <c r="N392" s="313"/>
      <c r="O392" s="310">
        <v>3.0</v>
      </c>
      <c r="P392" s="313"/>
      <c r="Q392" s="313"/>
      <c r="R392" s="313"/>
      <c r="S392" s="311"/>
      <c r="T392" s="312"/>
      <c r="U392" s="313"/>
      <c r="V392" s="313"/>
      <c r="W392" s="313"/>
    </row>
    <row r="393" ht="15.0" customHeight="1">
      <c r="A393" s="304" t="s">
        <v>694</v>
      </c>
      <c r="B393" s="312"/>
      <c r="C393" s="313"/>
      <c r="D393" s="313"/>
      <c r="E393" s="309"/>
      <c r="F393" s="310"/>
      <c r="G393" s="308"/>
      <c r="H393" s="309"/>
      <c r="I393" s="309"/>
      <c r="J393" s="309">
        <v>9.0</v>
      </c>
      <c r="K393" s="310"/>
      <c r="L393" s="312"/>
      <c r="M393" s="313"/>
      <c r="N393" s="313"/>
      <c r="O393" s="310"/>
      <c r="P393" s="313"/>
      <c r="Q393" s="313"/>
      <c r="R393" s="313"/>
      <c r="S393" s="311"/>
      <c r="T393" s="312"/>
      <c r="U393" s="313"/>
      <c r="V393" s="313"/>
      <c r="W393" s="313"/>
    </row>
    <row r="394" ht="15.0" customHeight="1">
      <c r="A394" s="304" t="s">
        <v>695</v>
      </c>
      <c r="B394" s="308">
        <v>-10.0</v>
      </c>
      <c r="C394" s="309">
        <v>-10.0</v>
      </c>
      <c r="D394" s="309">
        <v>-10.0</v>
      </c>
      <c r="E394" s="309">
        <v>15.0</v>
      </c>
      <c r="F394" s="310">
        <v>-10.0</v>
      </c>
      <c r="G394" s="308">
        <v>72.0</v>
      </c>
      <c r="H394" s="309">
        <v>80.0</v>
      </c>
      <c r="I394" s="309">
        <v>75.0</v>
      </c>
      <c r="J394" s="309">
        <v>15.0</v>
      </c>
      <c r="K394" s="310">
        <v>-5.0</v>
      </c>
      <c r="L394" s="308">
        <v>-2.0</v>
      </c>
      <c r="M394" s="313"/>
      <c r="N394" s="313"/>
      <c r="O394" s="310"/>
      <c r="P394" s="313"/>
      <c r="Q394" s="313"/>
      <c r="R394" s="313"/>
      <c r="S394" s="311"/>
      <c r="T394" s="312"/>
      <c r="U394" s="313"/>
      <c r="V394" s="313"/>
      <c r="W394" s="313"/>
    </row>
    <row r="395" ht="15.0" customHeight="1">
      <c r="A395" s="304" t="s">
        <v>696</v>
      </c>
      <c r="B395" s="312"/>
      <c r="C395" s="313"/>
      <c r="D395" s="313"/>
      <c r="E395" s="309"/>
      <c r="F395" s="310"/>
      <c r="G395" s="308">
        <v>7.0</v>
      </c>
      <c r="H395" s="309">
        <v>8.0</v>
      </c>
      <c r="I395" s="309">
        <v>9.0</v>
      </c>
      <c r="J395" s="309">
        <v>2.0</v>
      </c>
      <c r="K395" s="310">
        <v>8.0</v>
      </c>
      <c r="L395" s="312"/>
      <c r="M395" s="313"/>
      <c r="N395" s="313"/>
      <c r="O395" s="310"/>
      <c r="P395" s="313"/>
      <c r="Q395" s="313"/>
      <c r="R395" s="313"/>
      <c r="S395" s="311"/>
      <c r="T395" s="312"/>
      <c r="U395" s="313"/>
      <c r="V395" s="313"/>
      <c r="W395" s="313"/>
    </row>
    <row r="396" ht="15.0" customHeight="1">
      <c r="A396" s="304" t="s">
        <v>697</v>
      </c>
      <c r="B396" s="308">
        <v>-7.0</v>
      </c>
      <c r="C396" s="309">
        <v>-8.0</v>
      </c>
      <c r="D396" s="309">
        <v>-7.0</v>
      </c>
      <c r="E396" s="309">
        <v>-10.0</v>
      </c>
      <c r="F396" s="310">
        <v>18.0</v>
      </c>
      <c r="G396" s="308">
        <v>22.0</v>
      </c>
      <c r="H396" s="309">
        <v>24.0</v>
      </c>
      <c r="I396" s="309">
        <v>22.0</v>
      </c>
      <c r="J396" s="309">
        <v>26.0</v>
      </c>
      <c r="K396" s="310">
        <v>58.0</v>
      </c>
      <c r="L396" s="312"/>
      <c r="M396" s="313"/>
      <c r="N396" s="313"/>
      <c r="O396" s="311"/>
      <c r="P396" s="313"/>
      <c r="Q396" s="313"/>
      <c r="R396" s="313"/>
      <c r="S396" s="311"/>
      <c r="T396" s="312"/>
      <c r="U396" s="313"/>
      <c r="V396" s="313"/>
      <c r="W396" s="313"/>
    </row>
    <row r="397" ht="15.0" customHeight="1">
      <c r="A397" s="304" t="s">
        <v>698</v>
      </c>
      <c r="B397" s="308">
        <v>-10.0</v>
      </c>
      <c r="C397" s="309">
        <v>-10.0</v>
      </c>
      <c r="D397" s="309">
        <v>-10.0</v>
      </c>
      <c r="E397" s="309">
        <v>-10.0</v>
      </c>
      <c r="F397" s="310">
        <v>15.0</v>
      </c>
      <c r="G397" s="308">
        <v>15.0</v>
      </c>
      <c r="H397" s="309">
        <v>20.0</v>
      </c>
      <c r="I397" s="309">
        <v>18.0</v>
      </c>
      <c r="J397" s="309">
        <v>22.0</v>
      </c>
      <c r="K397" s="310">
        <v>68.0</v>
      </c>
      <c r="L397" s="308">
        <v>-2.0</v>
      </c>
      <c r="M397" s="313"/>
      <c r="N397" s="313"/>
      <c r="O397" s="311"/>
      <c r="P397" s="313"/>
      <c r="Q397" s="313"/>
      <c r="R397" s="313"/>
      <c r="S397" s="311"/>
      <c r="T397" s="312"/>
      <c r="U397" s="313"/>
      <c r="V397" s="313"/>
      <c r="W397" s="313"/>
    </row>
    <row r="398" ht="15.0" customHeight="1">
      <c r="A398" s="304" t="s">
        <v>699</v>
      </c>
      <c r="B398" s="308">
        <v>-12.0</v>
      </c>
      <c r="C398" s="309">
        <v>-12.0</v>
      </c>
      <c r="D398" s="309">
        <v>-12.0</v>
      </c>
      <c r="E398" s="309">
        <v>-8.0</v>
      </c>
      <c r="F398" s="310">
        <v>12.0</v>
      </c>
      <c r="G398" s="312"/>
      <c r="H398" s="313"/>
      <c r="I398" s="313"/>
      <c r="J398" s="309">
        <v>24.0</v>
      </c>
      <c r="K398" s="310">
        <v>52.0</v>
      </c>
      <c r="L398" s="312"/>
      <c r="M398" s="313"/>
      <c r="N398" s="313"/>
      <c r="O398" s="311"/>
      <c r="P398" s="313"/>
      <c r="Q398" s="313"/>
      <c r="R398" s="313"/>
      <c r="S398" s="311"/>
      <c r="T398" s="312"/>
      <c r="U398" s="313"/>
      <c r="V398" s="313"/>
      <c r="W398" s="313"/>
    </row>
    <row r="399" ht="15.0" customHeight="1">
      <c r="A399" s="304" t="s">
        <v>700</v>
      </c>
      <c r="B399" s="308">
        <v>-15.0</v>
      </c>
      <c r="C399" s="309">
        <v>-15.0</v>
      </c>
      <c r="D399" s="309">
        <v>-11.0</v>
      </c>
      <c r="E399" s="309">
        <v>-10.0</v>
      </c>
      <c r="F399" s="310">
        <v>2.0</v>
      </c>
      <c r="G399" s="308">
        <v>8.0</v>
      </c>
      <c r="H399" s="309">
        <v>7.0</v>
      </c>
      <c r="I399" s="309">
        <v>7.0</v>
      </c>
      <c r="J399" s="309">
        <v>5.0</v>
      </c>
      <c r="K399" s="310">
        <v>9.0</v>
      </c>
      <c r="L399" s="312"/>
      <c r="M399" s="313"/>
      <c r="N399" s="313"/>
      <c r="O399" s="311"/>
      <c r="P399" s="313"/>
      <c r="Q399" s="313"/>
      <c r="R399" s="313"/>
      <c r="S399" s="311"/>
      <c r="T399" s="312"/>
      <c r="U399" s="313"/>
      <c r="V399" s="313"/>
      <c r="W399" s="313"/>
    </row>
    <row r="400" ht="15.0" customHeight="1">
      <c r="A400" s="304" t="s">
        <v>701</v>
      </c>
      <c r="B400" s="308">
        <v>-15.0</v>
      </c>
      <c r="C400" s="309">
        <v>-15.0</v>
      </c>
      <c r="D400" s="309">
        <v>-11.0</v>
      </c>
      <c r="E400" s="309">
        <v>-10.0</v>
      </c>
      <c r="F400" s="310">
        <v>3.0</v>
      </c>
      <c r="G400" s="308">
        <v>10.0</v>
      </c>
      <c r="H400" s="309">
        <v>9.0</v>
      </c>
      <c r="I400" s="309">
        <v>8.0</v>
      </c>
      <c r="J400" s="309">
        <v>7.0</v>
      </c>
      <c r="K400" s="310">
        <v>10.0</v>
      </c>
      <c r="L400" s="312"/>
      <c r="M400" s="313"/>
      <c r="N400" s="313"/>
      <c r="O400" s="311"/>
      <c r="P400" s="313"/>
      <c r="Q400" s="313"/>
      <c r="R400" s="313"/>
      <c r="S400" s="311"/>
      <c r="T400" s="312"/>
      <c r="U400" s="313"/>
      <c r="V400" s="313"/>
      <c r="W400" s="313"/>
    </row>
    <row r="401" ht="15.0" customHeight="1">
      <c r="A401" s="304" t="s">
        <v>702</v>
      </c>
      <c r="B401" s="308">
        <v>-15.0</v>
      </c>
      <c r="C401" s="309">
        <v>-15.0</v>
      </c>
      <c r="D401" s="309">
        <v>-11.0</v>
      </c>
      <c r="E401" s="309">
        <v>-10.0</v>
      </c>
      <c r="F401" s="310">
        <v>4.0</v>
      </c>
      <c r="G401" s="308">
        <v>14.0</v>
      </c>
      <c r="H401" s="309">
        <v>12.0</v>
      </c>
      <c r="I401" s="309">
        <v>11.0</v>
      </c>
      <c r="J401" s="309">
        <v>9.0</v>
      </c>
      <c r="K401" s="310">
        <v>11.0</v>
      </c>
      <c r="L401" s="312"/>
      <c r="M401" s="313"/>
      <c r="N401" s="313"/>
      <c r="O401" s="311"/>
      <c r="P401" s="313"/>
      <c r="Q401" s="313"/>
      <c r="R401" s="313"/>
      <c r="S401" s="311"/>
      <c r="T401" s="312"/>
      <c r="U401" s="313"/>
      <c r="V401" s="313"/>
      <c r="W401" s="313"/>
    </row>
    <row r="402" ht="15.0" customHeight="1">
      <c r="A402" s="304" t="s">
        <v>703</v>
      </c>
      <c r="B402" s="308">
        <v>-15.0</v>
      </c>
      <c r="C402" s="309">
        <v>-15.0</v>
      </c>
      <c r="D402" s="309">
        <v>-11.0</v>
      </c>
      <c r="E402" s="309">
        <v>-10.0</v>
      </c>
      <c r="F402" s="310">
        <v>5.0</v>
      </c>
      <c r="G402" s="308">
        <v>16.0</v>
      </c>
      <c r="H402" s="309">
        <v>14.0</v>
      </c>
      <c r="I402" s="309">
        <v>12.0</v>
      </c>
      <c r="J402" s="309">
        <v>12.0</v>
      </c>
      <c r="K402" s="310">
        <v>12.0</v>
      </c>
      <c r="L402" s="312"/>
      <c r="M402" s="313"/>
      <c r="N402" s="313"/>
      <c r="O402" s="311"/>
      <c r="P402" s="313"/>
      <c r="Q402" s="313"/>
      <c r="R402" s="313"/>
      <c r="S402" s="311"/>
      <c r="T402" s="312"/>
      <c r="U402" s="313"/>
      <c r="V402" s="313"/>
      <c r="W402" s="313"/>
    </row>
    <row r="403" ht="15.0" customHeight="1">
      <c r="A403" s="304" t="s">
        <v>704</v>
      </c>
      <c r="B403" s="308">
        <v>-15.0</v>
      </c>
      <c r="C403" s="309">
        <v>-15.0</v>
      </c>
      <c r="D403" s="309">
        <v>-11.0</v>
      </c>
      <c r="E403" s="309">
        <v>-10.0</v>
      </c>
      <c r="F403" s="310">
        <v>6.0</v>
      </c>
      <c r="G403" s="308">
        <v>18.0</v>
      </c>
      <c r="H403" s="309">
        <v>16.0</v>
      </c>
      <c r="I403" s="309">
        <v>14.0</v>
      </c>
      <c r="J403" s="309">
        <v>13.0</v>
      </c>
      <c r="K403" s="310">
        <v>13.0</v>
      </c>
      <c r="L403" s="312"/>
      <c r="M403" s="313"/>
      <c r="N403" s="313"/>
      <c r="O403" s="311"/>
      <c r="P403" s="313"/>
      <c r="Q403" s="313"/>
      <c r="R403" s="313"/>
      <c r="S403" s="311"/>
      <c r="T403" s="312"/>
      <c r="U403" s="313"/>
      <c r="V403" s="313"/>
      <c r="W403" s="313"/>
    </row>
    <row r="404" ht="15.0" customHeight="1">
      <c r="A404" s="304" t="s">
        <v>705</v>
      </c>
      <c r="B404" s="308">
        <v>-15.0</v>
      </c>
      <c r="C404" s="309">
        <v>-15.0</v>
      </c>
      <c r="D404" s="309">
        <v>-11.0</v>
      </c>
      <c r="E404" s="309">
        <v>-10.0</v>
      </c>
      <c r="F404" s="310">
        <v>7.0</v>
      </c>
      <c r="G404" s="308">
        <v>21.0</v>
      </c>
      <c r="H404" s="309">
        <v>18.0</v>
      </c>
      <c r="I404" s="309">
        <v>16.0</v>
      </c>
      <c r="J404" s="309">
        <v>15.0</v>
      </c>
      <c r="K404" s="310">
        <v>14.0</v>
      </c>
      <c r="L404" s="312"/>
      <c r="M404" s="313"/>
      <c r="N404" s="313"/>
      <c r="O404" s="311"/>
      <c r="P404" s="313"/>
      <c r="Q404" s="313"/>
      <c r="R404" s="313"/>
      <c r="S404" s="311"/>
      <c r="T404" s="312"/>
      <c r="U404" s="313"/>
      <c r="V404" s="313"/>
      <c r="W404" s="313"/>
    </row>
    <row r="405" ht="15.0" customHeight="1">
      <c r="A405" s="304" t="s">
        <v>706</v>
      </c>
      <c r="B405" s="308"/>
      <c r="C405" s="309"/>
      <c r="D405" s="309"/>
      <c r="E405" s="309">
        <v>15.0</v>
      </c>
      <c r="F405" s="310"/>
      <c r="G405" s="308"/>
      <c r="H405" s="309"/>
      <c r="I405" s="309"/>
      <c r="J405" s="309">
        <v>15.0</v>
      </c>
      <c r="K405" s="311"/>
      <c r="L405" s="312"/>
      <c r="M405" s="313"/>
      <c r="N405" s="313"/>
      <c r="O405" s="311"/>
      <c r="P405" s="313"/>
      <c r="Q405" s="313"/>
      <c r="R405" s="313"/>
      <c r="S405" s="311"/>
      <c r="T405" s="312"/>
      <c r="U405" s="313"/>
      <c r="V405" s="313"/>
      <c r="W405" s="313"/>
    </row>
    <row r="406" ht="15.0" customHeight="1">
      <c r="A406" s="304" t="s">
        <v>707</v>
      </c>
      <c r="B406" s="308">
        <v>-8.0</v>
      </c>
      <c r="C406" s="309">
        <v>-8.0</v>
      </c>
      <c r="D406" s="309">
        <v>-8.0</v>
      </c>
      <c r="E406" s="309">
        <v>12.0</v>
      </c>
      <c r="F406" s="310">
        <v>-12.0</v>
      </c>
      <c r="G406" s="308">
        <v>50.0</v>
      </c>
      <c r="H406" s="309">
        <v>52.0</v>
      </c>
      <c r="I406" s="309">
        <v>48.0</v>
      </c>
      <c r="J406" s="309">
        <v>15.0</v>
      </c>
      <c r="K406" s="311"/>
      <c r="L406" s="312"/>
      <c r="M406" s="313"/>
      <c r="N406" s="313"/>
      <c r="O406" s="311"/>
      <c r="P406" s="313"/>
      <c r="Q406" s="313"/>
      <c r="R406" s="313"/>
      <c r="S406" s="311"/>
      <c r="T406" s="312"/>
      <c r="U406" s="313"/>
      <c r="V406" s="313"/>
      <c r="W406" s="313"/>
    </row>
    <row r="407" ht="15.0" customHeight="1">
      <c r="A407" s="304" t="s">
        <v>99</v>
      </c>
      <c r="B407" s="308"/>
      <c r="C407" s="309"/>
      <c r="D407" s="309"/>
      <c r="E407" s="309">
        <v>8.0</v>
      </c>
      <c r="F407" s="310"/>
      <c r="G407" s="308"/>
      <c r="H407" s="309"/>
      <c r="I407" s="309"/>
      <c r="J407" s="309">
        <v>8.0</v>
      </c>
      <c r="K407" s="311"/>
      <c r="L407" s="312"/>
      <c r="M407" s="313"/>
      <c r="N407" s="309"/>
      <c r="O407" s="311"/>
      <c r="P407" s="313"/>
      <c r="Q407" s="313"/>
      <c r="R407" s="313"/>
      <c r="S407" s="311"/>
      <c r="T407" s="312"/>
      <c r="U407" s="313"/>
      <c r="V407" s="313"/>
      <c r="W407" s="313"/>
    </row>
    <row r="408" ht="15.0" customHeight="1">
      <c r="A408" s="304" t="s">
        <v>708</v>
      </c>
      <c r="B408" s="312"/>
      <c r="C408" s="313"/>
      <c r="D408" s="313"/>
      <c r="E408" s="313"/>
      <c r="F408" s="310">
        <v>10.0</v>
      </c>
      <c r="G408" s="312"/>
      <c r="H408" s="313"/>
      <c r="I408" s="313"/>
      <c r="J408" s="313"/>
      <c r="K408" s="311"/>
      <c r="L408" s="312"/>
      <c r="M408" s="313"/>
      <c r="N408" s="313"/>
      <c r="O408" s="310">
        <v>5.0</v>
      </c>
      <c r="P408" s="313"/>
      <c r="Q408" s="313"/>
      <c r="R408" s="313"/>
      <c r="S408" s="311"/>
      <c r="T408" s="312"/>
      <c r="U408" s="313"/>
      <c r="V408" s="313"/>
      <c r="W408" s="313"/>
    </row>
    <row r="409" ht="15.0" customHeight="1">
      <c r="A409" s="304" t="s">
        <v>709</v>
      </c>
      <c r="B409" s="312"/>
      <c r="C409" s="313"/>
      <c r="D409" s="313"/>
      <c r="E409" s="313"/>
      <c r="F409" s="310"/>
      <c r="G409" s="312"/>
      <c r="H409" s="313"/>
      <c r="I409" s="313"/>
      <c r="J409" s="313"/>
      <c r="K409" s="311"/>
      <c r="L409" s="308">
        <v>2.0</v>
      </c>
      <c r="M409" s="313"/>
      <c r="N409" s="313"/>
      <c r="O409" s="310">
        <v>5.0</v>
      </c>
      <c r="P409" s="313"/>
      <c r="Q409" s="313"/>
      <c r="R409" s="313"/>
      <c r="S409" s="311"/>
      <c r="T409" s="312"/>
      <c r="U409" s="313"/>
      <c r="V409" s="313"/>
      <c r="W409" s="313"/>
    </row>
    <row r="410" ht="15.0" customHeight="1">
      <c r="A410" s="304" t="s">
        <v>710</v>
      </c>
      <c r="B410" s="312"/>
      <c r="C410" s="313"/>
      <c r="D410" s="313"/>
      <c r="E410" s="309">
        <v>10.0</v>
      </c>
      <c r="F410" s="310"/>
      <c r="G410" s="312"/>
      <c r="H410" s="313"/>
      <c r="I410" s="313"/>
      <c r="J410" s="313"/>
      <c r="K410" s="311"/>
      <c r="L410" s="312"/>
      <c r="M410" s="313"/>
      <c r="N410" s="313"/>
      <c r="O410" s="310">
        <v>5.0</v>
      </c>
      <c r="P410" s="313"/>
      <c r="Q410" s="313"/>
      <c r="R410" s="313"/>
      <c r="S410" s="311"/>
      <c r="T410" s="312"/>
      <c r="U410" s="313"/>
      <c r="V410" s="313"/>
      <c r="W410" s="313"/>
    </row>
    <row r="411" ht="15.0" customHeight="1">
      <c r="A411" s="304"/>
      <c r="B411" s="312"/>
      <c r="C411" s="313"/>
      <c r="D411" s="313"/>
      <c r="E411" s="313"/>
      <c r="F411" s="311"/>
      <c r="G411" s="312"/>
      <c r="H411" s="313"/>
      <c r="I411" s="313"/>
      <c r="J411" s="313"/>
      <c r="K411" s="311"/>
      <c r="L411" s="308"/>
      <c r="M411" s="313"/>
      <c r="N411" s="313"/>
      <c r="O411" s="311"/>
      <c r="P411" s="313"/>
      <c r="Q411" s="313"/>
      <c r="R411" s="313"/>
      <c r="S411" s="311"/>
      <c r="T411" s="312"/>
      <c r="U411" s="313"/>
      <c r="V411" s="313"/>
      <c r="W411" s="313"/>
    </row>
    <row r="412" ht="15.0" customHeight="1">
      <c r="A412" s="331"/>
      <c r="B412" s="336"/>
      <c r="C412" s="338"/>
      <c r="D412" s="338"/>
      <c r="E412" s="338"/>
      <c r="F412" s="335"/>
      <c r="G412" s="336"/>
      <c r="H412" s="338"/>
      <c r="I412" s="338"/>
      <c r="J412" s="338"/>
      <c r="K412" s="335"/>
      <c r="L412" s="332"/>
      <c r="M412" s="338"/>
      <c r="N412" s="338"/>
      <c r="O412" s="335"/>
      <c r="P412" s="338"/>
      <c r="Q412" s="338"/>
      <c r="R412" s="338"/>
      <c r="S412" s="335"/>
      <c r="T412" s="336"/>
      <c r="U412" s="338"/>
      <c r="V412" s="338"/>
      <c r="W412" s="338"/>
    </row>
    <row r="413" ht="15.0" customHeight="1">
      <c r="A413" s="337"/>
      <c r="B413" s="308"/>
      <c r="C413" s="309"/>
      <c r="D413" s="309"/>
      <c r="E413" s="313"/>
      <c r="F413" s="311"/>
      <c r="G413" s="312"/>
      <c r="H413" s="313"/>
      <c r="I413" s="313"/>
      <c r="J413" s="313"/>
      <c r="K413" s="311"/>
      <c r="L413" s="308"/>
      <c r="M413" s="313"/>
      <c r="N413" s="313"/>
      <c r="O413" s="311"/>
      <c r="P413" s="313"/>
      <c r="Q413" s="313"/>
      <c r="R413" s="313"/>
      <c r="S413" s="311"/>
      <c r="T413" s="312"/>
      <c r="U413" s="313"/>
      <c r="V413" s="313"/>
      <c r="W413" s="313"/>
    </row>
    <row r="414" ht="15.0" customHeight="1">
      <c r="A414" s="304" t="s">
        <v>273</v>
      </c>
      <c r="B414" s="308"/>
      <c r="C414" s="309"/>
      <c r="D414" s="309"/>
      <c r="E414" s="309"/>
      <c r="F414" s="310"/>
      <c r="G414" s="308"/>
      <c r="H414" s="309"/>
      <c r="I414" s="309"/>
      <c r="J414" s="309"/>
      <c r="K414" s="310"/>
      <c r="L414" s="308"/>
      <c r="M414" s="313"/>
      <c r="N414" s="313"/>
      <c r="O414" s="311"/>
      <c r="P414" s="313"/>
      <c r="Q414" s="313"/>
      <c r="R414" s="313"/>
      <c r="S414" s="311"/>
      <c r="T414" s="312"/>
      <c r="U414" s="313"/>
      <c r="V414" s="313"/>
      <c r="W414" s="313"/>
    </row>
    <row r="415" ht="15.0" customHeight="1">
      <c r="A415" s="304" t="s">
        <v>711</v>
      </c>
      <c r="B415" s="308">
        <v>16.0</v>
      </c>
      <c r="C415" s="309">
        <v>16.0</v>
      </c>
      <c r="D415" s="309">
        <v>16.0</v>
      </c>
      <c r="E415" s="309">
        <v>-16.0</v>
      </c>
      <c r="F415" s="310">
        <v>-16.0</v>
      </c>
      <c r="G415" s="308">
        <v>0.0</v>
      </c>
      <c r="H415" s="309">
        <v>0.0</v>
      </c>
      <c r="I415" s="309">
        <v>0.0</v>
      </c>
      <c r="J415" s="309">
        <v>0.0</v>
      </c>
      <c r="K415" s="310">
        <v>0.0</v>
      </c>
      <c r="L415" s="308">
        <v>14.0</v>
      </c>
      <c r="M415" s="313"/>
      <c r="N415" s="313"/>
      <c r="O415" s="311"/>
      <c r="P415" s="313"/>
      <c r="Q415" s="313"/>
      <c r="R415" s="313"/>
      <c r="S415" s="311"/>
      <c r="T415" s="312"/>
      <c r="U415" s="313"/>
      <c r="V415" s="313"/>
      <c r="W415" s="313"/>
    </row>
    <row r="416" ht="15.0" customHeight="1">
      <c r="A416" s="304" t="s">
        <v>712</v>
      </c>
      <c r="B416" s="308">
        <v>12.0</v>
      </c>
      <c r="C416" s="309">
        <v>12.0</v>
      </c>
      <c r="D416" s="309">
        <v>12.0</v>
      </c>
      <c r="E416" s="309">
        <v>6.0</v>
      </c>
      <c r="F416" s="310">
        <v>12.0</v>
      </c>
      <c r="G416" s="308">
        <v>12.0</v>
      </c>
      <c r="H416" s="309">
        <v>12.0</v>
      </c>
      <c r="I416" s="309">
        <v>12.0</v>
      </c>
      <c r="J416" s="309">
        <v>6.0</v>
      </c>
      <c r="K416" s="310">
        <v>12.0</v>
      </c>
      <c r="L416" s="308">
        <v>12.0</v>
      </c>
      <c r="M416" s="313"/>
      <c r="N416" s="313"/>
      <c r="O416" s="311"/>
      <c r="P416" s="313"/>
      <c r="Q416" s="313"/>
      <c r="R416" s="313"/>
      <c r="S416" s="311"/>
      <c r="T416" s="312"/>
      <c r="U416" s="313"/>
      <c r="V416" s="313"/>
      <c r="W416" s="313"/>
    </row>
    <row r="417" ht="15.0" customHeight="1">
      <c r="A417" s="304" t="s">
        <v>713</v>
      </c>
      <c r="B417" s="308"/>
      <c r="C417" s="309"/>
      <c r="D417" s="309"/>
      <c r="E417" s="313"/>
      <c r="F417" s="311"/>
      <c r="G417" s="308">
        <v>6.0</v>
      </c>
      <c r="H417" s="309">
        <v>6.0</v>
      </c>
      <c r="I417" s="309">
        <v>6.0</v>
      </c>
      <c r="J417" s="309">
        <v>4.0</v>
      </c>
      <c r="K417" s="310">
        <v>6.0</v>
      </c>
      <c r="L417" s="308"/>
      <c r="M417" s="313"/>
      <c r="N417" s="313"/>
      <c r="O417" s="311"/>
      <c r="P417" s="313"/>
      <c r="Q417" s="313"/>
      <c r="R417" s="313"/>
      <c r="S417" s="311"/>
      <c r="T417" s="312"/>
      <c r="U417" s="313"/>
      <c r="V417" s="313"/>
      <c r="W417" s="313"/>
    </row>
    <row r="418" ht="15.0" customHeight="1">
      <c r="A418" s="304" t="s">
        <v>103</v>
      </c>
      <c r="B418" s="308"/>
      <c r="C418" s="309"/>
      <c r="D418" s="309"/>
      <c r="E418" s="309">
        <v>10.0</v>
      </c>
      <c r="F418" s="311"/>
      <c r="G418" s="308"/>
      <c r="H418" s="309"/>
      <c r="I418" s="309"/>
      <c r="J418" s="309"/>
      <c r="K418" s="310"/>
      <c r="L418" s="308"/>
      <c r="M418" s="313"/>
      <c r="N418" s="309">
        <v>0.05</v>
      </c>
      <c r="O418" s="310">
        <v>2.0</v>
      </c>
      <c r="P418" s="313"/>
      <c r="Q418" s="313"/>
      <c r="R418" s="313"/>
      <c r="S418" s="311"/>
      <c r="T418" s="312"/>
      <c r="U418" s="313"/>
      <c r="V418" s="313"/>
      <c r="W418" s="313"/>
    </row>
    <row r="419" ht="15.0" customHeight="1">
      <c r="A419" s="304" t="s">
        <v>714</v>
      </c>
      <c r="B419" s="308">
        <v>9.0</v>
      </c>
      <c r="C419" s="309">
        <v>9.0</v>
      </c>
      <c r="D419" s="309">
        <v>9.0</v>
      </c>
      <c r="E419" s="309">
        <v>5.0</v>
      </c>
      <c r="F419" s="310">
        <v>9.0</v>
      </c>
      <c r="G419" s="308">
        <v>9.0</v>
      </c>
      <c r="H419" s="309">
        <v>9.0</v>
      </c>
      <c r="I419" s="309">
        <v>9.0</v>
      </c>
      <c r="J419" s="309">
        <v>5.0</v>
      </c>
      <c r="K419" s="310">
        <v>9.0</v>
      </c>
      <c r="L419" s="308">
        <v>9.0</v>
      </c>
      <c r="M419" s="313"/>
      <c r="N419" s="313"/>
      <c r="O419" s="311"/>
      <c r="P419" s="313"/>
      <c r="Q419" s="313"/>
      <c r="R419" s="313"/>
      <c r="S419" s="311"/>
      <c r="T419" s="312"/>
      <c r="U419" s="313"/>
      <c r="V419" s="313"/>
      <c r="W419" s="313"/>
    </row>
    <row r="420" ht="15.0" customHeight="1">
      <c r="A420" s="304" t="s">
        <v>715</v>
      </c>
      <c r="B420" s="308">
        <v>8.0</v>
      </c>
      <c r="C420" s="309">
        <v>8.0</v>
      </c>
      <c r="D420" s="309">
        <v>8.0</v>
      </c>
      <c r="E420" s="309">
        <v>4.0</v>
      </c>
      <c r="F420" s="310">
        <v>8.0</v>
      </c>
      <c r="G420" s="308">
        <v>8.0</v>
      </c>
      <c r="H420" s="309">
        <v>8.0</v>
      </c>
      <c r="I420" s="309">
        <v>8.0</v>
      </c>
      <c r="J420" s="309">
        <v>4.0</v>
      </c>
      <c r="K420" s="310">
        <v>8.0</v>
      </c>
      <c r="L420" s="308">
        <v>8.0</v>
      </c>
      <c r="M420" s="313"/>
      <c r="N420" s="313"/>
      <c r="O420" s="311"/>
      <c r="P420" s="313"/>
      <c r="Q420" s="313"/>
      <c r="R420" s="313"/>
      <c r="S420" s="311"/>
      <c r="T420" s="312"/>
      <c r="U420" s="313"/>
      <c r="V420" s="313"/>
      <c r="W420" s="313"/>
    </row>
    <row r="421" ht="15.0" customHeight="1">
      <c r="A421" s="304" t="s">
        <v>716</v>
      </c>
      <c r="B421" s="308">
        <v>7.0</v>
      </c>
      <c r="C421" s="309">
        <v>7.0</v>
      </c>
      <c r="D421" s="309">
        <v>7.0</v>
      </c>
      <c r="E421" s="309">
        <v>4.0</v>
      </c>
      <c r="F421" s="310">
        <v>7.0</v>
      </c>
      <c r="G421" s="308">
        <v>7.0</v>
      </c>
      <c r="H421" s="309">
        <v>7.0</v>
      </c>
      <c r="I421" s="309">
        <v>7.0</v>
      </c>
      <c r="J421" s="309">
        <v>4.0</v>
      </c>
      <c r="K421" s="310">
        <v>7.0</v>
      </c>
      <c r="L421" s="308">
        <v>7.0</v>
      </c>
      <c r="M421" s="313"/>
      <c r="N421" s="313"/>
      <c r="O421" s="311"/>
      <c r="P421" s="313"/>
      <c r="Q421" s="313"/>
      <c r="R421" s="313"/>
      <c r="S421" s="311"/>
      <c r="T421" s="312"/>
      <c r="U421" s="313"/>
      <c r="V421" s="313"/>
      <c r="W421" s="313"/>
    </row>
    <row r="422" ht="15.0" customHeight="1">
      <c r="A422" s="304" t="s">
        <v>717</v>
      </c>
      <c r="B422" s="308">
        <v>6.0</v>
      </c>
      <c r="C422" s="309">
        <v>6.0</v>
      </c>
      <c r="D422" s="309">
        <v>6.0</v>
      </c>
      <c r="E422" s="309">
        <v>3.0</v>
      </c>
      <c r="F422" s="310">
        <v>6.0</v>
      </c>
      <c r="G422" s="308">
        <v>6.0</v>
      </c>
      <c r="H422" s="309">
        <v>6.0</v>
      </c>
      <c r="I422" s="309">
        <v>6.0</v>
      </c>
      <c r="J422" s="309">
        <v>3.0</v>
      </c>
      <c r="K422" s="310">
        <v>6.0</v>
      </c>
      <c r="L422" s="308">
        <v>6.0</v>
      </c>
      <c r="M422" s="313"/>
      <c r="N422" s="313"/>
      <c r="O422" s="311"/>
      <c r="P422" s="313"/>
      <c r="Q422" s="313"/>
      <c r="R422" s="313"/>
      <c r="S422" s="311"/>
      <c r="T422" s="312"/>
      <c r="U422" s="313"/>
      <c r="V422" s="313"/>
      <c r="W422" s="313"/>
    </row>
    <row r="423" ht="15.0" customHeight="1">
      <c r="A423" s="304" t="s">
        <v>718</v>
      </c>
      <c r="B423" s="308">
        <v>5.0</v>
      </c>
      <c r="C423" s="309">
        <v>5.0</v>
      </c>
      <c r="D423" s="309">
        <v>5.0</v>
      </c>
      <c r="E423" s="309">
        <v>3.0</v>
      </c>
      <c r="F423" s="310">
        <v>5.0</v>
      </c>
      <c r="G423" s="308">
        <v>5.0</v>
      </c>
      <c r="H423" s="309">
        <v>5.0</v>
      </c>
      <c r="I423" s="309">
        <v>5.0</v>
      </c>
      <c r="J423" s="309">
        <v>3.0</v>
      </c>
      <c r="K423" s="310">
        <v>5.0</v>
      </c>
      <c r="L423" s="308">
        <v>5.0</v>
      </c>
      <c r="M423" s="313"/>
      <c r="N423" s="313"/>
      <c r="O423" s="311"/>
      <c r="P423" s="313"/>
      <c r="Q423" s="313"/>
      <c r="R423" s="313"/>
      <c r="S423" s="311"/>
      <c r="T423" s="312"/>
      <c r="U423" s="313"/>
      <c r="V423" s="313"/>
      <c r="W423" s="313"/>
    </row>
    <row r="424" ht="15.0" customHeight="1">
      <c r="A424" s="304" t="s">
        <v>719</v>
      </c>
      <c r="B424" s="308">
        <v>4.0</v>
      </c>
      <c r="C424" s="309">
        <v>4.0</v>
      </c>
      <c r="D424" s="309">
        <v>4.0</v>
      </c>
      <c r="E424" s="309">
        <v>2.0</v>
      </c>
      <c r="F424" s="310">
        <v>4.0</v>
      </c>
      <c r="G424" s="308">
        <v>4.0</v>
      </c>
      <c r="H424" s="309">
        <v>4.0</v>
      </c>
      <c r="I424" s="309">
        <v>4.0</v>
      </c>
      <c r="J424" s="309">
        <v>2.0</v>
      </c>
      <c r="K424" s="310">
        <v>4.0</v>
      </c>
      <c r="L424" s="308">
        <v>4.0</v>
      </c>
      <c r="M424" s="313"/>
      <c r="N424" s="313"/>
      <c r="O424" s="311"/>
      <c r="P424" s="313"/>
      <c r="Q424" s="313"/>
      <c r="R424" s="313"/>
      <c r="S424" s="311"/>
      <c r="T424" s="312"/>
      <c r="U424" s="313"/>
      <c r="V424" s="313"/>
      <c r="W424" s="313"/>
    </row>
    <row r="425" ht="15.0" customHeight="1">
      <c r="A425" s="304" t="s">
        <v>720</v>
      </c>
      <c r="B425" s="308">
        <v>3.0</v>
      </c>
      <c r="C425" s="309">
        <v>3.0</v>
      </c>
      <c r="D425" s="309">
        <v>3.0</v>
      </c>
      <c r="E425" s="309">
        <v>2.0</v>
      </c>
      <c r="F425" s="310">
        <v>3.0</v>
      </c>
      <c r="G425" s="308">
        <v>3.0</v>
      </c>
      <c r="H425" s="309">
        <v>3.0</v>
      </c>
      <c r="I425" s="309">
        <v>3.0</v>
      </c>
      <c r="J425" s="309">
        <v>2.0</v>
      </c>
      <c r="K425" s="310">
        <v>3.0</v>
      </c>
      <c r="L425" s="308">
        <v>3.0</v>
      </c>
      <c r="M425" s="313"/>
      <c r="N425" s="313"/>
      <c r="O425" s="311"/>
      <c r="P425" s="313"/>
      <c r="Q425" s="313"/>
      <c r="R425" s="313"/>
      <c r="S425" s="311"/>
      <c r="T425" s="312"/>
      <c r="U425" s="313"/>
      <c r="V425" s="313"/>
      <c r="W425" s="313"/>
    </row>
    <row r="426" ht="15.0" customHeight="1">
      <c r="A426" s="304" t="s">
        <v>721</v>
      </c>
      <c r="B426" s="308">
        <v>2.0</v>
      </c>
      <c r="C426" s="309">
        <v>2.0</v>
      </c>
      <c r="D426" s="309">
        <v>2.0</v>
      </c>
      <c r="E426" s="309">
        <v>1.0</v>
      </c>
      <c r="F426" s="310">
        <v>2.0</v>
      </c>
      <c r="G426" s="308">
        <v>2.0</v>
      </c>
      <c r="H426" s="309">
        <v>2.0</v>
      </c>
      <c r="I426" s="309">
        <v>2.0</v>
      </c>
      <c r="J426" s="309">
        <v>1.0</v>
      </c>
      <c r="K426" s="310">
        <v>2.0</v>
      </c>
      <c r="L426" s="308">
        <v>2.0</v>
      </c>
      <c r="M426" s="313"/>
      <c r="N426" s="313"/>
      <c r="O426" s="311"/>
      <c r="P426" s="313"/>
      <c r="Q426" s="313"/>
      <c r="R426" s="313"/>
      <c r="S426" s="311"/>
      <c r="T426" s="312"/>
      <c r="U426" s="313"/>
      <c r="V426" s="313"/>
      <c r="W426" s="313"/>
    </row>
    <row r="427" ht="15.0" customHeight="1">
      <c r="A427" s="304" t="s">
        <v>722</v>
      </c>
      <c r="B427" s="308">
        <v>1.0</v>
      </c>
      <c r="C427" s="309">
        <v>1.0</v>
      </c>
      <c r="D427" s="309">
        <v>1.0</v>
      </c>
      <c r="E427" s="309">
        <v>1.0</v>
      </c>
      <c r="F427" s="310">
        <v>1.0</v>
      </c>
      <c r="G427" s="308">
        <v>1.0</v>
      </c>
      <c r="H427" s="309">
        <v>1.0</v>
      </c>
      <c r="I427" s="309">
        <v>1.0</v>
      </c>
      <c r="J427" s="309">
        <v>1.0</v>
      </c>
      <c r="K427" s="310">
        <v>1.0</v>
      </c>
      <c r="L427" s="308">
        <v>1.0</v>
      </c>
      <c r="M427" s="313"/>
      <c r="N427" s="313"/>
      <c r="O427" s="311"/>
      <c r="P427" s="313"/>
      <c r="Q427" s="313"/>
      <c r="R427" s="313"/>
      <c r="S427" s="311"/>
      <c r="T427" s="312"/>
      <c r="U427" s="313"/>
      <c r="V427" s="313"/>
      <c r="W427" s="313"/>
    </row>
    <row r="428" ht="15.0" customHeight="1">
      <c r="A428" s="304" t="s">
        <v>723</v>
      </c>
      <c r="B428" s="308">
        <v>8.0</v>
      </c>
      <c r="C428" s="309">
        <v>8.0</v>
      </c>
      <c r="D428" s="309">
        <v>8.0</v>
      </c>
      <c r="E428" s="309">
        <v>3.0</v>
      </c>
      <c r="F428" s="310">
        <v>7.0</v>
      </c>
      <c r="G428" s="308">
        <v>6.0</v>
      </c>
      <c r="H428" s="309">
        <v>6.0</v>
      </c>
      <c r="I428" s="309">
        <v>6.0</v>
      </c>
      <c r="J428" s="309">
        <v>3.0</v>
      </c>
      <c r="K428" s="310">
        <v>6.0</v>
      </c>
      <c r="L428" s="308">
        <v>7.0</v>
      </c>
      <c r="M428" s="313"/>
      <c r="N428" s="313"/>
      <c r="O428" s="311"/>
      <c r="P428" s="313"/>
      <c r="Q428" s="313"/>
      <c r="R428" s="313"/>
      <c r="S428" s="311"/>
      <c r="T428" s="312"/>
      <c r="U428" s="313"/>
      <c r="V428" s="313"/>
      <c r="W428" s="313"/>
    </row>
    <row r="429" ht="15.0" customHeight="1">
      <c r="A429" s="304" t="s">
        <v>724</v>
      </c>
      <c r="B429" s="308">
        <v>7.0</v>
      </c>
      <c r="C429" s="309">
        <v>7.0</v>
      </c>
      <c r="D429" s="309">
        <v>7.0</v>
      </c>
      <c r="E429" s="309">
        <v>3.0</v>
      </c>
      <c r="F429" s="310">
        <v>7.0</v>
      </c>
      <c r="G429" s="308">
        <v>5.0</v>
      </c>
      <c r="H429" s="309">
        <v>5.0</v>
      </c>
      <c r="I429" s="309">
        <v>5.0</v>
      </c>
      <c r="J429" s="309">
        <v>3.0</v>
      </c>
      <c r="K429" s="310">
        <v>5.0</v>
      </c>
      <c r="L429" s="308">
        <v>6.0</v>
      </c>
      <c r="M429" s="313"/>
      <c r="N429" s="313"/>
      <c r="O429" s="311"/>
      <c r="P429" s="313"/>
      <c r="Q429" s="313"/>
      <c r="R429" s="313"/>
      <c r="S429" s="311"/>
      <c r="T429" s="312"/>
      <c r="U429" s="313"/>
      <c r="V429" s="313"/>
      <c r="W429" s="313"/>
    </row>
    <row r="430" ht="15.0" customHeight="1">
      <c r="A430" s="304" t="s">
        <v>725</v>
      </c>
      <c r="B430" s="308">
        <v>5.0</v>
      </c>
      <c r="C430" s="309">
        <v>5.0</v>
      </c>
      <c r="D430" s="309">
        <v>9.0</v>
      </c>
      <c r="E430" s="309">
        <v>-3.0</v>
      </c>
      <c r="F430" s="310">
        <v>-1.0</v>
      </c>
      <c r="G430" s="308">
        <v>8.0</v>
      </c>
      <c r="H430" s="309">
        <v>8.0</v>
      </c>
      <c r="I430" s="309">
        <v>8.0</v>
      </c>
      <c r="J430" s="309">
        <v>-3.0</v>
      </c>
      <c r="K430" s="310">
        <v>5.0</v>
      </c>
      <c r="L430" s="308">
        <v>7.0</v>
      </c>
      <c r="M430" s="313"/>
      <c r="N430" s="313"/>
      <c r="O430" s="311"/>
      <c r="P430" s="313"/>
      <c r="Q430" s="313"/>
      <c r="R430" s="313"/>
      <c r="S430" s="311"/>
      <c r="T430" s="312"/>
      <c r="U430" s="313"/>
      <c r="V430" s="313"/>
      <c r="W430" s="313"/>
    </row>
    <row r="431" ht="15.0" customHeight="1">
      <c r="A431" s="304" t="s">
        <v>726</v>
      </c>
      <c r="B431" s="308">
        <v>2.0</v>
      </c>
      <c r="C431" s="309">
        <v>2.0</v>
      </c>
      <c r="D431" s="309">
        <v>2.0</v>
      </c>
      <c r="E431" s="309"/>
      <c r="F431" s="310"/>
      <c r="G431" s="308">
        <v>8.0</v>
      </c>
      <c r="H431" s="309">
        <v>9.0</v>
      </c>
      <c r="I431" s="309">
        <v>7.0</v>
      </c>
      <c r="J431" s="309"/>
      <c r="K431" s="310"/>
      <c r="L431" s="308">
        <v>2.0</v>
      </c>
      <c r="M431" s="313"/>
      <c r="N431" s="313"/>
      <c r="O431" s="311"/>
      <c r="P431" s="313"/>
      <c r="Q431" s="313"/>
      <c r="R431" s="313"/>
      <c r="S431" s="311"/>
      <c r="T431" s="312"/>
      <c r="U431" s="313"/>
      <c r="V431" s="313"/>
      <c r="W431" s="313"/>
    </row>
    <row r="432" ht="15.0" customHeight="1">
      <c r="A432" s="304" t="s">
        <v>727</v>
      </c>
      <c r="B432" s="312"/>
      <c r="C432" s="313"/>
      <c r="D432" s="313"/>
      <c r="E432" s="309">
        <v>-10.0</v>
      </c>
      <c r="F432" s="310">
        <v>11.0</v>
      </c>
      <c r="G432" s="308">
        <v>6.0</v>
      </c>
      <c r="H432" s="309">
        <v>5.0</v>
      </c>
      <c r="I432" s="309">
        <v>7.0</v>
      </c>
      <c r="J432" s="309">
        <v>8.0</v>
      </c>
      <c r="K432" s="311"/>
      <c r="L432" s="312"/>
      <c r="M432" s="313"/>
      <c r="N432" s="313"/>
      <c r="O432" s="311"/>
      <c r="P432" s="313"/>
      <c r="Q432" s="313"/>
      <c r="R432" s="313"/>
      <c r="S432" s="311"/>
      <c r="T432" s="312"/>
      <c r="U432" s="313"/>
      <c r="V432" s="313"/>
      <c r="W432" s="313"/>
    </row>
    <row r="433" ht="15.0" customHeight="1">
      <c r="A433" s="304" t="s">
        <v>728</v>
      </c>
      <c r="B433" s="312"/>
      <c r="C433" s="313"/>
      <c r="D433" s="313"/>
      <c r="E433" s="309">
        <v>-10.0</v>
      </c>
      <c r="F433" s="310">
        <v>10.0</v>
      </c>
      <c r="G433" s="308">
        <v>5.0</v>
      </c>
      <c r="H433" s="309">
        <v>4.0</v>
      </c>
      <c r="I433" s="309">
        <v>6.0</v>
      </c>
      <c r="J433" s="309">
        <v>6.0</v>
      </c>
      <c r="K433" s="311"/>
      <c r="L433" s="312"/>
      <c r="M433" s="313"/>
      <c r="N433" s="313"/>
      <c r="O433" s="311"/>
      <c r="P433" s="313"/>
      <c r="Q433" s="313"/>
      <c r="R433" s="313"/>
      <c r="S433" s="311"/>
      <c r="T433" s="312"/>
      <c r="U433" s="313"/>
      <c r="V433" s="313"/>
      <c r="W433" s="313"/>
    </row>
    <row r="434" ht="15.0" customHeight="1">
      <c r="A434" s="304" t="s">
        <v>729</v>
      </c>
      <c r="B434" s="312"/>
      <c r="C434" s="313"/>
      <c r="D434" s="313"/>
      <c r="E434" s="309">
        <v>-10.0</v>
      </c>
      <c r="F434" s="310">
        <v>9.0</v>
      </c>
      <c r="G434" s="308">
        <v>4.0</v>
      </c>
      <c r="H434" s="309">
        <v>3.0</v>
      </c>
      <c r="I434" s="309">
        <v>5.0</v>
      </c>
      <c r="J434" s="309">
        <v>4.0</v>
      </c>
      <c r="K434" s="311"/>
      <c r="L434" s="312"/>
      <c r="M434" s="313"/>
      <c r="N434" s="313"/>
      <c r="O434" s="311"/>
      <c r="P434" s="313"/>
      <c r="Q434" s="313"/>
      <c r="R434" s="313"/>
      <c r="S434" s="311"/>
      <c r="T434" s="312"/>
      <c r="U434" s="313"/>
      <c r="V434" s="313"/>
      <c r="W434" s="313"/>
    </row>
    <row r="435" ht="15.0" customHeight="1">
      <c r="A435" s="304" t="s">
        <v>730</v>
      </c>
      <c r="B435" s="312"/>
      <c r="C435" s="313"/>
      <c r="D435" s="313"/>
      <c r="E435" s="309">
        <v>-10.0</v>
      </c>
      <c r="F435" s="310">
        <v>8.0</v>
      </c>
      <c r="G435" s="308">
        <v>3.0</v>
      </c>
      <c r="H435" s="309">
        <v>2.0</v>
      </c>
      <c r="I435" s="309">
        <v>4.0</v>
      </c>
      <c r="J435" s="309">
        <v>2.0</v>
      </c>
      <c r="K435" s="311"/>
      <c r="L435" s="312"/>
      <c r="M435" s="313"/>
      <c r="N435" s="313"/>
      <c r="O435" s="311"/>
      <c r="P435" s="313"/>
      <c r="Q435" s="313"/>
      <c r="R435" s="313"/>
      <c r="S435" s="311"/>
      <c r="T435" s="312"/>
      <c r="U435" s="313"/>
      <c r="V435" s="313"/>
      <c r="W435" s="313"/>
    </row>
    <row r="436" ht="15.0" customHeight="1">
      <c r="A436" s="304" t="s">
        <v>731</v>
      </c>
      <c r="B436" s="312"/>
      <c r="C436" s="313"/>
      <c r="D436" s="313"/>
      <c r="E436" s="309">
        <v>-5.0</v>
      </c>
      <c r="F436" s="310">
        <v>6.0</v>
      </c>
      <c r="G436" s="308">
        <v>2.0</v>
      </c>
      <c r="H436" s="309">
        <v>2.0</v>
      </c>
      <c r="I436" s="309">
        <v>2.0</v>
      </c>
      <c r="J436" s="309">
        <v>1.0</v>
      </c>
      <c r="K436" s="311"/>
      <c r="L436" s="312"/>
      <c r="M436" s="313"/>
      <c r="N436" s="313"/>
      <c r="O436" s="311"/>
      <c r="P436" s="313"/>
      <c r="Q436" s="313"/>
      <c r="R436" s="313"/>
      <c r="S436" s="311"/>
      <c r="T436" s="312"/>
      <c r="U436" s="313"/>
      <c r="V436" s="313"/>
      <c r="W436" s="313"/>
    </row>
    <row r="437" ht="15.0" customHeight="1">
      <c r="A437" s="304" t="s">
        <v>732</v>
      </c>
      <c r="B437" s="312"/>
      <c r="C437" s="313"/>
      <c r="D437" s="313"/>
      <c r="E437" s="309"/>
      <c r="F437" s="310"/>
      <c r="G437" s="308"/>
      <c r="H437" s="309">
        <v>1.0</v>
      </c>
      <c r="I437" s="309">
        <v>2.0</v>
      </c>
      <c r="J437" s="309"/>
      <c r="K437" s="311"/>
      <c r="L437" s="312"/>
      <c r="M437" s="313"/>
      <c r="N437" s="313"/>
      <c r="O437" s="311"/>
      <c r="P437" s="313"/>
      <c r="Q437" s="313"/>
      <c r="R437" s="313"/>
      <c r="S437" s="311"/>
      <c r="T437" s="312"/>
      <c r="U437" s="313"/>
      <c r="V437" s="313"/>
      <c r="W437" s="313"/>
    </row>
    <row r="438" ht="15.0" customHeight="1">
      <c r="A438" s="304" t="s">
        <v>733</v>
      </c>
      <c r="B438" s="312"/>
      <c r="C438" s="313"/>
      <c r="D438" s="313"/>
      <c r="E438" s="309">
        <v>-10.0</v>
      </c>
      <c r="F438" s="310">
        <v>11.0</v>
      </c>
      <c r="G438" s="308">
        <v>6.0</v>
      </c>
      <c r="H438" s="309">
        <v>5.0</v>
      </c>
      <c r="I438" s="309">
        <v>7.0</v>
      </c>
      <c r="J438" s="309">
        <v>8.0</v>
      </c>
      <c r="K438" s="311"/>
      <c r="L438" s="312"/>
      <c r="M438" s="313"/>
      <c r="N438" s="313"/>
      <c r="O438" s="310">
        <v>1.0</v>
      </c>
      <c r="P438" s="313"/>
      <c r="Q438" s="313"/>
      <c r="R438" s="313"/>
      <c r="S438" s="311"/>
      <c r="T438" s="312"/>
      <c r="U438" s="313"/>
      <c r="V438" s="313"/>
      <c r="W438" s="313"/>
    </row>
    <row r="439" ht="15.0" customHeight="1">
      <c r="A439" s="304" t="s">
        <v>734</v>
      </c>
      <c r="B439" s="312"/>
      <c r="C439" s="313"/>
      <c r="D439" s="313"/>
      <c r="E439" s="309">
        <v>-10.0</v>
      </c>
      <c r="F439" s="310">
        <v>11.0</v>
      </c>
      <c r="G439" s="308">
        <v>1.0</v>
      </c>
      <c r="H439" s="309">
        <v>2.0</v>
      </c>
      <c r="I439" s="309">
        <v>1.0</v>
      </c>
      <c r="J439" s="309">
        <v>2.0</v>
      </c>
      <c r="K439" s="311"/>
      <c r="L439" s="312"/>
      <c r="M439" s="313"/>
      <c r="N439" s="313"/>
      <c r="O439" s="310"/>
      <c r="P439" s="313"/>
      <c r="Q439" s="313"/>
      <c r="R439" s="313"/>
      <c r="S439" s="311"/>
      <c r="T439" s="312"/>
      <c r="U439" s="313"/>
      <c r="V439" s="313"/>
      <c r="W439" s="313"/>
    </row>
    <row r="440" ht="15.0" customHeight="1">
      <c r="A440" s="304" t="s">
        <v>735</v>
      </c>
      <c r="B440" s="312"/>
      <c r="C440" s="313"/>
      <c r="D440" s="313"/>
      <c r="E440" s="309"/>
      <c r="F440" s="310"/>
      <c r="G440" s="308"/>
      <c r="H440" s="309">
        <v>1.0</v>
      </c>
      <c r="I440" s="309">
        <v>2.0</v>
      </c>
      <c r="J440" s="309"/>
      <c r="K440" s="311"/>
      <c r="L440" s="312"/>
      <c r="M440" s="313"/>
      <c r="N440" s="313"/>
      <c r="O440" s="310"/>
      <c r="P440" s="313"/>
      <c r="Q440" s="313"/>
      <c r="R440" s="313"/>
      <c r="S440" s="311"/>
      <c r="T440" s="312"/>
      <c r="U440" s="313"/>
      <c r="V440" s="313"/>
      <c r="W440" s="313"/>
    </row>
    <row r="441" ht="15.0" customHeight="1">
      <c r="A441" s="304" t="s">
        <v>736</v>
      </c>
      <c r="B441" s="312"/>
      <c r="C441" s="313"/>
      <c r="D441" s="313"/>
      <c r="E441" s="309">
        <v>-10.0</v>
      </c>
      <c r="F441" s="310">
        <v>11.0</v>
      </c>
      <c r="G441" s="308">
        <v>6.0</v>
      </c>
      <c r="H441" s="309">
        <v>5.0</v>
      </c>
      <c r="I441" s="309">
        <v>7.0</v>
      </c>
      <c r="J441" s="309">
        <v>9.0</v>
      </c>
      <c r="K441" s="311"/>
      <c r="L441" s="312"/>
      <c r="M441" s="313"/>
      <c r="N441" s="313"/>
      <c r="O441" s="310"/>
      <c r="P441" s="313"/>
      <c r="Q441" s="313"/>
      <c r="R441" s="313"/>
      <c r="S441" s="311"/>
      <c r="T441" s="312"/>
      <c r="U441" s="313"/>
      <c r="V441" s="313"/>
      <c r="W441" s="313"/>
    </row>
    <row r="442" ht="15.0" customHeight="1">
      <c r="A442" s="304" t="s">
        <v>737</v>
      </c>
      <c r="B442" s="312"/>
      <c r="C442" s="313"/>
      <c r="D442" s="313"/>
      <c r="E442" s="309"/>
      <c r="F442" s="310"/>
      <c r="G442" s="308"/>
      <c r="H442" s="309">
        <v>1.0</v>
      </c>
      <c r="I442" s="309">
        <v>2.0</v>
      </c>
      <c r="J442" s="309"/>
      <c r="K442" s="311"/>
      <c r="L442" s="312"/>
      <c r="M442" s="313"/>
      <c r="N442" s="313"/>
      <c r="O442" s="310"/>
      <c r="P442" s="313"/>
      <c r="Q442" s="313"/>
      <c r="R442" s="313"/>
      <c r="S442" s="311"/>
      <c r="T442" s="312"/>
      <c r="U442" s="313"/>
      <c r="V442" s="313"/>
      <c r="W442" s="313"/>
    </row>
    <row r="443" ht="15.0" customHeight="1">
      <c r="A443" s="304" t="s">
        <v>738</v>
      </c>
      <c r="B443" s="312"/>
      <c r="C443" s="313"/>
      <c r="D443" s="313"/>
      <c r="E443" s="309"/>
      <c r="F443" s="310">
        <v>4.0</v>
      </c>
      <c r="G443" s="308">
        <v>2.0</v>
      </c>
      <c r="H443" s="309">
        <v>2.0</v>
      </c>
      <c r="I443" s="309">
        <v>1.0</v>
      </c>
      <c r="J443" s="309"/>
      <c r="K443" s="311"/>
      <c r="L443" s="312"/>
      <c r="M443" s="313"/>
      <c r="N443" s="313"/>
      <c r="O443" s="310"/>
      <c r="P443" s="313"/>
      <c r="Q443" s="313"/>
      <c r="R443" s="313"/>
      <c r="S443" s="311"/>
      <c r="T443" s="312"/>
      <c r="U443" s="313"/>
      <c r="V443" s="313"/>
      <c r="W443" s="313"/>
    </row>
    <row r="444" ht="15.0" customHeight="1">
      <c r="A444" s="304"/>
      <c r="B444" s="312"/>
      <c r="C444" s="313"/>
      <c r="D444" s="313"/>
      <c r="E444" s="313"/>
      <c r="F444" s="311"/>
      <c r="G444" s="312"/>
      <c r="H444" s="313"/>
      <c r="I444" s="313"/>
      <c r="J444" s="313"/>
      <c r="K444" s="311"/>
      <c r="L444" s="308"/>
      <c r="M444" s="313"/>
      <c r="N444" s="313"/>
      <c r="O444" s="311"/>
      <c r="P444" s="313"/>
      <c r="Q444" s="313"/>
      <c r="R444" s="313"/>
      <c r="S444" s="311"/>
      <c r="T444" s="312"/>
      <c r="U444" s="313"/>
      <c r="V444" s="313"/>
      <c r="W444" s="313"/>
    </row>
    <row r="445" ht="15.0" customHeight="1">
      <c r="A445" s="331"/>
      <c r="B445" s="336"/>
      <c r="C445" s="338"/>
      <c r="D445" s="338"/>
      <c r="E445" s="338"/>
      <c r="F445" s="335"/>
      <c r="G445" s="336"/>
      <c r="H445" s="338"/>
      <c r="I445" s="338"/>
      <c r="J445" s="338"/>
      <c r="K445" s="335"/>
      <c r="L445" s="332"/>
      <c r="M445" s="338"/>
      <c r="N445" s="338"/>
      <c r="O445" s="335"/>
      <c r="P445" s="338"/>
      <c r="Q445" s="338"/>
      <c r="R445" s="338"/>
      <c r="S445" s="335"/>
      <c r="T445" s="336"/>
      <c r="U445" s="338"/>
      <c r="V445" s="338"/>
      <c r="W445" s="338"/>
    </row>
    <row r="446" ht="15.0" customHeight="1">
      <c r="A446" s="337"/>
      <c r="B446" s="341"/>
      <c r="C446" s="342"/>
      <c r="D446" s="342"/>
      <c r="E446" s="342"/>
      <c r="F446" s="343"/>
      <c r="G446" s="341"/>
      <c r="H446" s="342"/>
      <c r="I446" s="342"/>
      <c r="J446" s="342"/>
      <c r="K446" s="343"/>
      <c r="L446" s="344"/>
      <c r="M446" s="342"/>
      <c r="N446" s="342"/>
      <c r="O446" s="343"/>
      <c r="P446" s="342"/>
      <c r="Q446" s="342"/>
      <c r="R446" s="342"/>
      <c r="S446" s="343"/>
      <c r="T446" s="341"/>
      <c r="U446" s="342"/>
      <c r="V446" s="342"/>
      <c r="W446" s="342"/>
    </row>
    <row r="447" ht="15.0" customHeight="1">
      <c r="A447" s="304" t="s">
        <v>273</v>
      </c>
      <c r="B447" s="308"/>
      <c r="C447" s="309"/>
      <c r="D447" s="309"/>
      <c r="E447" s="309"/>
      <c r="F447" s="310"/>
      <c r="G447" s="308"/>
      <c r="H447" s="309"/>
      <c r="I447" s="309"/>
      <c r="J447" s="313"/>
      <c r="K447" s="311"/>
      <c r="L447" s="308"/>
      <c r="M447" s="313"/>
      <c r="N447" s="313"/>
      <c r="O447" s="311"/>
      <c r="P447" s="313"/>
      <c r="Q447" s="313"/>
      <c r="R447" s="313"/>
      <c r="S447" s="311"/>
      <c r="T447" s="312"/>
      <c r="U447" s="313"/>
      <c r="V447" s="313"/>
      <c r="W447" s="313"/>
    </row>
    <row r="448" ht="15.0" customHeight="1">
      <c r="A448" s="304" t="s">
        <v>739</v>
      </c>
      <c r="B448" s="308">
        <v>2.0</v>
      </c>
      <c r="C448" s="309">
        <v>2.0</v>
      </c>
      <c r="D448" s="309">
        <v>2.0</v>
      </c>
      <c r="E448" s="309">
        <v>-4.0</v>
      </c>
      <c r="F448" s="310">
        <v>-1.0</v>
      </c>
      <c r="G448" s="308">
        <v>22.0</v>
      </c>
      <c r="H448" s="309">
        <v>22.0</v>
      </c>
      <c r="I448" s="309">
        <v>22.0</v>
      </c>
      <c r="J448" s="313"/>
      <c r="K448" s="311"/>
      <c r="L448" s="308">
        <v>5.0</v>
      </c>
      <c r="M448" s="313"/>
      <c r="N448" s="313"/>
      <c r="O448" s="311"/>
      <c r="P448" s="313"/>
      <c r="Q448" s="313"/>
      <c r="R448" s="313"/>
      <c r="S448" s="311"/>
      <c r="T448" s="312"/>
      <c r="U448" s="313"/>
      <c r="V448" s="313"/>
      <c r="W448" s="313"/>
    </row>
    <row r="449" ht="15.0" customHeight="1">
      <c r="A449" s="304" t="s">
        <v>740</v>
      </c>
      <c r="B449" s="312"/>
      <c r="C449" s="313"/>
      <c r="D449" s="313"/>
      <c r="E449" s="309">
        <v>-3.0</v>
      </c>
      <c r="F449" s="310">
        <v>-1.0</v>
      </c>
      <c r="G449" s="308">
        <v>16.0</v>
      </c>
      <c r="H449" s="309">
        <v>17.0</v>
      </c>
      <c r="I449" s="309">
        <v>18.0</v>
      </c>
      <c r="J449" s="313"/>
      <c r="K449" s="311"/>
      <c r="L449" s="308">
        <v>4.0</v>
      </c>
      <c r="M449" s="313"/>
      <c r="N449" s="313"/>
      <c r="O449" s="311"/>
      <c r="P449" s="313"/>
      <c r="Q449" s="313"/>
      <c r="R449" s="313"/>
      <c r="S449" s="311"/>
      <c r="T449" s="312"/>
      <c r="U449" s="313"/>
      <c r="V449" s="313"/>
      <c r="W449" s="313"/>
    </row>
    <row r="450" ht="15.0" customHeight="1">
      <c r="A450" s="304" t="s">
        <v>741</v>
      </c>
      <c r="B450" s="312"/>
      <c r="C450" s="313"/>
      <c r="D450" s="313"/>
      <c r="E450" s="309">
        <v>-3.0</v>
      </c>
      <c r="F450" s="310">
        <v>-1.0</v>
      </c>
      <c r="G450" s="308">
        <v>12.0</v>
      </c>
      <c r="H450" s="309">
        <v>13.0</v>
      </c>
      <c r="I450" s="309">
        <v>14.0</v>
      </c>
      <c r="J450" s="313"/>
      <c r="K450" s="311"/>
      <c r="L450" s="308">
        <v>2.0</v>
      </c>
      <c r="M450" s="313"/>
      <c r="N450" s="313"/>
      <c r="O450" s="311"/>
      <c r="P450" s="313"/>
      <c r="Q450" s="313"/>
      <c r="R450" s="313"/>
      <c r="S450" s="311"/>
      <c r="T450" s="312"/>
      <c r="U450" s="313"/>
      <c r="V450" s="313"/>
      <c r="W450" s="313"/>
    </row>
    <row r="451" ht="15.0" customHeight="1">
      <c r="A451" s="304" t="s">
        <v>742</v>
      </c>
      <c r="B451" s="312"/>
      <c r="C451" s="313"/>
      <c r="D451" s="313"/>
      <c r="E451" s="309">
        <v>-3.0</v>
      </c>
      <c r="F451" s="310">
        <v>-1.0</v>
      </c>
      <c r="G451" s="308">
        <v>10.0</v>
      </c>
      <c r="H451" s="309">
        <v>11.0</v>
      </c>
      <c r="I451" s="309">
        <v>12.0</v>
      </c>
      <c r="J451" s="313"/>
      <c r="K451" s="311"/>
      <c r="L451" s="308">
        <v>1.0</v>
      </c>
      <c r="M451" s="313"/>
      <c r="N451" s="313"/>
      <c r="O451" s="311"/>
      <c r="P451" s="313"/>
      <c r="Q451" s="313"/>
      <c r="R451" s="313"/>
      <c r="S451" s="311"/>
      <c r="T451" s="312"/>
      <c r="U451" s="313"/>
      <c r="V451" s="313"/>
      <c r="W451" s="313"/>
    </row>
    <row r="452" ht="15.0" customHeight="1">
      <c r="A452" s="304" t="s">
        <v>743</v>
      </c>
      <c r="B452" s="312"/>
      <c r="C452" s="313"/>
      <c r="D452" s="313"/>
      <c r="E452" s="313"/>
      <c r="F452" s="311"/>
      <c r="G452" s="312"/>
      <c r="H452" s="309">
        <v>2.0</v>
      </c>
      <c r="I452" s="309">
        <v>2.0</v>
      </c>
      <c r="J452" s="313"/>
      <c r="K452" s="311"/>
      <c r="L452" s="308">
        <v>2.0</v>
      </c>
      <c r="M452" s="313"/>
      <c r="N452" s="313"/>
      <c r="O452" s="311"/>
      <c r="P452" s="313"/>
      <c r="Q452" s="313"/>
      <c r="R452" s="313"/>
      <c r="S452" s="311"/>
      <c r="T452" s="312"/>
      <c r="U452" s="313"/>
      <c r="V452" s="313"/>
      <c r="W452" s="313"/>
    </row>
    <row r="453" ht="15.0" customHeight="1">
      <c r="A453" s="304" t="s">
        <v>744</v>
      </c>
      <c r="B453" s="312"/>
      <c r="C453" s="313"/>
      <c r="D453" s="313"/>
      <c r="E453" s="309">
        <v>-5.0</v>
      </c>
      <c r="F453" s="310">
        <v>-3.0</v>
      </c>
      <c r="G453" s="308">
        <v>17.0</v>
      </c>
      <c r="H453" s="309">
        <v>18.0</v>
      </c>
      <c r="I453" s="309">
        <v>19.0</v>
      </c>
      <c r="J453" s="313"/>
      <c r="K453" s="310">
        <v>15.0</v>
      </c>
      <c r="L453" s="308"/>
      <c r="M453" s="313"/>
      <c r="N453" s="313"/>
      <c r="O453" s="310">
        <v>1.0</v>
      </c>
      <c r="P453" s="313"/>
      <c r="Q453" s="313"/>
      <c r="R453" s="313"/>
      <c r="S453" s="311"/>
      <c r="T453" s="312"/>
      <c r="U453" s="313"/>
      <c r="V453" s="313"/>
      <c r="W453" s="313"/>
    </row>
    <row r="454" ht="15.0" customHeight="1">
      <c r="A454" s="304" t="s">
        <v>745</v>
      </c>
      <c r="B454" s="312"/>
      <c r="C454" s="313"/>
      <c r="D454" s="313"/>
      <c r="E454" s="309">
        <v>-3.0</v>
      </c>
      <c r="F454" s="310">
        <v>-1.0</v>
      </c>
      <c r="G454" s="308">
        <v>12.0</v>
      </c>
      <c r="H454" s="309">
        <v>13.0</v>
      </c>
      <c r="I454" s="309">
        <v>14.0</v>
      </c>
      <c r="J454" s="309">
        <v>0.0</v>
      </c>
      <c r="K454" s="310">
        <v>8.0</v>
      </c>
      <c r="L454" s="308">
        <v>3.0</v>
      </c>
      <c r="M454" s="313"/>
      <c r="N454" s="313"/>
      <c r="O454" s="310"/>
      <c r="P454" s="313"/>
      <c r="Q454" s="313"/>
      <c r="R454" s="313"/>
      <c r="S454" s="311"/>
      <c r="T454" s="312"/>
      <c r="U454" s="313"/>
      <c r="V454" s="313"/>
      <c r="W454" s="313"/>
    </row>
    <row r="455" ht="15.0" customHeight="1">
      <c r="A455" s="304" t="s">
        <v>746</v>
      </c>
      <c r="B455" s="312"/>
      <c r="C455" s="313"/>
      <c r="D455" s="313"/>
      <c r="E455" s="309">
        <v>-3.0</v>
      </c>
      <c r="F455" s="310">
        <v>-1.0</v>
      </c>
      <c r="G455" s="308">
        <v>32.0</v>
      </c>
      <c r="H455" s="309">
        <v>32.0</v>
      </c>
      <c r="I455" s="309">
        <v>32.0</v>
      </c>
      <c r="J455" s="309">
        <v>-3.0</v>
      </c>
      <c r="K455" s="310">
        <v>24.0</v>
      </c>
      <c r="L455" s="308">
        <v>3.0</v>
      </c>
      <c r="M455" s="313"/>
      <c r="N455" s="313"/>
      <c r="O455" s="310">
        <v>2.0</v>
      </c>
      <c r="P455" s="313"/>
      <c r="Q455" s="313"/>
      <c r="R455" s="313"/>
      <c r="S455" s="311"/>
      <c r="T455" s="312"/>
      <c r="U455" s="313"/>
      <c r="V455" s="313"/>
      <c r="W455" s="313"/>
    </row>
    <row r="456" ht="15.0" customHeight="1">
      <c r="A456" s="304" t="s">
        <v>747</v>
      </c>
      <c r="B456" s="312"/>
      <c r="C456" s="313"/>
      <c r="D456" s="313"/>
      <c r="E456" s="309"/>
      <c r="F456" s="310"/>
      <c r="G456" s="308">
        <v>1.0</v>
      </c>
      <c r="H456" s="309">
        <v>1.0</v>
      </c>
      <c r="I456" s="309">
        <v>1.0</v>
      </c>
      <c r="J456" s="309"/>
      <c r="K456" s="310"/>
      <c r="L456" s="308"/>
      <c r="M456" s="313"/>
      <c r="N456" s="313"/>
      <c r="O456" s="310"/>
      <c r="P456" s="313"/>
      <c r="Q456" s="313"/>
      <c r="R456" s="313"/>
      <c r="S456" s="311"/>
      <c r="T456" s="312"/>
      <c r="U456" s="313"/>
      <c r="V456" s="313"/>
      <c r="W456" s="313"/>
    </row>
    <row r="457" ht="15.0" customHeight="1">
      <c r="A457" s="304" t="s">
        <v>748</v>
      </c>
      <c r="B457" s="308">
        <v>3.0</v>
      </c>
      <c r="C457" s="309">
        <v>0.0</v>
      </c>
      <c r="D457" s="309">
        <v>0.0</v>
      </c>
      <c r="E457" s="309">
        <v>3.0</v>
      </c>
      <c r="F457" s="310">
        <v>5.0</v>
      </c>
      <c r="G457" s="308">
        <v>10.0</v>
      </c>
      <c r="H457" s="309">
        <v>10.0</v>
      </c>
      <c r="I457" s="309">
        <v>10.0</v>
      </c>
      <c r="J457" s="309">
        <v>5.0</v>
      </c>
      <c r="K457" s="310">
        <v>5.0</v>
      </c>
      <c r="L457" s="308"/>
      <c r="M457" s="313"/>
      <c r="N457" s="313"/>
      <c r="O457" s="310"/>
      <c r="P457" s="313"/>
      <c r="Q457" s="313"/>
      <c r="R457" s="313"/>
      <c r="S457" s="311"/>
      <c r="T457" s="312"/>
      <c r="U457" s="313"/>
      <c r="V457" s="313"/>
      <c r="W457" s="313"/>
    </row>
    <row r="458" ht="15.0" customHeight="1">
      <c r="A458" s="304" t="s">
        <v>749</v>
      </c>
      <c r="B458" s="312"/>
      <c r="C458" s="313"/>
      <c r="D458" s="313"/>
      <c r="E458" s="309">
        <v>-3.0</v>
      </c>
      <c r="F458" s="310">
        <v>-1.0</v>
      </c>
      <c r="G458" s="308">
        <v>7.0</v>
      </c>
      <c r="H458" s="309">
        <v>8.0</v>
      </c>
      <c r="I458" s="309">
        <v>9.0</v>
      </c>
      <c r="J458" s="313"/>
      <c r="K458" s="310"/>
      <c r="L458" s="308"/>
      <c r="M458" s="313"/>
      <c r="N458" s="313"/>
      <c r="O458" s="310">
        <v>1.0</v>
      </c>
      <c r="P458" s="313"/>
      <c r="Q458" s="313"/>
      <c r="R458" s="313"/>
      <c r="S458" s="311"/>
      <c r="T458" s="312"/>
      <c r="U458" s="313"/>
      <c r="V458" s="313"/>
      <c r="W458" s="313"/>
    </row>
    <row r="459" ht="15.0" customHeight="1">
      <c r="A459" s="304" t="s">
        <v>750</v>
      </c>
      <c r="B459" s="312"/>
      <c r="C459" s="313"/>
      <c r="D459" s="313"/>
      <c r="E459" s="309"/>
      <c r="F459" s="310"/>
      <c r="G459" s="308"/>
      <c r="H459" s="309"/>
      <c r="I459" s="309"/>
      <c r="J459" s="313"/>
      <c r="K459" s="310"/>
      <c r="L459" s="308"/>
      <c r="M459" s="313"/>
      <c r="N459" s="313"/>
      <c r="O459" s="310">
        <v>3.0</v>
      </c>
      <c r="P459" s="313"/>
      <c r="Q459" s="313"/>
      <c r="R459" s="313"/>
      <c r="S459" s="311"/>
      <c r="T459" s="312"/>
      <c r="U459" s="313"/>
      <c r="V459" s="313"/>
      <c r="W459" s="313"/>
    </row>
    <row r="460" ht="15.0" customHeight="1">
      <c r="A460" s="304" t="s">
        <v>751</v>
      </c>
      <c r="B460" s="308">
        <v>0.0</v>
      </c>
      <c r="C460" s="309">
        <v>0.0</v>
      </c>
      <c r="D460" s="309">
        <v>0.0</v>
      </c>
      <c r="E460" s="309">
        <v>0.0</v>
      </c>
      <c r="F460" s="310">
        <v>0.0</v>
      </c>
      <c r="G460" s="308">
        <v>0.0</v>
      </c>
      <c r="H460" s="309">
        <v>0.0</v>
      </c>
      <c r="I460" s="309">
        <v>0.0</v>
      </c>
      <c r="J460" s="309">
        <v>0.0</v>
      </c>
      <c r="K460" s="310">
        <v>0.0</v>
      </c>
      <c r="L460" s="308"/>
      <c r="M460" s="313"/>
      <c r="N460" s="313"/>
      <c r="O460" s="310">
        <v>5.0</v>
      </c>
      <c r="P460" s="313"/>
      <c r="Q460" s="313"/>
      <c r="R460" s="313"/>
      <c r="S460" s="311"/>
      <c r="T460" s="312"/>
      <c r="U460" s="313"/>
      <c r="V460" s="313"/>
      <c r="W460" s="313"/>
    </row>
    <row r="461" ht="15.0" customHeight="1">
      <c r="A461" s="304" t="s">
        <v>752</v>
      </c>
      <c r="B461" s="312"/>
      <c r="C461" s="313"/>
      <c r="D461" s="313"/>
      <c r="E461" s="309">
        <v>-12.0</v>
      </c>
      <c r="F461" s="310">
        <v>12.0</v>
      </c>
      <c r="G461" s="308">
        <v>5.0</v>
      </c>
      <c r="H461" s="309">
        <v>5.0</v>
      </c>
      <c r="I461" s="309">
        <v>5.0</v>
      </c>
      <c r="J461" s="309">
        <v>5.0</v>
      </c>
      <c r="K461" s="311"/>
      <c r="L461" s="308"/>
      <c r="M461" s="313"/>
      <c r="N461" s="313"/>
      <c r="O461" s="311"/>
      <c r="P461" s="313"/>
      <c r="Q461" s="313"/>
      <c r="R461" s="313"/>
      <c r="S461" s="311"/>
      <c r="T461" s="312"/>
      <c r="U461" s="313"/>
      <c r="V461" s="313"/>
      <c r="W461" s="313"/>
    </row>
    <row r="462" ht="15.0" customHeight="1">
      <c r="A462" s="304" t="s">
        <v>753</v>
      </c>
      <c r="B462" s="312"/>
      <c r="C462" s="313"/>
      <c r="D462" s="313"/>
      <c r="E462" s="309">
        <v>-10.0</v>
      </c>
      <c r="F462" s="310">
        <v>8.0</v>
      </c>
      <c r="G462" s="308">
        <v>2.0</v>
      </c>
      <c r="H462" s="309">
        <v>3.0</v>
      </c>
      <c r="I462" s="309">
        <v>4.0</v>
      </c>
      <c r="J462" s="309">
        <v>2.0</v>
      </c>
      <c r="K462" s="311"/>
      <c r="L462" s="312"/>
      <c r="M462" s="313"/>
      <c r="N462" s="313"/>
      <c r="O462" s="311"/>
      <c r="P462" s="313"/>
      <c r="Q462" s="313"/>
      <c r="R462" s="313"/>
      <c r="S462" s="311"/>
      <c r="T462" s="312"/>
      <c r="U462" s="313"/>
      <c r="V462" s="313"/>
      <c r="W462" s="313"/>
    </row>
    <row r="463" ht="15.0" customHeight="1">
      <c r="A463" s="304" t="s">
        <v>754</v>
      </c>
      <c r="B463" s="312"/>
      <c r="C463" s="313"/>
      <c r="D463" s="313"/>
      <c r="E463" s="309">
        <v>-10.0</v>
      </c>
      <c r="F463" s="310">
        <v>7.0</v>
      </c>
      <c r="G463" s="308">
        <v>4.0</v>
      </c>
      <c r="H463" s="309">
        <v>4.0</v>
      </c>
      <c r="I463" s="309">
        <v>4.0</v>
      </c>
      <c r="J463" s="309">
        <v>4.0</v>
      </c>
      <c r="K463" s="310">
        <v>4.0</v>
      </c>
      <c r="L463" s="308"/>
      <c r="M463" s="313"/>
      <c r="N463" s="313"/>
      <c r="O463" s="310">
        <v>1.0</v>
      </c>
      <c r="P463" s="313"/>
      <c r="Q463" s="313"/>
      <c r="R463" s="313"/>
      <c r="S463" s="311"/>
      <c r="T463" s="312"/>
      <c r="U463" s="313"/>
      <c r="V463" s="313"/>
      <c r="W463" s="313"/>
    </row>
    <row r="464" ht="15.0" customHeight="1">
      <c r="A464" s="304" t="s">
        <v>755</v>
      </c>
      <c r="B464" s="312"/>
      <c r="C464" s="313"/>
      <c r="D464" s="313"/>
      <c r="E464" s="309">
        <v>-10.0</v>
      </c>
      <c r="F464" s="310">
        <v>3.0</v>
      </c>
      <c r="G464" s="308">
        <v>1.0</v>
      </c>
      <c r="H464" s="309">
        <v>1.0</v>
      </c>
      <c r="I464" s="309">
        <v>2.0</v>
      </c>
      <c r="J464" s="309">
        <v>1.0</v>
      </c>
      <c r="K464" s="311"/>
      <c r="L464" s="312"/>
      <c r="M464" s="313"/>
      <c r="N464" s="313"/>
      <c r="O464" s="311"/>
      <c r="P464" s="313"/>
      <c r="Q464" s="313"/>
      <c r="R464" s="313"/>
      <c r="S464" s="311"/>
      <c r="T464" s="312"/>
      <c r="U464" s="313"/>
      <c r="V464" s="313"/>
      <c r="W464" s="313"/>
    </row>
    <row r="465" ht="15.0" customHeight="1">
      <c r="A465" s="304" t="s">
        <v>756</v>
      </c>
      <c r="B465" s="312"/>
      <c r="C465" s="313"/>
      <c r="D465" s="313"/>
      <c r="E465" s="309"/>
      <c r="F465" s="310"/>
      <c r="G465" s="308"/>
      <c r="H465" s="309">
        <v>1.0</v>
      </c>
      <c r="I465" s="309">
        <v>1.0</v>
      </c>
      <c r="J465" s="309"/>
      <c r="K465" s="311"/>
      <c r="L465" s="312"/>
      <c r="M465" s="313"/>
      <c r="N465" s="313"/>
      <c r="O465" s="311"/>
      <c r="P465" s="313"/>
      <c r="Q465" s="313"/>
      <c r="R465" s="313"/>
      <c r="S465" s="311"/>
      <c r="T465" s="312"/>
      <c r="U465" s="313"/>
      <c r="V465" s="313"/>
      <c r="W465" s="313"/>
    </row>
    <row r="466" ht="15.0" customHeight="1">
      <c r="A466" s="304" t="s">
        <v>757</v>
      </c>
      <c r="B466" s="312"/>
      <c r="C466" s="313"/>
      <c r="D466" s="313"/>
      <c r="E466" s="309">
        <v>-8.0</v>
      </c>
      <c r="F466" s="310">
        <v>2.0</v>
      </c>
      <c r="G466" s="308">
        <v>1.0</v>
      </c>
      <c r="H466" s="309">
        <v>1.0</v>
      </c>
      <c r="I466" s="309">
        <v>1.0</v>
      </c>
      <c r="J466" s="309"/>
      <c r="K466" s="310">
        <v>1.0</v>
      </c>
      <c r="L466" s="312"/>
      <c r="M466" s="313"/>
      <c r="N466" s="313"/>
      <c r="O466" s="311"/>
      <c r="P466" s="313"/>
      <c r="Q466" s="313"/>
      <c r="R466" s="313"/>
      <c r="S466" s="311"/>
      <c r="T466" s="312"/>
      <c r="U466" s="313"/>
      <c r="V466" s="313"/>
      <c r="W466" s="313"/>
    </row>
    <row r="467" ht="15.0" customHeight="1">
      <c r="A467" s="304" t="s">
        <v>758</v>
      </c>
      <c r="B467" s="312"/>
      <c r="C467" s="313"/>
      <c r="D467" s="313"/>
      <c r="E467" s="309">
        <v>1.0</v>
      </c>
      <c r="F467" s="310">
        <v>1.0</v>
      </c>
      <c r="G467" s="308">
        <v>8.0</v>
      </c>
      <c r="H467" s="309">
        <v>8.0</v>
      </c>
      <c r="I467" s="309">
        <v>8.0</v>
      </c>
      <c r="J467" s="309"/>
      <c r="K467" s="310"/>
      <c r="L467" s="312"/>
      <c r="M467" s="313"/>
      <c r="N467" s="313"/>
      <c r="O467" s="311"/>
      <c r="P467" s="313"/>
      <c r="Q467" s="313"/>
      <c r="R467" s="313"/>
      <c r="S467" s="311"/>
      <c r="T467" s="312"/>
      <c r="U467" s="313"/>
      <c r="V467" s="313"/>
      <c r="W467" s="313"/>
    </row>
    <row r="468" ht="15.0" customHeight="1">
      <c r="A468" s="304" t="s">
        <v>107</v>
      </c>
      <c r="B468" s="312"/>
      <c r="C468" s="313"/>
      <c r="D468" s="313"/>
      <c r="E468" s="309">
        <v>8.0</v>
      </c>
      <c r="F468" s="310"/>
      <c r="G468" s="308">
        <v>5.0</v>
      </c>
      <c r="H468" s="309">
        <v>5.0</v>
      </c>
      <c r="I468" s="309">
        <v>5.0</v>
      </c>
      <c r="J468" s="309">
        <v>8.0</v>
      </c>
      <c r="K468" s="310">
        <v>5.0</v>
      </c>
      <c r="L468" s="308"/>
      <c r="M468" s="313"/>
      <c r="N468" s="313"/>
      <c r="O468" s="311"/>
      <c r="P468" s="313"/>
      <c r="Q468" s="313"/>
      <c r="R468" s="313"/>
      <c r="S468" s="311"/>
      <c r="T468" s="312"/>
      <c r="U468" s="313"/>
      <c r="V468" s="313"/>
      <c r="W468" s="313"/>
    </row>
    <row r="469" ht="15.0" customHeight="1">
      <c r="A469" s="304" t="s">
        <v>759</v>
      </c>
      <c r="B469" s="312"/>
      <c r="C469" s="313"/>
      <c r="D469" s="313"/>
      <c r="E469" s="309">
        <v>5.0</v>
      </c>
      <c r="F469" s="310"/>
      <c r="G469" s="308"/>
      <c r="H469" s="309"/>
      <c r="I469" s="309"/>
      <c r="J469" s="309">
        <v>5.0</v>
      </c>
      <c r="K469" s="310"/>
      <c r="L469" s="308"/>
      <c r="M469" s="313"/>
      <c r="N469" s="313"/>
      <c r="O469" s="311"/>
      <c r="P469" s="313"/>
      <c r="Q469" s="313"/>
      <c r="R469" s="313"/>
      <c r="S469" s="311"/>
      <c r="T469" s="312"/>
      <c r="U469" s="313"/>
      <c r="V469" s="313"/>
      <c r="W469" s="313"/>
    </row>
    <row r="470" ht="15.0" customHeight="1">
      <c r="A470" s="304" t="s">
        <v>760</v>
      </c>
      <c r="B470" s="312"/>
      <c r="C470" s="313"/>
      <c r="D470" s="313"/>
      <c r="E470" s="309">
        <v>4.0</v>
      </c>
      <c r="F470" s="310"/>
      <c r="G470" s="308"/>
      <c r="H470" s="309"/>
      <c r="I470" s="309"/>
      <c r="J470" s="309">
        <v>4.0</v>
      </c>
      <c r="K470" s="310"/>
      <c r="L470" s="308"/>
      <c r="M470" s="313"/>
      <c r="N470" s="313"/>
      <c r="O470" s="311"/>
      <c r="P470" s="313"/>
      <c r="Q470" s="313"/>
      <c r="R470" s="313"/>
      <c r="S470" s="311"/>
      <c r="T470" s="312"/>
      <c r="U470" s="313"/>
      <c r="V470" s="313"/>
      <c r="W470" s="313"/>
    </row>
    <row r="471" ht="15.0" customHeight="1">
      <c r="A471" s="304" t="s">
        <v>761</v>
      </c>
      <c r="B471" s="308"/>
      <c r="C471" s="309"/>
      <c r="D471" s="309"/>
      <c r="E471" s="309">
        <v>3.0</v>
      </c>
      <c r="F471" s="311"/>
      <c r="G471" s="312"/>
      <c r="H471" s="313"/>
      <c r="I471" s="313"/>
      <c r="J471" s="309">
        <v>3.0</v>
      </c>
      <c r="K471" s="311"/>
      <c r="L471" s="308"/>
      <c r="M471" s="313"/>
      <c r="N471" s="313"/>
      <c r="O471" s="311"/>
      <c r="P471" s="313"/>
      <c r="Q471" s="313"/>
      <c r="R471" s="313"/>
      <c r="S471" s="311"/>
      <c r="T471" s="312"/>
      <c r="U471" s="309"/>
      <c r="V471" s="313"/>
      <c r="W471" s="313"/>
    </row>
    <row r="472" ht="15.0" customHeight="1">
      <c r="A472" s="304" t="s">
        <v>762</v>
      </c>
      <c r="B472" s="308"/>
      <c r="C472" s="309"/>
      <c r="D472" s="309"/>
      <c r="E472" s="309"/>
      <c r="F472" s="311"/>
      <c r="G472" s="308"/>
      <c r="H472" s="309">
        <v>1.0</v>
      </c>
      <c r="I472" s="309">
        <v>1.0</v>
      </c>
      <c r="J472" s="309"/>
      <c r="K472" s="311"/>
      <c r="L472" s="308"/>
      <c r="M472" s="313"/>
      <c r="N472" s="313"/>
      <c r="O472" s="311"/>
      <c r="P472" s="313"/>
      <c r="Q472" s="313"/>
      <c r="R472" s="313"/>
      <c r="S472" s="311"/>
      <c r="T472" s="312"/>
      <c r="U472" s="309"/>
      <c r="V472" s="313"/>
      <c r="W472" s="313"/>
    </row>
    <row r="473" ht="15.0" customHeight="1">
      <c r="A473" s="304" t="s">
        <v>763</v>
      </c>
      <c r="B473" s="308"/>
      <c r="C473" s="309"/>
      <c r="D473" s="309"/>
      <c r="E473" s="309"/>
      <c r="F473" s="311"/>
      <c r="G473" s="308">
        <v>1.0</v>
      </c>
      <c r="H473" s="309"/>
      <c r="I473" s="309">
        <v>3.0</v>
      </c>
      <c r="J473" s="309"/>
      <c r="K473" s="311"/>
      <c r="L473" s="308"/>
      <c r="M473" s="313"/>
      <c r="N473" s="313"/>
      <c r="O473" s="311"/>
      <c r="P473" s="313"/>
      <c r="Q473" s="313"/>
      <c r="R473" s="313"/>
      <c r="S473" s="311"/>
      <c r="T473" s="312"/>
      <c r="U473" s="309"/>
      <c r="V473" s="313"/>
      <c r="W473" s="313"/>
    </row>
    <row r="474" ht="15.0" customHeight="1">
      <c r="A474" s="304" t="s">
        <v>764</v>
      </c>
      <c r="B474" s="308"/>
      <c r="C474" s="309"/>
      <c r="D474" s="309"/>
      <c r="E474" s="309"/>
      <c r="F474" s="311"/>
      <c r="G474" s="308">
        <v>1.0</v>
      </c>
      <c r="H474" s="309">
        <v>2.0</v>
      </c>
      <c r="I474" s="309">
        <v>3.0</v>
      </c>
      <c r="J474" s="309"/>
      <c r="K474" s="311"/>
      <c r="L474" s="308"/>
      <c r="M474" s="313"/>
      <c r="N474" s="313"/>
      <c r="O474" s="311"/>
      <c r="P474" s="313"/>
      <c r="Q474" s="313"/>
      <c r="R474" s="313"/>
      <c r="S474" s="311"/>
      <c r="T474" s="312"/>
      <c r="U474" s="309"/>
      <c r="V474" s="313"/>
      <c r="W474" s="313"/>
    </row>
    <row r="475" ht="15.0" customHeight="1">
      <c r="A475" s="304"/>
      <c r="B475" s="308"/>
      <c r="C475" s="309"/>
      <c r="D475" s="309"/>
      <c r="E475" s="313"/>
      <c r="F475" s="311"/>
      <c r="G475" s="312"/>
      <c r="H475" s="313"/>
      <c r="I475" s="313"/>
      <c r="J475" s="313"/>
      <c r="K475" s="311"/>
      <c r="L475" s="308"/>
      <c r="M475" s="313"/>
      <c r="N475" s="313"/>
      <c r="O475" s="311"/>
      <c r="P475" s="313"/>
      <c r="Q475" s="313"/>
      <c r="R475" s="313"/>
      <c r="S475" s="311"/>
      <c r="T475" s="312"/>
      <c r="U475" s="309"/>
      <c r="V475" s="313"/>
      <c r="W475" s="313"/>
    </row>
    <row r="476" ht="15.0" customHeight="1">
      <c r="A476" s="345"/>
      <c r="B476" s="336"/>
      <c r="C476" s="338"/>
      <c r="D476" s="338"/>
      <c r="E476" s="338"/>
      <c r="F476" s="335"/>
      <c r="G476" s="336"/>
      <c r="H476" s="338"/>
      <c r="I476" s="338"/>
      <c r="J476" s="338"/>
      <c r="K476" s="338"/>
      <c r="L476" s="336"/>
      <c r="M476" s="338"/>
      <c r="N476" s="338"/>
      <c r="O476" s="335"/>
      <c r="P476" s="338"/>
      <c r="Q476" s="338"/>
      <c r="R476" s="338"/>
      <c r="S476" s="335"/>
      <c r="T476" s="336"/>
      <c r="U476" s="338"/>
      <c r="V476" s="338"/>
      <c r="W476" s="338"/>
    </row>
    <row r="477" ht="15.0" customHeight="1">
      <c r="A477" s="337"/>
      <c r="B477" s="308"/>
      <c r="C477" s="309"/>
      <c r="D477" s="309"/>
      <c r="E477" s="313"/>
      <c r="F477" s="311"/>
      <c r="G477" s="312"/>
      <c r="H477" s="313"/>
      <c r="I477" s="313"/>
      <c r="J477" s="313"/>
      <c r="K477" s="311"/>
      <c r="L477" s="308"/>
      <c r="M477" s="313"/>
      <c r="N477" s="313"/>
      <c r="O477" s="311"/>
      <c r="P477" s="313"/>
      <c r="Q477" s="313"/>
      <c r="R477" s="313"/>
      <c r="S477" s="311"/>
      <c r="T477" s="312"/>
      <c r="U477" s="313"/>
      <c r="V477" s="313"/>
      <c r="W477" s="313"/>
    </row>
    <row r="478" ht="15.0" customHeight="1">
      <c r="A478" s="304" t="s">
        <v>273</v>
      </c>
      <c r="B478" s="308"/>
      <c r="C478" s="309"/>
      <c r="D478" s="309"/>
      <c r="E478" s="313"/>
      <c r="F478" s="311"/>
      <c r="G478" s="312"/>
      <c r="H478" s="313"/>
      <c r="I478" s="309"/>
      <c r="J478" s="313"/>
      <c r="K478" s="311"/>
      <c r="L478" s="308"/>
      <c r="M478" s="313"/>
      <c r="N478" s="313"/>
      <c r="O478" s="311"/>
      <c r="P478" s="313"/>
      <c r="Q478" s="313"/>
      <c r="R478" s="313"/>
      <c r="S478" s="311"/>
      <c r="T478" s="312"/>
      <c r="U478" s="313"/>
      <c r="V478" s="313"/>
      <c r="W478" s="313"/>
    </row>
    <row r="479" ht="15.0" customHeight="1">
      <c r="A479" s="304" t="s">
        <v>765</v>
      </c>
      <c r="B479" s="308"/>
      <c r="C479" s="309"/>
      <c r="D479" s="309"/>
      <c r="E479" s="313"/>
      <c r="F479" s="311"/>
      <c r="G479" s="312"/>
      <c r="H479" s="313"/>
      <c r="I479" s="309">
        <v>8.0</v>
      </c>
      <c r="J479" s="313"/>
      <c r="K479" s="311"/>
      <c r="L479" s="308">
        <v>8.0</v>
      </c>
      <c r="M479" s="313"/>
      <c r="N479" s="313"/>
      <c r="O479" s="311"/>
      <c r="P479" s="313"/>
      <c r="Q479" s="313"/>
      <c r="R479" s="313"/>
      <c r="S479" s="311"/>
      <c r="T479" s="312"/>
      <c r="U479" s="313"/>
      <c r="V479" s="313"/>
      <c r="W479" s="313"/>
    </row>
    <row r="480" ht="15.0" customHeight="1">
      <c r="A480" s="304" t="s">
        <v>766</v>
      </c>
      <c r="B480" s="308"/>
      <c r="C480" s="309"/>
      <c r="D480" s="309"/>
      <c r="E480" s="313"/>
      <c r="F480" s="311"/>
      <c r="G480" s="312"/>
      <c r="H480" s="313"/>
      <c r="I480" s="309">
        <v>4.0</v>
      </c>
      <c r="J480" s="313"/>
      <c r="K480" s="311"/>
      <c r="L480" s="308">
        <v>4.0</v>
      </c>
      <c r="M480" s="313"/>
      <c r="N480" s="313"/>
      <c r="O480" s="311"/>
      <c r="P480" s="313"/>
      <c r="Q480" s="313"/>
      <c r="R480" s="313"/>
      <c r="S480" s="311"/>
      <c r="T480" s="312"/>
      <c r="U480" s="313"/>
      <c r="V480" s="313"/>
      <c r="W480" s="313"/>
    </row>
    <row r="481" ht="15.0" customHeight="1">
      <c r="A481" s="304" t="s">
        <v>767</v>
      </c>
      <c r="B481" s="308"/>
      <c r="C481" s="309">
        <v>8.0</v>
      </c>
      <c r="D481" s="313"/>
      <c r="E481" s="313"/>
      <c r="F481" s="311"/>
      <c r="G481" s="312"/>
      <c r="H481" s="309">
        <v>8.0</v>
      </c>
      <c r="I481" s="313"/>
      <c r="J481" s="313"/>
      <c r="K481" s="311"/>
      <c r="L481" s="312"/>
      <c r="M481" s="313"/>
      <c r="N481" s="313"/>
      <c r="O481" s="311"/>
      <c r="P481" s="313"/>
      <c r="Q481" s="313"/>
      <c r="R481" s="313"/>
      <c r="S481" s="311"/>
      <c r="T481" s="312"/>
      <c r="U481" s="313"/>
      <c r="V481" s="313"/>
      <c r="W481" s="313"/>
    </row>
    <row r="482" ht="15.0" customHeight="1">
      <c r="A482" s="304" t="s">
        <v>768</v>
      </c>
      <c r="B482" s="308"/>
      <c r="C482" s="309">
        <v>4.0</v>
      </c>
      <c r="D482" s="313"/>
      <c r="E482" s="313"/>
      <c r="F482" s="311"/>
      <c r="G482" s="312"/>
      <c r="H482" s="309">
        <v>4.0</v>
      </c>
      <c r="I482" s="313"/>
      <c r="J482" s="313"/>
      <c r="K482" s="311"/>
      <c r="L482" s="312"/>
      <c r="M482" s="313"/>
      <c r="N482" s="313"/>
      <c r="O482" s="311"/>
      <c r="P482" s="313"/>
      <c r="Q482" s="313"/>
      <c r="R482" s="313"/>
      <c r="S482" s="311"/>
      <c r="T482" s="312"/>
      <c r="U482" s="313"/>
      <c r="V482" s="313"/>
      <c r="W482" s="313"/>
    </row>
    <row r="483" ht="15.0" customHeight="1">
      <c r="A483" s="304" t="s">
        <v>769</v>
      </c>
      <c r="B483" s="308">
        <v>8.0</v>
      </c>
      <c r="C483" s="313"/>
      <c r="D483" s="313"/>
      <c r="E483" s="313"/>
      <c r="F483" s="311"/>
      <c r="G483" s="308">
        <v>8.0</v>
      </c>
      <c r="H483" s="313"/>
      <c r="I483" s="313"/>
      <c r="J483" s="313"/>
      <c r="K483" s="311"/>
      <c r="L483" s="312"/>
      <c r="M483" s="313"/>
      <c r="N483" s="313"/>
      <c r="O483" s="311"/>
      <c r="P483" s="313"/>
      <c r="Q483" s="313"/>
      <c r="R483" s="313"/>
      <c r="S483" s="311"/>
      <c r="T483" s="312"/>
      <c r="U483" s="313"/>
      <c r="V483" s="313"/>
      <c r="W483" s="313"/>
    </row>
    <row r="484" ht="15.0" customHeight="1">
      <c r="A484" s="304" t="s">
        <v>770</v>
      </c>
      <c r="B484" s="308">
        <v>4.0</v>
      </c>
      <c r="C484" s="313"/>
      <c r="D484" s="313"/>
      <c r="E484" s="313"/>
      <c r="F484" s="311"/>
      <c r="G484" s="308">
        <v>4.0</v>
      </c>
      <c r="H484" s="313"/>
      <c r="I484" s="313"/>
      <c r="J484" s="313"/>
      <c r="K484" s="311"/>
      <c r="L484" s="312"/>
      <c r="M484" s="313"/>
      <c r="N484" s="313"/>
      <c r="O484" s="311"/>
      <c r="P484" s="313"/>
      <c r="Q484" s="313"/>
      <c r="R484" s="313"/>
      <c r="S484" s="311"/>
      <c r="T484" s="312"/>
      <c r="U484" s="313"/>
      <c r="V484" s="313"/>
      <c r="W484" s="313"/>
    </row>
    <row r="485" ht="15.0" customHeight="1">
      <c r="A485" s="304" t="s">
        <v>771</v>
      </c>
      <c r="B485" s="312"/>
      <c r="C485" s="313"/>
      <c r="D485" s="309">
        <v>8.0</v>
      </c>
      <c r="E485" s="313"/>
      <c r="F485" s="311"/>
      <c r="G485" s="312"/>
      <c r="H485" s="313"/>
      <c r="I485" s="309">
        <v>8.0</v>
      </c>
      <c r="J485" s="313"/>
      <c r="K485" s="311"/>
      <c r="L485" s="312"/>
      <c r="M485" s="313"/>
      <c r="N485" s="313"/>
      <c r="O485" s="311"/>
      <c r="P485" s="313"/>
      <c r="Q485" s="313"/>
      <c r="R485" s="313"/>
      <c r="S485" s="311"/>
      <c r="T485" s="312"/>
      <c r="U485" s="313"/>
      <c r="V485" s="313"/>
      <c r="W485" s="313"/>
    </row>
    <row r="486" ht="15.0" customHeight="1">
      <c r="A486" s="304" t="s">
        <v>772</v>
      </c>
      <c r="B486" s="312"/>
      <c r="C486" s="313"/>
      <c r="D486" s="309">
        <v>4.0</v>
      </c>
      <c r="E486" s="313"/>
      <c r="F486" s="311"/>
      <c r="G486" s="312"/>
      <c r="H486" s="309"/>
      <c r="I486" s="309">
        <v>4.0</v>
      </c>
      <c r="J486" s="313"/>
      <c r="K486" s="311"/>
      <c r="L486" s="312"/>
      <c r="M486" s="313"/>
      <c r="N486" s="313"/>
      <c r="O486" s="311"/>
      <c r="P486" s="313"/>
      <c r="Q486" s="313"/>
      <c r="R486" s="313"/>
      <c r="S486" s="311"/>
      <c r="T486" s="312"/>
      <c r="U486" s="313"/>
      <c r="V486" s="313"/>
      <c r="W486" s="313"/>
    </row>
    <row r="487" ht="15.0" customHeight="1">
      <c r="A487" s="304" t="s">
        <v>773</v>
      </c>
      <c r="B487" s="312"/>
      <c r="C487" s="313"/>
      <c r="D487" s="309"/>
      <c r="E487" s="309"/>
      <c r="F487" s="310"/>
      <c r="G487" s="308">
        <v>1.0</v>
      </c>
      <c r="H487" s="309">
        <v>1.0</v>
      </c>
      <c r="I487" s="309">
        <v>1.0</v>
      </c>
      <c r="J487" s="309">
        <v>1.0</v>
      </c>
      <c r="K487" s="310">
        <v>1.0</v>
      </c>
      <c r="L487" s="312"/>
      <c r="M487" s="313"/>
      <c r="N487" s="313"/>
      <c r="O487" s="310">
        <v>4.0</v>
      </c>
      <c r="P487" s="313"/>
      <c r="Q487" s="313"/>
      <c r="R487" s="313"/>
      <c r="S487" s="311"/>
      <c r="T487" s="312"/>
      <c r="U487" s="313"/>
      <c r="V487" s="313"/>
      <c r="W487" s="313"/>
    </row>
    <row r="488" ht="15.0" customHeight="1">
      <c r="A488" s="304" t="s">
        <v>774</v>
      </c>
      <c r="B488" s="312"/>
      <c r="C488" s="313"/>
      <c r="D488" s="309"/>
      <c r="E488" s="309"/>
      <c r="F488" s="310"/>
      <c r="G488" s="308">
        <v>1.0</v>
      </c>
      <c r="H488" s="309">
        <v>1.0</v>
      </c>
      <c r="I488" s="309">
        <v>1.0</v>
      </c>
      <c r="J488" s="309">
        <v>1.0</v>
      </c>
      <c r="K488" s="310">
        <v>1.0</v>
      </c>
      <c r="L488" s="312"/>
      <c r="M488" s="313"/>
      <c r="N488" s="313"/>
      <c r="O488" s="310">
        <v>8.0</v>
      </c>
      <c r="P488" s="313"/>
      <c r="Q488" s="313"/>
      <c r="R488" s="313"/>
      <c r="S488" s="311"/>
      <c r="T488" s="312"/>
      <c r="U488" s="313"/>
      <c r="V488" s="313"/>
      <c r="W488" s="313"/>
    </row>
    <row r="489" ht="15.0" customHeight="1">
      <c r="A489" s="304" t="s">
        <v>775</v>
      </c>
      <c r="B489" s="312"/>
      <c r="C489" s="313"/>
      <c r="D489" s="309"/>
      <c r="E489" s="309"/>
      <c r="F489" s="310"/>
      <c r="G489" s="308">
        <v>10.0</v>
      </c>
      <c r="H489" s="309">
        <v>10.0</v>
      </c>
      <c r="I489" s="309">
        <v>10.0</v>
      </c>
      <c r="J489" s="309">
        <v>10.0</v>
      </c>
      <c r="K489" s="310">
        <v>10.0</v>
      </c>
      <c r="L489" s="312"/>
      <c r="M489" s="313"/>
      <c r="N489" s="313"/>
      <c r="O489" s="310">
        <v>2.0</v>
      </c>
      <c r="P489" s="313"/>
      <c r="Q489" s="313"/>
      <c r="R489" s="313"/>
      <c r="S489" s="311"/>
      <c r="T489" s="312"/>
      <c r="U489" s="313"/>
      <c r="V489" s="313"/>
      <c r="W489" s="313"/>
    </row>
    <row r="490" ht="15.0" customHeight="1">
      <c r="A490" s="304" t="s">
        <v>776</v>
      </c>
      <c r="B490" s="312"/>
      <c r="C490" s="313"/>
      <c r="D490" s="309"/>
      <c r="E490" s="309"/>
      <c r="F490" s="310"/>
      <c r="G490" s="308">
        <v>20.0</v>
      </c>
      <c r="H490" s="309">
        <v>20.0</v>
      </c>
      <c r="I490" s="309">
        <v>20.0</v>
      </c>
      <c r="J490" s="309">
        <v>20.0</v>
      </c>
      <c r="K490" s="310">
        <v>20.0</v>
      </c>
      <c r="L490" s="312"/>
      <c r="M490" s="313"/>
      <c r="N490" s="313"/>
      <c r="O490" s="310">
        <v>4.0</v>
      </c>
      <c r="P490" s="313"/>
      <c r="Q490" s="313"/>
      <c r="R490" s="313"/>
      <c r="S490" s="311"/>
      <c r="T490" s="312"/>
      <c r="U490" s="313"/>
      <c r="V490" s="313"/>
      <c r="W490" s="313"/>
    </row>
    <row r="491" ht="15.0" customHeight="1">
      <c r="A491" s="304" t="s">
        <v>777</v>
      </c>
      <c r="B491" s="312"/>
      <c r="C491" s="313"/>
      <c r="D491" s="309"/>
      <c r="E491" s="309"/>
      <c r="F491" s="310">
        <v>8.0</v>
      </c>
      <c r="G491" s="312"/>
      <c r="H491" s="313"/>
      <c r="I491" s="313"/>
      <c r="J491" s="313"/>
      <c r="K491" s="310">
        <v>8.0</v>
      </c>
      <c r="L491" s="312"/>
      <c r="M491" s="313"/>
      <c r="N491" s="313"/>
      <c r="O491" s="311"/>
      <c r="P491" s="313"/>
      <c r="Q491" s="313"/>
      <c r="R491" s="313"/>
      <c r="S491" s="311"/>
      <c r="T491" s="312"/>
      <c r="U491" s="313"/>
      <c r="V491" s="313"/>
      <c r="W491" s="313"/>
    </row>
    <row r="492" ht="15.0" customHeight="1">
      <c r="A492" s="304" t="s">
        <v>778</v>
      </c>
      <c r="B492" s="312"/>
      <c r="C492" s="313"/>
      <c r="D492" s="309"/>
      <c r="E492" s="309"/>
      <c r="F492" s="310">
        <v>4.0</v>
      </c>
      <c r="G492" s="312"/>
      <c r="H492" s="313"/>
      <c r="I492" s="313"/>
      <c r="J492" s="313"/>
      <c r="K492" s="310">
        <v>4.0</v>
      </c>
      <c r="L492" s="312"/>
      <c r="M492" s="313"/>
      <c r="N492" s="313"/>
      <c r="O492" s="311"/>
      <c r="P492" s="313"/>
      <c r="Q492" s="313"/>
      <c r="R492" s="313"/>
      <c r="S492" s="311"/>
      <c r="T492" s="312"/>
      <c r="U492" s="313"/>
      <c r="V492" s="313"/>
      <c r="W492" s="313"/>
    </row>
    <row r="493" ht="15.0" customHeight="1">
      <c r="A493" s="304" t="s">
        <v>110</v>
      </c>
      <c r="B493" s="312"/>
      <c r="C493" s="313"/>
      <c r="D493" s="309"/>
      <c r="E493" s="309">
        <v>12.0</v>
      </c>
      <c r="F493" s="310"/>
      <c r="G493" s="312"/>
      <c r="H493" s="313"/>
      <c r="I493" s="313"/>
      <c r="J493" s="309">
        <v>12.0</v>
      </c>
      <c r="K493" s="310"/>
      <c r="L493" s="312"/>
      <c r="M493" s="313"/>
      <c r="N493" s="313"/>
      <c r="O493" s="311"/>
      <c r="P493" s="313"/>
      <c r="Q493" s="313"/>
      <c r="R493" s="313"/>
      <c r="S493" s="311"/>
      <c r="T493" s="312"/>
      <c r="U493" s="313"/>
      <c r="V493" s="313"/>
      <c r="W493" s="313"/>
    </row>
    <row r="494" ht="15.0" customHeight="1">
      <c r="A494" s="304" t="s">
        <v>779</v>
      </c>
      <c r="B494" s="312"/>
      <c r="C494" s="313"/>
      <c r="D494" s="309"/>
      <c r="E494" s="309">
        <v>6.0</v>
      </c>
      <c r="F494" s="310"/>
      <c r="G494" s="312"/>
      <c r="H494" s="313"/>
      <c r="I494" s="313"/>
      <c r="J494" s="309">
        <v>6.0</v>
      </c>
      <c r="K494" s="310"/>
      <c r="L494" s="312"/>
      <c r="M494" s="313"/>
      <c r="N494" s="313"/>
      <c r="O494" s="311"/>
      <c r="P494" s="313"/>
      <c r="Q494" s="313"/>
      <c r="R494" s="313"/>
      <c r="S494" s="311"/>
      <c r="T494" s="312"/>
      <c r="U494" s="313"/>
      <c r="V494" s="313"/>
      <c r="W494" s="313"/>
    </row>
    <row r="495" ht="15.0" customHeight="1">
      <c r="A495" s="304" t="s">
        <v>780</v>
      </c>
      <c r="B495" s="312"/>
      <c r="C495" s="313"/>
      <c r="D495" s="309"/>
      <c r="E495" s="309"/>
      <c r="F495" s="310"/>
      <c r="G495" s="308">
        <v>2.0</v>
      </c>
      <c r="H495" s="309">
        <v>2.0</v>
      </c>
      <c r="I495" s="309">
        <v>2.0</v>
      </c>
      <c r="J495" s="309">
        <v>-2.0</v>
      </c>
      <c r="K495" s="310">
        <v>8.0</v>
      </c>
      <c r="L495" s="312"/>
      <c r="M495" s="313"/>
      <c r="N495" s="313"/>
      <c r="O495" s="310"/>
      <c r="P495" s="313"/>
      <c r="Q495" s="313"/>
      <c r="R495" s="313"/>
      <c r="S495" s="311"/>
      <c r="T495" s="312"/>
      <c r="U495" s="313"/>
      <c r="V495" s="313"/>
      <c r="W495" s="313"/>
    </row>
    <row r="496" ht="15.0" customHeight="1">
      <c r="A496" s="304" t="s">
        <v>781</v>
      </c>
      <c r="B496" s="312"/>
      <c r="C496" s="313"/>
      <c r="D496" s="309"/>
      <c r="E496" s="309"/>
      <c r="F496" s="310"/>
      <c r="G496" s="308">
        <v>4.0</v>
      </c>
      <c r="H496" s="309">
        <v>4.0</v>
      </c>
      <c r="I496" s="309">
        <v>4.0</v>
      </c>
      <c r="J496" s="309">
        <v>-2.0</v>
      </c>
      <c r="K496" s="310">
        <v>16.0</v>
      </c>
      <c r="L496" s="312"/>
      <c r="M496" s="313"/>
      <c r="N496" s="313"/>
      <c r="O496" s="310"/>
      <c r="P496" s="313"/>
      <c r="Q496" s="313"/>
      <c r="R496" s="313"/>
      <c r="S496" s="311"/>
      <c r="T496" s="312"/>
      <c r="U496" s="313"/>
      <c r="V496" s="313"/>
      <c r="W496" s="313"/>
    </row>
    <row r="497" ht="15.0" customHeight="1">
      <c r="A497" s="304" t="s">
        <v>782</v>
      </c>
      <c r="B497" s="312"/>
      <c r="C497" s="313"/>
      <c r="D497" s="309"/>
      <c r="E497" s="309">
        <v>2.0</v>
      </c>
      <c r="F497" s="310"/>
      <c r="G497" s="308"/>
      <c r="H497" s="309"/>
      <c r="I497" s="309"/>
      <c r="J497" s="309">
        <v>1.0</v>
      </c>
      <c r="K497" s="310"/>
      <c r="L497" s="312"/>
      <c r="M497" s="313"/>
      <c r="N497" s="313"/>
      <c r="O497" s="310"/>
      <c r="P497" s="313"/>
      <c r="Q497" s="313"/>
      <c r="R497" s="313"/>
      <c r="S497" s="311"/>
      <c r="T497" s="312"/>
      <c r="U497" s="313"/>
      <c r="V497" s="313"/>
      <c r="W497" s="313"/>
    </row>
    <row r="498" ht="15.0" customHeight="1">
      <c r="A498" s="304" t="s">
        <v>783</v>
      </c>
      <c r="B498" s="308">
        <v>4.0</v>
      </c>
      <c r="C498" s="309">
        <v>4.0</v>
      </c>
      <c r="D498" s="309">
        <v>4.0</v>
      </c>
      <c r="E498" s="309">
        <v>6.0</v>
      </c>
      <c r="F498" s="310">
        <v>4.0</v>
      </c>
      <c r="G498" s="308">
        <v>4.0</v>
      </c>
      <c r="H498" s="309">
        <v>4.0</v>
      </c>
      <c r="I498" s="309">
        <v>4.0</v>
      </c>
      <c r="J498" s="309">
        <v>6.0</v>
      </c>
      <c r="K498" s="310">
        <v>4.0</v>
      </c>
      <c r="L498" s="308">
        <v>4.0</v>
      </c>
      <c r="M498" s="313"/>
      <c r="N498" s="313"/>
      <c r="O498" s="310"/>
      <c r="P498" s="313"/>
      <c r="Q498" s="313"/>
      <c r="R498" s="313"/>
      <c r="S498" s="311"/>
      <c r="T498" s="312"/>
      <c r="U498" s="313"/>
      <c r="V498" s="313"/>
      <c r="W498" s="313"/>
    </row>
    <row r="499" ht="15.0" customHeight="1">
      <c r="A499" s="304" t="s">
        <v>784</v>
      </c>
      <c r="B499" s="312"/>
      <c r="C499" s="313"/>
      <c r="D499" s="309"/>
      <c r="E499" s="309"/>
      <c r="F499" s="310"/>
      <c r="G499" s="312"/>
      <c r="H499" s="313"/>
      <c r="I499" s="313"/>
      <c r="J499" s="309"/>
      <c r="K499" s="310"/>
      <c r="L499" s="312"/>
      <c r="M499" s="313"/>
      <c r="N499" s="313"/>
      <c r="O499" s="310">
        <v>1.0</v>
      </c>
      <c r="P499" s="313"/>
      <c r="Q499" s="313"/>
      <c r="R499" s="313"/>
      <c r="S499" s="311"/>
      <c r="T499" s="312"/>
      <c r="U499" s="313"/>
      <c r="V499" s="313"/>
      <c r="W499" s="313"/>
    </row>
    <row r="500" ht="15.0" customHeight="1">
      <c r="A500" s="304"/>
      <c r="B500" s="308"/>
      <c r="C500" s="309"/>
      <c r="D500" s="309"/>
      <c r="E500" s="313"/>
      <c r="F500" s="311"/>
      <c r="G500" s="312"/>
      <c r="H500" s="313"/>
      <c r="I500" s="313"/>
      <c r="J500" s="313"/>
      <c r="K500" s="311"/>
      <c r="L500" s="308"/>
      <c r="M500" s="313"/>
      <c r="N500" s="313"/>
      <c r="O500" s="311"/>
      <c r="P500" s="313"/>
      <c r="Q500" s="313"/>
      <c r="R500" s="313"/>
      <c r="S500" s="311"/>
      <c r="T500" s="312"/>
      <c r="U500" s="313"/>
      <c r="V500" s="313"/>
      <c r="W500" s="313"/>
    </row>
    <row r="501" ht="15.0" customHeight="1">
      <c r="A501" s="331"/>
      <c r="B501" s="332"/>
      <c r="C501" s="333"/>
      <c r="D501" s="333"/>
      <c r="E501" s="338"/>
      <c r="F501" s="335"/>
      <c r="G501" s="336"/>
      <c r="H501" s="338"/>
      <c r="I501" s="338"/>
      <c r="J501" s="338"/>
      <c r="K501" s="335"/>
      <c r="L501" s="332"/>
      <c r="M501" s="338"/>
      <c r="N501" s="338"/>
      <c r="O501" s="335"/>
      <c r="P501" s="338"/>
      <c r="Q501" s="338"/>
      <c r="R501" s="338"/>
      <c r="S501" s="335"/>
      <c r="T501" s="336"/>
      <c r="U501" s="338"/>
      <c r="V501" s="338"/>
      <c r="W501" s="338"/>
    </row>
    <row r="502" ht="15.0" customHeight="1">
      <c r="A502" s="337"/>
      <c r="B502" s="312"/>
      <c r="C502" s="313"/>
      <c r="D502" s="313"/>
      <c r="E502" s="313"/>
      <c r="F502" s="311"/>
      <c r="G502" s="312"/>
      <c r="H502" s="313"/>
      <c r="I502" s="313"/>
      <c r="J502" s="313"/>
      <c r="K502" s="313"/>
      <c r="L502" s="312"/>
      <c r="M502" s="313"/>
      <c r="N502" s="313"/>
      <c r="O502" s="311"/>
      <c r="P502" s="313"/>
      <c r="Q502" s="313"/>
      <c r="R502" s="313"/>
      <c r="S502" s="311"/>
      <c r="T502" s="312"/>
      <c r="U502" s="313"/>
      <c r="V502" s="313"/>
      <c r="W502" s="313"/>
    </row>
    <row r="503" ht="15.0" customHeight="1">
      <c r="A503" s="304" t="s">
        <v>785</v>
      </c>
      <c r="B503" s="312"/>
      <c r="C503" s="313"/>
      <c r="D503" s="313"/>
      <c r="E503" s="313"/>
      <c r="F503" s="310"/>
      <c r="G503" s="312"/>
      <c r="H503" s="313"/>
      <c r="I503" s="313"/>
      <c r="J503" s="313"/>
      <c r="K503" s="313"/>
      <c r="L503" s="312"/>
      <c r="M503" s="309"/>
      <c r="N503" s="313"/>
      <c r="O503" s="310">
        <v>1.0</v>
      </c>
      <c r="P503" s="313"/>
      <c r="Q503" s="313"/>
      <c r="R503" s="313"/>
      <c r="S503" s="311"/>
      <c r="T503" s="312"/>
      <c r="U503" s="309"/>
      <c r="V503" s="313"/>
      <c r="W503" s="313"/>
    </row>
    <row r="504" ht="15.0" customHeight="1">
      <c r="A504" s="304" t="s">
        <v>786</v>
      </c>
      <c r="B504" s="312"/>
      <c r="C504" s="313"/>
      <c r="D504" s="313"/>
      <c r="E504" s="313"/>
      <c r="F504" s="310"/>
      <c r="G504" s="312"/>
      <c r="H504" s="313"/>
      <c r="I504" s="313"/>
      <c r="J504" s="313"/>
      <c r="K504" s="313"/>
      <c r="L504" s="312"/>
      <c r="M504" s="309"/>
      <c r="N504" s="313"/>
      <c r="O504" s="310">
        <v>2.0</v>
      </c>
      <c r="P504" s="313"/>
      <c r="Q504" s="313"/>
      <c r="R504" s="313"/>
      <c r="S504" s="311"/>
      <c r="T504" s="312"/>
      <c r="U504" s="309"/>
      <c r="V504" s="313"/>
      <c r="W504" s="313"/>
    </row>
    <row r="505" ht="15.0" customHeight="1">
      <c r="A505" s="304" t="s">
        <v>787</v>
      </c>
      <c r="B505" s="312"/>
      <c r="C505" s="313"/>
      <c r="D505" s="313"/>
      <c r="E505" s="313"/>
      <c r="F505" s="310">
        <v>3.0</v>
      </c>
      <c r="G505" s="312"/>
      <c r="H505" s="313"/>
      <c r="I505" s="313"/>
      <c r="J505" s="313"/>
      <c r="K505" s="311"/>
      <c r="L505" s="312"/>
      <c r="M505" s="309">
        <v>1.0</v>
      </c>
      <c r="N505" s="313"/>
      <c r="O505" s="311"/>
      <c r="P505" s="313"/>
      <c r="Q505" s="313"/>
      <c r="R505" s="313"/>
      <c r="S505" s="311"/>
      <c r="T505" s="312"/>
      <c r="U505" s="309">
        <v>7.0</v>
      </c>
      <c r="V505" s="313"/>
      <c r="W505" s="313"/>
    </row>
    <row r="506" ht="15.0" customHeight="1">
      <c r="A506" s="304" t="s">
        <v>788</v>
      </c>
      <c r="B506" s="312"/>
      <c r="C506" s="313"/>
      <c r="D506" s="313"/>
      <c r="E506" s="313"/>
      <c r="F506" s="310">
        <v>4.0</v>
      </c>
      <c r="G506" s="312"/>
      <c r="H506" s="313"/>
      <c r="I506" s="313"/>
      <c r="J506" s="313"/>
      <c r="K506" s="311"/>
      <c r="L506" s="312"/>
      <c r="M506" s="309">
        <v>3.0</v>
      </c>
      <c r="N506" s="313"/>
      <c r="O506" s="311"/>
      <c r="P506" s="313"/>
      <c r="Q506" s="313"/>
      <c r="R506" s="313"/>
      <c r="S506" s="311"/>
      <c r="T506" s="312"/>
      <c r="U506" s="309">
        <v>7.0</v>
      </c>
      <c r="V506" s="313"/>
      <c r="W506" s="313"/>
    </row>
    <row r="507" ht="15.0" customHeight="1">
      <c r="A507" s="304" t="s">
        <v>789</v>
      </c>
      <c r="B507" s="312"/>
      <c r="C507" s="313"/>
      <c r="D507" s="313"/>
      <c r="E507" s="313"/>
      <c r="F507" s="310">
        <v>5.0</v>
      </c>
      <c r="G507" s="312"/>
      <c r="H507" s="313"/>
      <c r="I507" s="313"/>
      <c r="J507" s="313"/>
      <c r="K507" s="311"/>
      <c r="L507" s="312"/>
      <c r="M507" s="309">
        <v>4.0</v>
      </c>
      <c r="N507" s="313"/>
      <c r="O507" s="311"/>
      <c r="P507" s="313"/>
      <c r="Q507" s="313"/>
      <c r="R507" s="313"/>
      <c r="S507" s="311"/>
      <c r="T507" s="312"/>
      <c r="U507" s="309">
        <v>7.0</v>
      </c>
      <c r="V507" s="313"/>
      <c r="W507" s="313"/>
    </row>
    <row r="508" ht="15.0" customHeight="1">
      <c r="A508" s="304" t="s">
        <v>790</v>
      </c>
      <c r="B508" s="312"/>
      <c r="C508" s="313"/>
      <c r="D508" s="313"/>
      <c r="E508" s="313"/>
      <c r="F508" s="310">
        <v>7.0</v>
      </c>
      <c r="G508" s="312"/>
      <c r="H508" s="313"/>
      <c r="I508" s="313"/>
      <c r="J508" s="313"/>
      <c r="K508" s="311"/>
      <c r="L508" s="312"/>
      <c r="M508" s="309">
        <v>6.0</v>
      </c>
      <c r="N508" s="313"/>
      <c r="O508" s="311"/>
      <c r="P508" s="313"/>
      <c r="Q508" s="313"/>
      <c r="R508" s="313"/>
      <c r="S508" s="311"/>
      <c r="T508" s="312"/>
      <c r="U508" s="309">
        <v>7.0</v>
      </c>
      <c r="V508" s="313"/>
      <c r="W508" s="313"/>
    </row>
    <row r="509" ht="15.0" customHeight="1">
      <c r="A509" s="304" t="s">
        <v>791</v>
      </c>
      <c r="B509" s="312"/>
      <c r="C509" s="313"/>
      <c r="D509" s="313"/>
      <c r="E509" s="313"/>
      <c r="F509" s="310">
        <v>8.0</v>
      </c>
      <c r="G509" s="312"/>
      <c r="H509" s="313"/>
      <c r="I509" s="313"/>
      <c r="J509" s="313"/>
      <c r="K509" s="311"/>
      <c r="L509" s="312"/>
      <c r="M509" s="309">
        <v>7.0</v>
      </c>
      <c r="N509" s="313"/>
      <c r="O509" s="311"/>
      <c r="P509" s="313"/>
      <c r="Q509" s="313"/>
      <c r="R509" s="313"/>
      <c r="S509" s="311"/>
      <c r="T509" s="312"/>
      <c r="U509" s="309">
        <v>7.0</v>
      </c>
      <c r="V509" s="313"/>
      <c r="W509" s="313"/>
    </row>
    <row r="510" ht="15.0" customHeight="1">
      <c r="A510" s="304" t="s">
        <v>792</v>
      </c>
      <c r="B510" s="312"/>
      <c r="C510" s="313"/>
      <c r="D510" s="313"/>
      <c r="E510" s="313"/>
      <c r="F510" s="310">
        <v>11.0</v>
      </c>
      <c r="G510" s="312"/>
      <c r="H510" s="313"/>
      <c r="I510" s="313"/>
      <c r="J510" s="313"/>
      <c r="K510" s="311"/>
      <c r="L510" s="312"/>
      <c r="M510" s="309">
        <v>10.0</v>
      </c>
      <c r="N510" s="313"/>
      <c r="O510" s="311"/>
      <c r="P510" s="313"/>
      <c r="Q510" s="313"/>
      <c r="R510" s="313"/>
      <c r="S510" s="311"/>
      <c r="T510" s="312"/>
      <c r="U510" s="309">
        <v>7.0</v>
      </c>
      <c r="V510" s="313"/>
      <c r="W510" s="313"/>
    </row>
    <row r="511" ht="15.0" customHeight="1">
      <c r="A511" s="304" t="s">
        <v>793</v>
      </c>
      <c r="B511" s="312"/>
      <c r="C511" s="313"/>
      <c r="D511" s="313"/>
      <c r="E511" s="313"/>
      <c r="F511" s="310">
        <v>15.0</v>
      </c>
      <c r="G511" s="312"/>
      <c r="H511" s="313"/>
      <c r="I511" s="313"/>
      <c r="J511" s="313"/>
      <c r="K511" s="311"/>
      <c r="L511" s="312"/>
      <c r="M511" s="309">
        <v>14.0</v>
      </c>
      <c r="N511" s="313"/>
      <c r="O511" s="311"/>
      <c r="P511" s="313"/>
      <c r="Q511" s="313"/>
      <c r="R511" s="313"/>
      <c r="S511" s="311"/>
      <c r="T511" s="312"/>
      <c r="U511" s="309">
        <v>7.0</v>
      </c>
      <c r="V511" s="313"/>
      <c r="W511" s="313"/>
    </row>
    <row r="512" ht="15.0" customHeight="1">
      <c r="A512" s="304" t="s">
        <v>794</v>
      </c>
      <c r="B512" s="312"/>
      <c r="C512" s="313"/>
      <c r="D512" s="313"/>
      <c r="E512" s="313"/>
      <c r="F512" s="310">
        <v>18.0</v>
      </c>
      <c r="G512" s="312"/>
      <c r="H512" s="313"/>
      <c r="I512" s="313"/>
      <c r="J512" s="313"/>
      <c r="K512" s="311"/>
      <c r="L512" s="312"/>
      <c r="M512" s="309">
        <v>20.0</v>
      </c>
      <c r="N512" s="313"/>
      <c r="O512" s="311"/>
      <c r="P512" s="313"/>
      <c r="Q512" s="313"/>
      <c r="R512" s="313"/>
      <c r="S512" s="311"/>
      <c r="T512" s="312"/>
      <c r="U512" s="309">
        <v>7.0</v>
      </c>
      <c r="V512" s="313"/>
      <c r="W512" s="313"/>
    </row>
    <row r="513" ht="15.0" customHeight="1">
      <c r="A513" s="304" t="s">
        <v>795</v>
      </c>
      <c r="B513" s="312"/>
      <c r="C513" s="313"/>
      <c r="D513" s="313"/>
      <c r="E513" s="313"/>
      <c r="F513" s="310">
        <v>4.0</v>
      </c>
      <c r="G513" s="312"/>
      <c r="H513" s="313"/>
      <c r="I513" s="313"/>
      <c r="J513" s="313"/>
      <c r="K513" s="311"/>
      <c r="L513" s="312"/>
      <c r="M513" s="309">
        <v>3.0</v>
      </c>
      <c r="N513" s="313"/>
      <c r="O513" s="311"/>
      <c r="P513" s="313"/>
      <c r="Q513" s="313"/>
      <c r="R513" s="313"/>
      <c r="S513" s="311"/>
      <c r="T513" s="312"/>
      <c r="U513" s="309">
        <v>7.0</v>
      </c>
      <c r="V513" s="313"/>
      <c r="W513" s="313"/>
    </row>
    <row r="514" ht="15.0" customHeight="1">
      <c r="A514" s="304" t="s">
        <v>796</v>
      </c>
      <c r="B514" s="312"/>
      <c r="C514" s="313"/>
      <c r="D514" s="313"/>
      <c r="E514" s="313"/>
      <c r="F514" s="310">
        <v>5.0</v>
      </c>
      <c r="G514" s="312"/>
      <c r="H514" s="313"/>
      <c r="I514" s="313"/>
      <c r="J514" s="313"/>
      <c r="K514" s="311"/>
      <c r="L514" s="312"/>
      <c r="M514" s="309">
        <v>4.0</v>
      </c>
      <c r="N514" s="313"/>
      <c r="O514" s="311"/>
      <c r="P514" s="313"/>
      <c r="Q514" s="313"/>
      <c r="R514" s="313"/>
      <c r="S514" s="311"/>
      <c r="T514" s="312"/>
      <c r="U514" s="309">
        <v>7.0</v>
      </c>
      <c r="V514" s="313"/>
      <c r="W514" s="313"/>
    </row>
    <row r="515" ht="15.0" customHeight="1">
      <c r="A515" s="304" t="s">
        <v>797</v>
      </c>
      <c r="B515" s="312"/>
      <c r="C515" s="313"/>
      <c r="D515" s="313"/>
      <c r="E515" s="313"/>
      <c r="F515" s="310">
        <v>8.0</v>
      </c>
      <c r="G515" s="312"/>
      <c r="H515" s="313"/>
      <c r="I515" s="313"/>
      <c r="J515" s="313"/>
      <c r="K515" s="311"/>
      <c r="L515" s="312"/>
      <c r="M515" s="309">
        <v>7.0</v>
      </c>
      <c r="N515" s="313"/>
      <c r="O515" s="311"/>
      <c r="P515" s="313"/>
      <c r="Q515" s="313"/>
      <c r="R515" s="313"/>
      <c r="S515" s="311"/>
      <c r="T515" s="312"/>
      <c r="U515" s="309">
        <v>7.0</v>
      </c>
      <c r="V515" s="313"/>
      <c r="W515" s="313"/>
    </row>
    <row r="516" ht="15.0" customHeight="1">
      <c r="A516" s="304" t="s">
        <v>798</v>
      </c>
      <c r="B516" s="312"/>
      <c r="C516" s="313"/>
      <c r="D516" s="313"/>
      <c r="E516" s="313"/>
      <c r="F516" s="310">
        <v>10.0</v>
      </c>
      <c r="G516" s="312"/>
      <c r="H516" s="313"/>
      <c r="I516" s="313"/>
      <c r="J516" s="313"/>
      <c r="K516" s="311"/>
      <c r="L516" s="312"/>
      <c r="M516" s="309">
        <v>8.0</v>
      </c>
      <c r="N516" s="313"/>
      <c r="O516" s="311"/>
      <c r="P516" s="313"/>
      <c r="Q516" s="313"/>
      <c r="R516" s="313"/>
      <c r="S516" s="311"/>
      <c r="T516" s="312"/>
      <c r="U516" s="309">
        <v>7.0</v>
      </c>
      <c r="V516" s="313"/>
      <c r="W516" s="313"/>
    </row>
    <row r="517" ht="15.0" customHeight="1">
      <c r="A517" s="304" t="s">
        <v>799</v>
      </c>
      <c r="B517" s="312"/>
      <c r="C517" s="313"/>
      <c r="D517" s="313"/>
      <c r="E517" s="313"/>
      <c r="F517" s="310">
        <v>11.0</v>
      </c>
      <c r="G517" s="312"/>
      <c r="H517" s="313"/>
      <c r="I517" s="313"/>
      <c r="J517" s="313"/>
      <c r="K517" s="311"/>
      <c r="L517" s="312"/>
      <c r="M517" s="309">
        <v>10.0</v>
      </c>
      <c r="N517" s="313"/>
      <c r="O517" s="311"/>
      <c r="P517" s="313"/>
      <c r="Q517" s="313"/>
      <c r="R517" s="313"/>
      <c r="S517" s="311"/>
      <c r="T517" s="312"/>
      <c r="U517" s="309">
        <v>7.0</v>
      </c>
      <c r="V517" s="313"/>
      <c r="W517" s="313"/>
    </row>
    <row r="518" ht="15.0" customHeight="1">
      <c r="A518" s="304" t="s">
        <v>800</v>
      </c>
      <c r="B518" s="312"/>
      <c r="C518" s="313"/>
      <c r="D518" s="313"/>
      <c r="E518" s="313"/>
      <c r="F518" s="310">
        <v>15.0</v>
      </c>
      <c r="G518" s="312"/>
      <c r="H518" s="313"/>
      <c r="I518" s="313"/>
      <c r="J518" s="313"/>
      <c r="K518" s="311"/>
      <c r="L518" s="312"/>
      <c r="M518" s="309">
        <v>14.0</v>
      </c>
      <c r="N518" s="313"/>
      <c r="O518" s="311"/>
      <c r="P518" s="313"/>
      <c r="Q518" s="313"/>
      <c r="R518" s="313"/>
      <c r="S518" s="311"/>
      <c r="T518" s="312"/>
      <c r="U518" s="309">
        <v>7.0</v>
      </c>
      <c r="V518" s="313"/>
      <c r="W518" s="313"/>
    </row>
    <row r="519" ht="15.0" customHeight="1">
      <c r="A519" s="304" t="s">
        <v>801</v>
      </c>
      <c r="B519" s="312"/>
      <c r="C519" s="313"/>
      <c r="D519" s="313"/>
      <c r="E519" s="313"/>
      <c r="F519" s="310">
        <v>25.0</v>
      </c>
      <c r="G519" s="312"/>
      <c r="H519" s="313"/>
      <c r="I519" s="313"/>
      <c r="J519" s="313"/>
      <c r="K519" s="311"/>
      <c r="L519" s="312"/>
      <c r="M519" s="309">
        <v>24.0</v>
      </c>
      <c r="N519" s="313"/>
      <c r="O519" s="311"/>
      <c r="P519" s="313"/>
      <c r="Q519" s="313"/>
      <c r="R519" s="313"/>
      <c r="S519" s="311"/>
      <c r="T519" s="312"/>
      <c r="U519" s="309">
        <v>7.0</v>
      </c>
      <c r="V519" s="313"/>
      <c r="W519" s="313"/>
    </row>
    <row r="520" ht="15.0" customHeight="1">
      <c r="A520" s="304" t="s">
        <v>802</v>
      </c>
      <c r="B520" s="312"/>
      <c r="C520" s="313"/>
      <c r="D520" s="313"/>
      <c r="E520" s="313"/>
      <c r="F520" s="310">
        <v>28.0</v>
      </c>
      <c r="G520" s="312"/>
      <c r="H520" s="313"/>
      <c r="I520" s="313"/>
      <c r="J520" s="313"/>
      <c r="K520" s="311"/>
      <c r="L520" s="312"/>
      <c r="M520" s="309">
        <v>30.0</v>
      </c>
      <c r="N520" s="313"/>
      <c r="O520" s="311"/>
      <c r="P520" s="313"/>
      <c r="Q520" s="313"/>
      <c r="R520" s="313"/>
      <c r="S520" s="311"/>
      <c r="T520" s="312"/>
      <c r="U520" s="309">
        <v>7.0</v>
      </c>
      <c r="V520" s="313"/>
      <c r="W520" s="313"/>
    </row>
    <row r="521" ht="15.0" customHeight="1">
      <c r="A521" s="304" t="s">
        <v>803</v>
      </c>
      <c r="B521" s="312"/>
      <c r="C521" s="313"/>
      <c r="D521" s="313"/>
      <c r="E521" s="313"/>
      <c r="F521" s="311"/>
      <c r="G521" s="312"/>
      <c r="H521" s="313"/>
      <c r="I521" s="313"/>
      <c r="J521" s="313"/>
      <c r="K521" s="311"/>
      <c r="L521" s="312"/>
      <c r="M521" s="309">
        <v>7.0</v>
      </c>
      <c r="N521" s="313"/>
      <c r="O521" s="311"/>
      <c r="P521" s="313"/>
      <c r="Q521" s="313"/>
      <c r="R521" s="313"/>
      <c r="S521" s="311"/>
      <c r="T521" s="312"/>
      <c r="U521" s="313"/>
      <c r="V521" s="313"/>
      <c r="W521" s="313"/>
    </row>
    <row r="522" ht="15.0" customHeight="1">
      <c r="A522" s="304" t="s">
        <v>804</v>
      </c>
      <c r="B522" s="312"/>
      <c r="C522" s="313"/>
      <c r="D522" s="313"/>
      <c r="E522" s="313"/>
      <c r="F522" s="311"/>
      <c r="G522" s="312"/>
      <c r="H522" s="313"/>
      <c r="I522" s="313"/>
      <c r="J522" s="313"/>
      <c r="K522" s="311"/>
      <c r="L522" s="312"/>
      <c r="M522" s="309">
        <v>10.0</v>
      </c>
      <c r="N522" s="313"/>
      <c r="O522" s="311"/>
      <c r="P522" s="313"/>
      <c r="Q522" s="313"/>
      <c r="R522" s="313"/>
      <c r="S522" s="311"/>
      <c r="T522" s="312"/>
      <c r="U522" s="313"/>
      <c r="V522" s="313"/>
      <c r="W522" s="313"/>
    </row>
    <row r="523" ht="15.0" customHeight="1">
      <c r="A523" s="304" t="s">
        <v>805</v>
      </c>
      <c r="B523" s="312"/>
      <c r="C523" s="313"/>
      <c r="D523" s="313"/>
      <c r="E523" s="313"/>
      <c r="F523" s="311"/>
      <c r="G523" s="312"/>
      <c r="H523" s="313"/>
      <c r="I523" s="313"/>
      <c r="J523" s="313"/>
      <c r="K523" s="311"/>
      <c r="L523" s="312"/>
      <c r="M523" s="309">
        <v>16.0</v>
      </c>
      <c r="N523" s="313"/>
      <c r="O523" s="311"/>
      <c r="P523" s="313"/>
      <c r="Q523" s="313"/>
      <c r="R523" s="313"/>
      <c r="S523" s="311"/>
      <c r="T523" s="312"/>
      <c r="U523" s="313"/>
      <c r="V523" s="313"/>
      <c r="W523" s="313"/>
    </row>
    <row r="524" ht="15.0" customHeight="1">
      <c r="A524" s="304" t="s">
        <v>806</v>
      </c>
      <c r="B524" s="312"/>
      <c r="C524" s="313"/>
      <c r="D524" s="313"/>
      <c r="E524" s="313"/>
      <c r="F524" s="311"/>
      <c r="G524" s="312"/>
      <c r="H524" s="313"/>
      <c r="I524" s="313"/>
      <c r="J524" s="313"/>
      <c r="K524" s="311"/>
      <c r="L524" s="312"/>
      <c r="M524" s="309">
        <v>22.0</v>
      </c>
      <c r="N524" s="313"/>
      <c r="O524" s="311"/>
      <c r="P524" s="313"/>
      <c r="Q524" s="313"/>
      <c r="R524" s="313"/>
      <c r="S524" s="311"/>
      <c r="T524" s="312"/>
      <c r="U524" s="313"/>
      <c r="V524" s="313"/>
      <c r="W524" s="313"/>
    </row>
    <row r="525" ht="15.0" customHeight="1">
      <c r="A525" s="304" t="s">
        <v>807</v>
      </c>
      <c r="B525" s="312"/>
      <c r="C525" s="313"/>
      <c r="D525" s="313"/>
      <c r="E525" s="313"/>
      <c r="F525" s="311"/>
      <c r="G525" s="312"/>
      <c r="H525" s="313"/>
      <c r="I525" s="313"/>
      <c r="J525" s="313"/>
      <c r="K525" s="311"/>
      <c r="L525" s="312"/>
      <c r="M525" s="309">
        <v>31.0</v>
      </c>
      <c r="N525" s="313"/>
      <c r="O525" s="311"/>
      <c r="P525" s="313"/>
      <c r="Q525" s="313"/>
      <c r="R525" s="313"/>
      <c r="S525" s="311"/>
      <c r="T525" s="312"/>
      <c r="U525" s="313"/>
      <c r="V525" s="313"/>
      <c r="W525" s="313"/>
    </row>
    <row r="526" ht="15.0" customHeight="1">
      <c r="A526" s="304" t="s">
        <v>808</v>
      </c>
      <c r="B526" s="312"/>
      <c r="C526" s="313"/>
      <c r="D526" s="313"/>
      <c r="E526" s="313"/>
      <c r="F526" s="311"/>
      <c r="G526" s="312"/>
      <c r="H526" s="313"/>
      <c r="I526" s="313"/>
      <c r="J526" s="313"/>
      <c r="K526" s="311"/>
      <c r="L526" s="312"/>
      <c r="M526" s="309">
        <v>49.0</v>
      </c>
      <c r="N526" s="313"/>
      <c r="O526" s="311"/>
      <c r="P526" s="313"/>
      <c r="Q526" s="313"/>
      <c r="R526" s="313"/>
      <c r="S526" s="311"/>
      <c r="T526" s="312"/>
      <c r="U526" s="313"/>
      <c r="V526" s="313"/>
      <c r="W526" s="313"/>
    </row>
    <row r="527" ht="15.0" customHeight="1">
      <c r="A527" s="304" t="s">
        <v>809</v>
      </c>
      <c r="B527" s="312"/>
      <c r="C527" s="313"/>
      <c r="D527" s="313"/>
      <c r="E527" s="313"/>
      <c r="F527" s="311"/>
      <c r="G527" s="312"/>
      <c r="H527" s="313"/>
      <c r="I527" s="313"/>
      <c r="J527" s="313"/>
      <c r="K527" s="311"/>
      <c r="L527" s="312"/>
      <c r="M527" s="309">
        <v>55.0</v>
      </c>
      <c r="N527" s="313"/>
      <c r="O527" s="311"/>
      <c r="P527" s="313"/>
      <c r="Q527" s="313"/>
      <c r="R527" s="313"/>
      <c r="S527" s="311"/>
      <c r="T527" s="312"/>
      <c r="U527" s="313"/>
      <c r="V527" s="313"/>
      <c r="W527" s="313"/>
    </row>
    <row r="528" ht="15.0" customHeight="1">
      <c r="A528" s="304" t="s">
        <v>810</v>
      </c>
      <c r="B528" s="312"/>
      <c r="C528" s="313"/>
      <c r="D528" s="313"/>
      <c r="E528" s="313"/>
      <c r="F528" s="311"/>
      <c r="G528" s="312"/>
      <c r="H528" s="313"/>
      <c r="I528" s="313"/>
      <c r="J528" s="313"/>
      <c r="K528" s="311"/>
      <c r="L528" s="312"/>
      <c r="M528" s="309">
        <v>60.0</v>
      </c>
      <c r="N528" s="313"/>
      <c r="O528" s="311"/>
      <c r="P528" s="313"/>
      <c r="Q528" s="313"/>
      <c r="R528" s="313"/>
      <c r="S528" s="311"/>
      <c r="T528" s="312"/>
      <c r="U528" s="313"/>
      <c r="V528" s="313"/>
      <c r="W528" s="313"/>
    </row>
    <row r="529" ht="15.0" customHeight="1">
      <c r="A529" s="304" t="s">
        <v>811</v>
      </c>
      <c r="B529" s="312"/>
      <c r="C529" s="313"/>
      <c r="D529" s="313"/>
      <c r="E529" s="313"/>
      <c r="F529" s="311"/>
      <c r="G529" s="312"/>
      <c r="H529" s="313"/>
      <c r="I529" s="313"/>
      <c r="J529" s="313"/>
      <c r="K529" s="311"/>
      <c r="L529" s="312"/>
      <c r="M529" s="309">
        <v>25.0</v>
      </c>
      <c r="N529" s="313"/>
      <c r="O529" s="311"/>
      <c r="P529" s="313"/>
      <c r="Q529" s="313"/>
      <c r="R529" s="313"/>
      <c r="S529" s="311"/>
      <c r="T529" s="312"/>
      <c r="U529" s="313"/>
      <c r="V529" s="313"/>
      <c r="W529" s="313"/>
    </row>
    <row r="530" ht="15.0" customHeight="1">
      <c r="A530" s="304" t="s">
        <v>812</v>
      </c>
      <c r="B530" s="312"/>
      <c r="C530" s="313"/>
      <c r="D530" s="313"/>
      <c r="E530" s="313"/>
      <c r="F530" s="311"/>
      <c r="G530" s="312"/>
      <c r="H530" s="313"/>
      <c r="I530" s="313"/>
      <c r="J530" s="313"/>
      <c r="K530" s="311"/>
      <c r="L530" s="312"/>
      <c r="M530" s="309">
        <v>42.0</v>
      </c>
      <c r="N530" s="313"/>
      <c r="O530" s="311"/>
      <c r="P530" s="313"/>
      <c r="Q530" s="313"/>
      <c r="R530" s="313"/>
      <c r="S530" s="311"/>
      <c r="T530" s="312"/>
      <c r="U530" s="313"/>
      <c r="V530" s="313"/>
      <c r="W530" s="313"/>
    </row>
    <row r="531" ht="15.0" customHeight="1">
      <c r="A531" s="304" t="s">
        <v>813</v>
      </c>
      <c r="B531" s="312"/>
      <c r="C531" s="313"/>
      <c r="D531" s="313"/>
      <c r="E531" s="313"/>
      <c r="F531" s="311"/>
      <c r="G531" s="312"/>
      <c r="H531" s="313"/>
      <c r="I531" s="313"/>
      <c r="J531" s="313"/>
      <c r="K531" s="311"/>
      <c r="L531" s="312"/>
      <c r="M531" s="309">
        <v>64.0</v>
      </c>
      <c r="N531" s="313"/>
      <c r="O531" s="311"/>
      <c r="P531" s="313"/>
      <c r="Q531" s="313"/>
      <c r="R531" s="313"/>
      <c r="S531" s="311"/>
      <c r="T531" s="312"/>
      <c r="U531" s="313"/>
      <c r="V531" s="313"/>
      <c r="W531" s="313"/>
    </row>
    <row r="532" ht="15.0" customHeight="1">
      <c r="A532" s="304" t="s">
        <v>814</v>
      </c>
      <c r="B532" s="312"/>
      <c r="C532" s="313"/>
      <c r="D532" s="313"/>
      <c r="E532" s="313"/>
      <c r="F532" s="311"/>
      <c r="G532" s="312"/>
      <c r="H532" s="313"/>
      <c r="I532" s="313"/>
      <c r="J532" s="313"/>
      <c r="K532" s="311"/>
      <c r="L532" s="312"/>
      <c r="M532" s="309">
        <v>85.0</v>
      </c>
      <c r="N532" s="313"/>
      <c r="O532" s="311"/>
      <c r="P532" s="313"/>
      <c r="Q532" s="313"/>
      <c r="R532" s="313"/>
      <c r="S532" s="311"/>
      <c r="T532" s="312"/>
      <c r="U532" s="313"/>
      <c r="V532" s="313"/>
      <c r="W532" s="313"/>
    </row>
    <row r="533" ht="15.0" customHeight="1">
      <c r="A533" s="304" t="s">
        <v>815</v>
      </c>
      <c r="B533" s="312"/>
      <c r="C533" s="313"/>
      <c r="D533" s="313"/>
      <c r="E533" s="313"/>
      <c r="F533" s="311"/>
      <c r="G533" s="312"/>
      <c r="H533" s="313"/>
      <c r="I533" s="313"/>
      <c r="J533" s="313"/>
      <c r="K533" s="311"/>
      <c r="L533" s="312"/>
      <c r="M533" s="309">
        <v>107.0</v>
      </c>
      <c r="N533" s="313"/>
      <c r="O533" s="311"/>
      <c r="P533" s="313"/>
      <c r="Q533" s="313"/>
      <c r="R533" s="313"/>
      <c r="S533" s="311"/>
      <c r="T533" s="312"/>
      <c r="U533" s="313"/>
      <c r="V533" s="313"/>
      <c r="W533" s="313"/>
    </row>
    <row r="534" ht="15.0" customHeight="1">
      <c r="A534" s="304" t="s">
        <v>816</v>
      </c>
      <c r="B534" s="312"/>
      <c r="C534" s="313"/>
      <c r="D534" s="313"/>
      <c r="E534" s="313"/>
      <c r="F534" s="311"/>
      <c r="G534" s="312"/>
      <c r="H534" s="313"/>
      <c r="I534" s="313"/>
      <c r="J534" s="313"/>
      <c r="K534" s="311"/>
      <c r="L534" s="312"/>
      <c r="M534" s="309">
        <v>124.0</v>
      </c>
      <c r="N534" s="313"/>
      <c r="O534" s="311"/>
      <c r="P534" s="313"/>
      <c r="Q534" s="313"/>
      <c r="R534" s="313"/>
      <c r="S534" s="311"/>
      <c r="T534" s="312"/>
      <c r="U534" s="313"/>
      <c r="V534" s="313"/>
      <c r="W534" s="313"/>
    </row>
    <row r="535" ht="15.0" customHeight="1">
      <c r="A535" s="304" t="s">
        <v>817</v>
      </c>
      <c r="B535" s="312"/>
      <c r="C535" s="313"/>
      <c r="D535" s="313"/>
      <c r="E535" s="313"/>
      <c r="F535" s="311"/>
      <c r="G535" s="312"/>
      <c r="H535" s="313"/>
      <c r="I535" s="313"/>
      <c r="J535" s="313"/>
      <c r="K535" s="311"/>
      <c r="L535" s="312"/>
      <c r="M535" s="309">
        <v>135.0</v>
      </c>
      <c r="N535" s="313"/>
      <c r="O535" s="311"/>
      <c r="P535" s="313"/>
      <c r="Q535" s="313"/>
      <c r="R535" s="313"/>
      <c r="S535" s="311"/>
      <c r="T535" s="312"/>
      <c r="U535" s="313"/>
      <c r="V535" s="313"/>
      <c r="W535" s="313"/>
    </row>
    <row r="536" ht="15.0" customHeight="1">
      <c r="A536" s="304" t="s">
        <v>818</v>
      </c>
      <c r="B536" s="312"/>
      <c r="C536" s="313"/>
      <c r="D536" s="313"/>
      <c r="E536" s="313"/>
      <c r="F536" s="311"/>
      <c r="G536" s="312"/>
      <c r="H536" s="313"/>
      <c r="I536" s="313"/>
      <c r="J536" s="313"/>
      <c r="K536" s="311"/>
      <c r="L536" s="312"/>
      <c r="M536" s="309">
        <v>150.0</v>
      </c>
      <c r="N536" s="313"/>
      <c r="O536" s="311"/>
      <c r="P536" s="313"/>
      <c r="Q536" s="313"/>
      <c r="R536" s="313"/>
      <c r="S536" s="311"/>
      <c r="T536" s="312"/>
      <c r="U536" s="313"/>
      <c r="V536" s="313"/>
      <c r="W536" s="313"/>
    </row>
    <row r="537" ht="15.0" customHeight="1">
      <c r="A537" s="304" t="s">
        <v>819</v>
      </c>
      <c r="B537" s="312"/>
      <c r="C537" s="313"/>
      <c r="D537" s="313"/>
      <c r="E537" s="313"/>
      <c r="F537" s="311"/>
      <c r="G537" s="312"/>
      <c r="H537" s="313"/>
      <c r="I537" s="313"/>
      <c r="J537" s="313"/>
      <c r="K537" s="311"/>
      <c r="L537" s="312"/>
      <c r="M537" s="309">
        <v>55.0</v>
      </c>
      <c r="N537" s="313"/>
      <c r="O537" s="311"/>
      <c r="P537" s="313"/>
      <c r="Q537" s="313"/>
      <c r="R537" s="313"/>
      <c r="S537" s="311"/>
      <c r="T537" s="312"/>
      <c r="U537" s="313"/>
      <c r="V537" s="313"/>
      <c r="W537" s="313"/>
    </row>
    <row r="538" ht="15.0" customHeight="1">
      <c r="A538" s="304" t="s">
        <v>820</v>
      </c>
      <c r="B538" s="312"/>
      <c r="C538" s="313"/>
      <c r="D538" s="313"/>
      <c r="E538" s="313"/>
      <c r="F538" s="311"/>
      <c r="G538" s="312"/>
      <c r="H538" s="313"/>
      <c r="I538" s="313"/>
      <c r="J538" s="313"/>
      <c r="K538" s="311"/>
      <c r="L538" s="312"/>
      <c r="M538" s="309">
        <v>100.0</v>
      </c>
      <c r="N538" s="313"/>
      <c r="O538" s="311"/>
      <c r="P538" s="313"/>
      <c r="Q538" s="313"/>
      <c r="R538" s="313"/>
      <c r="S538" s="311"/>
      <c r="T538" s="312"/>
      <c r="U538" s="313"/>
      <c r="V538" s="313"/>
      <c r="W538" s="313"/>
    </row>
    <row r="539" ht="15.0" customHeight="1">
      <c r="A539" s="304" t="s">
        <v>821</v>
      </c>
      <c r="B539" s="312"/>
      <c r="C539" s="313"/>
      <c r="D539" s="313"/>
      <c r="E539" s="313"/>
      <c r="F539" s="311"/>
      <c r="G539" s="312"/>
      <c r="H539" s="313"/>
      <c r="I539" s="313"/>
      <c r="J539" s="313"/>
      <c r="K539" s="311"/>
      <c r="L539" s="312"/>
      <c r="M539" s="309">
        <v>14.0</v>
      </c>
      <c r="N539" s="313"/>
      <c r="O539" s="311"/>
      <c r="P539" s="313"/>
      <c r="Q539" s="309">
        <v>0.25</v>
      </c>
      <c r="R539" s="313"/>
      <c r="S539" s="310"/>
      <c r="T539" s="308"/>
      <c r="U539" s="313"/>
      <c r="V539" s="309"/>
      <c r="W539" s="309"/>
    </row>
    <row r="540" ht="15.0" customHeight="1">
      <c r="A540" s="304" t="s">
        <v>822</v>
      </c>
      <c r="B540" s="312"/>
      <c r="C540" s="313"/>
      <c r="D540" s="313"/>
      <c r="E540" s="313"/>
      <c r="F540" s="311"/>
      <c r="G540" s="312"/>
      <c r="H540" s="313"/>
      <c r="I540" s="313"/>
      <c r="J540" s="313"/>
      <c r="K540" s="311"/>
      <c r="L540" s="312"/>
      <c r="M540" s="309">
        <v>122.0</v>
      </c>
      <c r="N540" s="313"/>
      <c r="O540" s="311"/>
      <c r="P540" s="313"/>
      <c r="Q540" s="309"/>
      <c r="R540" s="313"/>
      <c r="S540" s="310"/>
      <c r="T540" s="308"/>
      <c r="U540" s="313"/>
      <c r="V540" s="309"/>
      <c r="W540" s="309"/>
    </row>
    <row r="541" ht="15.0" customHeight="1">
      <c r="A541" s="304" t="s">
        <v>823</v>
      </c>
      <c r="B541" s="312"/>
      <c r="C541" s="313"/>
      <c r="D541" s="313"/>
      <c r="E541" s="313"/>
      <c r="F541" s="311"/>
      <c r="G541" s="312"/>
      <c r="H541" s="313"/>
      <c r="I541" s="313"/>
      <c r="J541" s="313"/>
      <c r="K541" s="311"/>
      <c r="L541" s="312"/>
      <c r="M541" s="309">
        <v>30.0</v>
      </c>
      <c r="N541" s="313"/>
      <c r="O541" s="311"/>
      <c r="P541" s="313"/>
      <c r="Q541" s="313"/>
      <c r="R541" s="313"/>
      <c r="S541" s="310"/>
      <c r="T541" s="308"/>
      <c r="U541" s="313"/>
      <c r="V541" s="309"/>
      <c r="W541" s="309"/>
    </row>
    <row r="542" ht="15.0" customHeight="1">
      <c r="A542" s="304" t="s">
        <v>824</v>
      </c>
      <c r="B542" s="312"/>
      <c r="C542" s="313"/>
      <c r="D542" s="313"/>
      <c r="E542" s="313"/>
      <c r="F542" s="311"/>
      <c r="G542" s="312"/>
      <c r="H542" s="313"/>
      <c r="I542" s="313"/>
      <c r="J542" s="313"/>
      <c r="K542" s="311"/>
      <c r="L542" s="312"/>
      <c r="M542" s="309">
        <v>122.0</v>
      </c>
      <c r="N542" s="313"/>
      <c r="O542" s="311"/>
      <c r="P542" s="313"/>
      <c r="Q542" s="313"/>
      <c r="R542" s="313"/>
      <c r="S542" s="310"/>
      <c r="T542" s="308"/>
      <c r="U542" s="313"/>
      <c r="V542" s="309"/>
      <c r="W542" s="309"/>
    </row>
    <row r="543" ht="15.0" customHeight="1">
      <c r="A543" s="304" t="s">
        <v>825</v>
      </c>
      <c r="B543" s="312"/>
      <c r="C543" s="313"/>
      <c r="D543" s="313"/>
      <c r="E543" s="313"/>
      <c r="F543" s="311"/>
      <c r="G543" s="312"/>
      <c r="H543" s="313"/>
      <c r="I543" s="313"/>
      <c r="J543" s="313"/>
      <c r="K543" s="311"/>
      <c r="L543" s="312"/>
      <c r="M543" s="309">
        <v>48.0</v>
      </c>
      <c r="N543" s="313"/>
      <c r="O543" s="311"/>
      <c r="P543" s="313"/>
      <c r="Q543" s="313"/>
      <c r="R543" s="313"/>
      <c r="S543" s="310"/>
      <c r="T543" s="308"/>
      <c r="U543" s="313"/>
      <c r="V543" s="309"/>
      <c r="W543" s="309"/>
    </row>
    <row r="544" ht="15.0" customHeight="1">
      <c r="A544" s="304" t="s">
        <v>826</v>
      </c>
      <c r="B544" s="312"/>
      <c r="C544" s="313"/>
      <c r="D544" s="313"/>
      <c r="E544" s="313"/>
      <c r="F544" s="311"/>
      <c r="G544" s="312"/>
      <c r="H544" s="313"/>
      <c r="I544" s="313"/>
      <c r="J544" s="313"/>
      <c r="K544" s="311"/>
      <c r="L544" s="312"/>
      <c r="M544" s="309">
        <v>122.0</v>
      </c>
      <c r="N544" s="313"/>
      <c r="O544" s="311"/>
      <c r="P544" s="313"/>
      <c r="Q544" s="313"/>
      <c r="R544" s="313"/>
      <c r="S544" s="310"/>
      <c r="T544" s="308"/>
      <c r="U544" s="313"/>
      <c r="V544" s="309"/>
      <c r="W544" s="309"/>
    </row>
    <row r="545" ht="15.0" customHeight="1">
      <c r="A545" s="304" t="s">
        <v>827</v>
      </c>
      <c r="B545" s="312"/>
      <c r="C545" s="313"/>
      <c r="D545" s="313"/>
      <c r="E545" s="313"/>
      <c r="F545" s="311"/>
      <c r="G545" s="312"/>
      <c r="H545" s="313"/>
      <c r="I545" s="313"/>
      <c r="J545" s="313"/>
      <c r="K545" s="311"/>
      <c r="L545" s="312"/>
      <c r="M545" s="309">
        <v>66.0</v>
      </c>
      <c r="N545" s="313"/>
      <c r="O545" s="311"/>
      <c r="P545" s="313"/>
      <c r="Q545" s="313"/>
      <c r="R545" s="313"/>
      <c r="S545" s="310"/>
      <c r="T545" s="308"/>
      <c r="U545" s="313"/>
      <c r="V545" s="309"/>
      <c r="W545" s="309"/>
    </row>
    <row r="546" ht="15.0" customHeight="1">
      <c r="A546" s="304" t="s">
        <v>828</v>
      </c>
      <c r="B546" s="312"/>
      <c r="C546" s="313"/>
      <c r="D546" s="313"/>
      <c r="E546" s="313"/>
      <c r="F546" s="311"/>
      <c r="G546" s="312"/>
      <c r="H546" s="313"/>
      <c r="I546" s="313"/>
      <c r="J546" s="313"/>
      <c r="K546" s="311"/>
      <c r="L546" s="312"/>
      <c r="M546" s="309">
        <v>122.0</v>
      </c>
      <c r="N546" s="313"/>
      <c r="O546" s="311"/>
      <c r="P546" s="313"/>
      <c r="Q546" s="313"/>
      <c r="R546" s="313"/>
      <c r="S546" s="310"/>
      <c r="T546" s="308"/>
      <c r="U546" s="313"/>
      <c r="V546" s="309"/>
      <c r="W546" s="309"/>
    </row>
    <row r="547" ht="15.0" customHeight="1">
      <c r="A547" s="304" t="s">
        <v>829</v>
      </c>
      <c r="B547" s="312"/>
      <c r="C547" s="313"/>
      <c r="D547" s="313"/>
      <c r="E547" s="313"/>
      <c r="F547" s="311"/>
      <c r="G547" s="312"/>
      <c r="H547" s="313"/>
      <c r="I547" s="313"/>
      <c r="J547" s="313"/>
      <c r="K547" s="311"/>
      <c r="L547" s="312"/>
      <c r="M547" s="309">
        <v>83.0</v>
      </c>
      <c r="N547" s="313"/>
      <c r="O547" s="311"/>
      <c r="P547" s="313"/>
      <c r="Q547" s="313"/>
      <c r="R547" s="313"/>
      <c r="S547" s="310"/>
      <c r="T547" s="308"/>
      <c r="U547" s="313"/>
      <c r="V547" s="309"/>
      <c r="W547" s="309"/>
    </row>
    <row r="548" ht="15.0" customHeight="1">
      <c r="A548" s="304" t="s">
        <v>830</v>
      </c>
      <c r="B548" s="312"/>
      <c r="C548" s="313"/>
      <c r="D548" s="313"/>
      <c r="E548" s="313"/>
      <c r="F548" s="311"/>
      <c r="G548" s="312"/>
      <c r="H548" s="313"/>
      <c r="I548" s="313"/>
      <c r="J548" s="313"/>
      <c r="K548" s="311"/>
      <c r="L548" s="312"/>
      <c r="M548" s="309">
        <v>122.0</v>
      </c>
      <c r="N548" s="313"/>
      <c r="O548" s="311"/>
      <c r="P548" s="313"/>
      <c r="Q548" s="313"/>
      <c r="R548" s="313"/>
      <c r="S548" s="310"/>
      <c r="T548" s="308"/>
      <c r="U548" s="313"/>
      <c r="V548" s="309"/>
      <c r="W548" s="309"/>
    </row>
    <row r="549" ht="15.0" customHeight="1">
      <c r="A549" s="304" t="s">
        <v>831</v>
      </c>
      <c r="B549" s="312"/>
      <c r="C549" s="313"/>
      <c r="D549" s="313"/>
      <c r="E549" s="313"/>
      <c r="F549" s="311"/>
      <c r="G549" s="312"/>
      <c r="H549" s="313"/>
      <c r="I549" s="313"/>
      <c r="J549" s="313"/>
      <c r="K549" s="311"/>
      <c r="L549" s="312"/>
      <c r="M549" s="309">
        <v>85.0</v>
      </c>
      <c r="N549" s="313"/>
      <c r="O549" s="311"/>
      <c r="P549" s="313"/>
      <c r="Q549" s="313"/>
      <c r="R549" s="313"/>
      <c r="S549" s="310"/>
      <c r="T549" s="308"/>
      <c r="U549" s="313"/>
      <c r="V549" s="309"/>
      <c r="W549" s="309"/>
    </row>
    <row r="550" ht="15.0" customHeight="1">
      <c r="A550" s="304" t="s">
        <v>832</v>
      </c>
      <c r="B550" s="312"/>
      <c r="C550" s="313"/>
      <c r="D550" s="313"/>
      <c r="E550" s="313"/>
      <c r="F550" s="311"/>
      <c r="G550" s="312"/>
      <c r="H550" s="313"/>
      <c r="I550" s="313"/>
      <c r="J550" s="313"/>
      <c r="K550" s="311"/>
      <c r="L550" s="312"/>
      <c r="M550" s="309">
        <v>122.0</v>
      </c>
      <c r="N550" s="313"/>
      <c r="O550" s="311"/>
      <c r="P550" s="313"/>
      <c r="Q550" s="313"/>
      <c r="R550" s="313"/>
      <c r="S550" s="310"/>
      <c r="T550" s="308"/>
      <c r="U550" s="313"/>
      <c r="V550" s="309"/>
      <c r="W550" s="309"/>
    </row>
    <row r="551" ht="15.0" customHeight="1">
      <c r="A551" s="304" t="s">
        <v>833</v>
      </c>
      <c r="B551" s="312"/>
      <c r="C551" s="313"/>
      <c r="D551" s="313"/>
      <c r="E551" s="313"/>
      <c r="F551" s="311"/>
      <c r="G551" s="312"/>
      <c r="H551" s="313"/>
      <c r="I551" s="313"/>
      <c r="J551" s="313"/>
      <c r="K551" s="311"/>
      <c r="L551" s="312"/>
      <c r="M551" s="309">
        <v>103.0</v>
      </c>
      <c r="N551" s="313"/>
      <c r="O551" s="311"/>
      <c r="P551" s="313"/>
      <c r="Q551" s="309"/>
      <c r="R551" s="313"/>
      <c r="S551" s="310"/>
      <c r="T551" s="308"/>
      <c r="U551" s="313"/>
      <c r="V551" s="309"/>
      <c r="W551" s="309"/>
    </row>
    <row r="552" ht="15.0" customHeight="1">
      <c r="A552" s="304" t="s">
        <v>834</v>
      </c>
      <c r="B552" s="312"/>
      <c r="C552" s="313"/>
      <c r="D552" s="313"/>
      <c r="E552" s="313"/>
      <c r="F552" s="311"/>
      <c r="G552" s="312"/>
      <c r="H552" s="313"/>
      <c r="I552" s="313"/>
      <c r="J552" s="313"/>
      <c r="K552" s="311"/>
      <c r="L552" s="312"/>
      <c r="M552" s="309">
        <v>122.0</v>
      </c>
      <c r="N552" s="313"/>
      <c r="O552" s="311"/>
      <c r="P552" s="313"/>
      <c r="Q552" s="309"/>
      <c r="R552" s="313"/>
      <c r="S552" s="310"/>
      <c r="T552" s="308"/>
      <c r="U552" s="313"/>
      <c r="V552" s="309"/>
      <c r="W552" s="309"/>
    </row>
    <row r="553" ht="15.0" customHeight="1">
      <c r="A553" s="304" t="s">
        <v>835</v>
      </c>
      <c r="B553" s="312"/>
      <c r="C553" s="313"/>
      <c r="D553" s="313"/>
      <c r="E553" s="313"/>
      <c r="F553" s="311"/>
      <c r="G553" s="312"/>
      <c r="H553" s="313"/>
      <c r="I553" s="313"/>
      <c r="J553" s="313"/>
      <c r="K553" s="311"/>
      <c r="L553" s="312"/>
      <c r="M553" s="309">
        <v>105.0</v>
      </c>
      <c r="N553" s="313"/>
      <c r="O553" s="311"/>
      <c r="P553" s="313"/>
      <c r="Q553" s="309">
        <v>0.15</v>
      </c>
      <c r="R553" s="313"/>
      <c r="S553" s="310"/>
      <c r="T553" s="308"/>
      <c r="U553" s="313"/>
      <c r="V553" s="309"/>
      <c r="W553" s="309"/>
    </row>
    <row r="554" ht="15.0" customHeight="1">
      <c r="A554" s="304" t="s">
        <v>836</v>
      </c>
      <c r="B554" s="312"/>
      <c r="C554" s="313"/>
      <c r="D554" s="313"/>
      <c r="E554" s="313"/>
      <c r="F554" s="311"/>
      <c r="G554" s="312"/>
      <c r="H554" s="313"/>
      <c r="I554" s="313"/>
      <c r="J554" s="313"/>
      <c r="K554" s="311"/>
      <c r="L554" s="312"/>
      <c r="M554" s="309">
        <v>122.0</v>
      </c>
      <c r="N554" s="313"/>
      <c r="O554" s="311"/>
      <c r="P554" s="313"/>
      <c r="Q554" s="309"/>
      <c r="R554" s="313"/>
      <c r="S554" s="310"/>
      <c r="T554" s="308"/>
      <c r="U554" s="313"/>
      <c r="V554" s="309"/>
      <c r="W554" s="309"/>
    </row>
    <row r="555" ht="15.0" customHeight="1">
      <c r="A555" s="304" t="s">
        <v>837</v>
      </c>
      <c r="B555" s="312"/>
      <c r="C555" s="313"/>
      <c r="D555" s="313"/>
      <c r="E555" s="313"/>
      <c r="F555" s="311"/>
      <c r="G555" s="312"/>
      <c r="H555" s="313"/>
      <c r="I555" s="313"/>
      <c r="J555" s="313"/>
      <c r="K555" s="311"/>
      <c r="L555" s="312"/>
      <c r="M555" s="309">
        <v>117.0</v>
      </c>
      <c r="N555" s="313"/>
      <c r="O555" s="311"/>
      <c r="P555" s="313"/>
      <c r="Q555" s="309"/>
      <c r="R555" s="313"/>
      <c r="S555" s="310"/>
      <c r="T555" s="308"/>
      <c r="U555" s="313"/>
      <c r="V555" s="309"/>
      <c r="W555" s="309"/>
    </row>
    <row r="556" ht="15.0" customHeight="1">
      <c r="A556" s="304" t="s">
        <v>838</v>
      </c>
      <c r="B556" s="312"/>
      <c r="C556" s="313"/>
      <c r="D556" s="313"/>
      <c r="E556" s="313"/>
      <c r="F556" s="311"/>
      <c r="G556" s="312"/>
      <c r="H556" s="313"/>
      <c r="I556" s="313"/>
      <c r="J556" s="313"/>
      <c r="K556" s="311"/>
      <c r="L556" s="312"/>
      <c r="M556" s="309">
        <v>122.0</v>
      </c>
      <c r="N556" s="313"/>
      <c r="O556" s="311"/>
      <c r="P556" s="313"/>
      <c r="Q556" s="309"/>
      <c r="R556" s="313"/>
      <c r="S556" s="310"/>
      <c r="T556" s="308"/>
      <c r="U556" s="313"/>
      <c r="V556" s="309"/>
      <c r="W556" s="309"/>
    </row>
    <row r="557" ht="15.0" customHeight="1">
      <c r="A557" s="304" t="s">
        <v>839</v>
      </c>
      <c r="B557" s="312"/>
      <c r="C557" s="313"/>
      <c r="D557" s="313"/>
      <c r="E557" s="313"/>
      <c r="F557" s="311"/>
      <c r="G557" s="312"/>
      <c r="H557" s="313"/>
      <c r="I557" s="313"/>
      <c r="J557" s="313"/>
      <c r="K557" s="311"/>
      <c r="L557" s="312"/>
      <c r="M557" s="309">
        <v>120.0</v>
      </c>
      <c r="N557" s="313"/>
      <c r="O557" s="311"/>
      <c r="P557" s="313"/>
      <c r="Q557" s="309">
        <v>0.2</v>
      </c>
      <c r="R557" s="313"/>
      <c r="S557" s="310"/>
      <c r="T557" s="308"/>
      <c r="U557" s="313"/>
      <c r="V557" s="309"/>
      <c r="W557" s="309"/>
    </row>
    <row r="558" ht="15.0" customHeight="1">
      <c r="A558" s="304" t="s">
        <v>840</v>
      </c>
      <c r="B558" s="312"/>
      <c r="C558" s="313"/>
      <c r="D558" s="313"/>
      <c r="E558" s="313"/>
      <c r="F558" s="311"/>
      <c r="G558" s="312"/>
      <c r="H558" s="313"/>
      <c r="I558" s="313"/>
      <c r="J558" s="313"/>
      <c r="K558" s="311"/>
      <c r="L558" s="312"/>
      <c r="M558" s="309">
        <v>122.0</v>
      </c>
      <c r="N558" s="313"/>
      <c r="O558" s="311"/>
      <c r="P558" s="313"/>
      <c r="Q558" s="309"/>
      <c r="R558" s="313"/>
      <c r="S558" s="310"/>
      <c r="T558" s="308"/>
      <c r="U558" s="313"/>
      <c r="V558" s="309"/>
      <c r="W558" s="309"/>
    </row>
    <row r="559" ht="15.0" customHeight="1">
      <c r="A559" s="304" t="s">
        <v>841</v>
      </c>
      <c r="B559" s="312"/>
      <c r="C559" s="313"/>
      <c r="D559" s="313"/>
      <c r="E559" s="313"/>
      <c r="F559" s="311"/>
      <c r="G559" s="312"/>
      <c r="H559" s="313"/>
      <c r="I559" s="313"/>
      <c r="J559" s="313"/>
      <c r="K559" s="311"/>
      <c r="L559" s="312"/>
      <c r="M559" s="309">
        <v>49.0</v>
      </c>
      <c r="N559" s="313"/>
      <c r="O559" s="311"/>
      <c r="P559" s="313"/>
      <c r="Q559" s="313"/>
      <c r="R559" s="313"/>
      <c r="S559" s="311"/>
      <c r="T559" s="312"/>
      <c r="U559" s="313"/>
      <c r="V559" s="313"/>
      <c r="W559" s="313"/>
    </row>
    <row r="560" ht="15.0" customHeight="1">
      <c r="A560" s="304" t="s">
        <v>842</v>
      </c>
      <c r="B560" s="312"/>
      <c r="C560" s="313"/>
      <c r="D560" s="313"/>
      <c r="E560" s="313"/>
      <c r="F560" s="311"/>
      <c r="G560" s="312"/>
      <c r="H560" s="313"/>
      <c r="I560" s="313"/>
      <c r="J560" s="313"/>
      <c r="K560" s="311"/>
      <c r="L560" s="312"/>
      <c r="M560" s="309">
        <v>122.0</v>
      </c>
      <c r="N560" s="313"/>
      <c r="O560" s="311"/>
      <c r="P560" s="313"/>
      <c r="Q560" s="313"/>
      <c r="R560" s="313"/>
      <c r="S560" s="311"/>
      <c r="T560" s="312"/>
      <c r="U560" s="313"/>
      <c r="V560" s="313"/>
      <c r="W560" s="313"/>
    </row>
    <row r="561" ht="15.0" customHeight="1">
      <c r="A561" s="304" t="s">
        <v>843</v>
      </c>
      <c r="B561" s="312"/>
      <c r="C561" s="313"/>
      <c r="D561" s="313"/>
      <c r="E561" s="313"/>
      <c r="F561" s="311"/>
      <c r="G561" s="312"/>
      <c r="H561" s="313"/>
      <c r="I561" s="313"/>
      <c r="J561" s="313"/>
      <c r="K561" s="311"/>
      <c r="L561" s="312"/>
      <c r="M561" s="309">
        <v>115.0</v>
      </c>
      <c r="N561" s="313"/>
      <c r="O561" s="311"/>
      <c r="P561" s="313"/>
      <c r="Q561" s="313"/>
      <c r="R561" s="313"/>
      <c r="S561" s="311"/>
      <c r="T561" s="312"/>
      <c r="U561" s="313"/>
      <c r="V561" s="313"/>
      <c r="W561" s="313"/>
    </row>
    <row r="562" ht="15.0" customHeight="1">
      <c r="A562" s="304" t="s">
        <v>844</v>
      </c>
      <c r="B562" s="312"/>
      <c r="C562" s="313"/>
      <c r="D562" s="313"/>
      <c r="E562" s="313"/>
      <c r="F562" s="311"/>
      <c r="G562" s="312"/>
      <c r="H562" s="313"/>
      <c r="I562" s="313"/>
      <c r="J562" s="313"/>
      <c r="K562" s="311"/>
      <c r="L562" s="312"/>
      <c r="M562" s="309">
        <v>115.0</v>
      </c>
      <c r="N562" s="313"/>
      <c r="O562" s="311"/>
      <c r="P562" s="313"/>
      <c r="Q562" s="313"/>
      <c r="R562" s="313"/>
      <c r="S562" s="311"/>
      <c r="T562" s="312"/>
      <c r="U562" s="313"/>
      <c r="V562" s="313"/>
      <c r="W562" s="313"/>
    </row>
    <row r="563" ht="15.0" customHeight="1">
      <c r="A563" s="304" t="s">
        <v>845</v>
      </c>
      <c r="B563" s="312"/>
      <c r="C563" s="313"/>
      <c r="D563" s="313"/>
      <c r="E563" s="313"/>
      <c r="F563" s="311"/>
      <c r="G563" s="312"/>
      <c r="H563" s="313"/>
      <c r="I563" s="313"/>
      <c r="J563" s="313"/>
      <c r="K563" s="311"/>
      <c r="L563" s="312"/>
      <c r="M563" s="309">
        <v>100.0</v>
      </c>
      <c r="N563" s="313"/>
      <c r="O563" s="311"/>
      <c r="P563" s="313"/>
      <c r="Q563" s="313"/>
      <c r="R563" s="313"/>
      <c r="S563" s="311"/>
      <c r="T563" s="312"/>
      <c r="U563" s="313"/>
      <c r="V563" s="313"/>
      <c r="W563" s="313"/>
    </row>
    <row r="564" ht="15.0" customHeight="1">
      <c r="A564" s="304" t="s">
        <v>846</v>
      </c>
      <c r="B564" s="312"/>
      <c r="C564" s="313"/>
      <c r="D564" s="313"/>
      <c r="E564" s="313"/>
      <c r="F564" s="311"/>
      <c r="G564" s="312"/>
      <c r="H564" s="313"/>
      <c r="I564" s="313"/>
      <c r="J564" s="313"/>
      <c r="K564" s="311"/>
      <c r="L564" s="312"/>
      <c r="M564" s="309">
        <v>82.0</v>
      </c>
      <c r="N564" s="313"/>
      <c r="O564" s="311"/>
      <c r="P564" s="313"/>
      <c r="Q564" s="313"/>
      <c r="R564" s="313"/>
      <c r="S564" s="311"/>
      <c r="T564" s="312"/>
      <c r="U564" s="313"/>
      <c r="V564" s="313"/>
      <c r="W564" s="313"/>
    </row>
    <row r="565" ht="15.0" customHeight="1">
      <c r="A565" s="304" t="s">
        <v>847</v>
      </c>
      <c r="B565" s="312"/>
      <c r="C565" s="313"/>
      <c r="D565" s="313"/>
      <c r="E565" s="313"/>
      <c r="F565" s="311"/>
      <c r="G565" s="312"/>
      <c r="H565" s="313"/>
      <c r="I565" s="313"/>
      <c r="J565" s="313"/>
      <c r="K565" s="311"/>
      <c r="L565" s="312"/>
      <c r="M565" s="309">
        <v>64.0</v>
      </c>
      <c r="N565" s="313"/>
      <c r="O565" s="311"/>
      <c r="P565" s="313"/>
      <c r="Q565" s="313"/>
      <c r="R565" s="313"/>
      <c r="S565" s="311"/>
      <c r="T565" s="312"/>
      <c r="U565" s="313"/>
      <c r="V565" s="313"/>
      <c r="W565" s="313"/>
    </row>
    <row r="566" ht="15.0" customHeight="1">
      <c r="A566" s="304" t="s">
        <v>848</v>
      </c>
      <c r="B566" s="312"/>
      <c r="C566" s="313"/>
      <c r="D566" s="313"/>
      <c r="E566" s="313"/>
      <c r="F566" s="311"/>
      <c r="G566" s="312"/>
      <c r="H566" s="313"/>
      <c r="I566" s="313"/>
      <c r="J566" s="313"/>
      <c r="K566" s="311"/>
      <c r="L566" s="312"/>
      <c r="M566" s="309">
        <v>46.0</v>
      </c>
      <c r="N566" s="313"/>
      <c r="O566" s="311"/>
      <c r="P566" s="313"/>
      <c r="Q566" s="313"/>
      <c r="R566" s="313"/>
      <c r="S566" s="311"/>
      <c r="T566" s="312"/>
      <c r="U566" s="313"/>
      <c r="V566" s="313"/>
      <c r="W566" s="313"/>
    </row>
    <row r="567" ht="15.0" customHeight="1">
      <c r="A567" s="304" t="s">
        <v>849</v>
      </c>
      <c r="B567" s="312"/>
      <c r="C567" s="313"/>
      <c r="D567" s="313"/>
      <c r="E567" s="313"/>
      <c r="F567" s="311"/>
      <c r="G567" s="312"/>
      <c r="H567" s="313"/>
      <c r="I567" s="313"/>
      <c r="J567" s="313"/>
      <c r="K567" s="311"/>
      <c r="L567" s="312"/>
      <c r="M567" s="309">
        <v>10.0</v>
      </c>
      <c r="N567" s="313"/>
      <c r="O567" s="311"/>
      <c r="P567" s="313"/>
      <c r="Q567" s="313"/>
      <c r="R567" s="313"/>
      <c r="S567" s="311"/>
      <c r="T567" s="312"/>
      <c r="U567" s="313"/>
      <c r="V567" s="313"/>
      <c r="W567" s="313"/>
    </row>
    <row r="568" ht="15.0" customHeight="1">
      <c r="A568" s="304" t="s">
        <v>850</v>
      </c>
      <c r="B568" s="312"/>
      <c r="C568" s="313"/>
      <c r="D568" s="313"/>
      <c r="E568" s="313"/>
      <c r="F568" s="311"/>
      <c r="G568" s="312"/>
      <c r="H568" s="313"/>
      <c r="I568" s="313"/>
      <c r="J568" s="313"/>
      <c r="K568" s="311"/>
      <c r="L568" s="312"/>
      <c r="M568" s="309">
        <v>36.0</v>
      </c>
      <c r="N568" s="313"/>
      <c r="O568" s="311"/>
      <c r="P568" s="313"/>
      <c r="Q568" s="313"/>
      <c r="R568" s="313"/>
      <c r="S568" s="311"/>
      <c r="T568" s="312"/>
      <c r="U568" s="313"/>
      <c r="V568" s="313"/>
      <c r="W568" s="313"/>
    </row>
    <row r="569" ht="15.0" customHeight="1">
      <c r="A569" s="304" t="s">
        <v>851</v>
      </c>
      <c r="B569" s="312"/>
      <c r="C569" s="313"/>
      <c r="D569" s="313"/>
      <c r="E569" s="313"/>
      <c r="F569" s="311"/>
      <c r="G569" s="312"/>
      <c r="H569" s="313"/>
      <c r="I569" s="313"/>
      <c r="J569" s="313"/>
      <c r="K569" s="311"/>
      <c r="L569" s="312"/>
      <c r="M569" s="309">
        <v>28.0</v>
      </c>
      <c r="N569" s="313"/>
      <c r="O569" s="311"/>
      <c r="P569" s="313"/>
      <c r="Q569" s="313"/>
      <c r="R569" s="313"/>
      <c r="S569" s="311"/>
      <c r="T569" s="312"/>
      <c r="U569" s="313"/>
      <c r="V569" s="313"/>
      <c r="W569" s="313"/>
    </row>
    <row r="570" ht="15.0" customHeight="1">
      <c r="A570" s="304"/>
      <c r="B570" s="312"/>
      <c r="C570" s="313"/>
      <c r="D570" s="313"/>
      <c r="E570" s="313"/>
      <c r="F570" s="310"/>
      <c r="G570" s="312"/>
      <c r="H570" s="313"/>
      <c r="I570" s="313"/>
      <c r="J570" s="313"/>
      <c r="K570" s="313"/>
      <c r="L570" s="312"/>
      <c r="M570" s="313"/>
      <c r="N570" s="313"/>
      <c r="O570" s="311"/>
      <c r="P570" s="313"/>
      <c r="Q570" s="313"/>
      <c r="R570" s="313"/>
      <c r="S570" s="311"/>
      <c r="T570" s="312"/>
      <c r="U570" s="313"/>
      <c r="V570" s="313"/>
      <c r="W570" s="313"/>
    </row>
    <row r="571" ht="15.0" customHeight="1">
      <c r="A571" s="331"/>
      <c r="B571" s="336"/>
      <c r="C571" s="338"/>
      <c r="D571" s="338"/>
      <c r="E571" s="338"/>
      <c r="F571" s="334"/>
      <c r="G571" s="336"/>
      <c r="H571" s="338"/>
      <c r="I571" s="338"/>
      <c r="J571" s="338"/>
      <c r="K571" s="338"/>
      <c r="L571" s="336"/>
      <c r="M571" s="338"/>
      <c r="N571" s="338"/>
      <c r="O571" s="335"/>
      <c r="P571" s="338"/>
      <c r="Q571" s="338"/>
      <c r="R571" s="338"/>
      <c r="S571" s="335"/>
      <c r="T571" s="336"/>
      <c r="U571" s="338"/>
      <c r="V571" s="338"/>
      <c r="W571" s="338"/>
    </row>
    <row r="572" ht="15.0" customHeight="1">
      <c r="A572" s="304"/>
      <c r="B572" s="313"/>
      <c r="C572" s="313"/>
      <c r="D572" s="313"/>
      <c r="E572" s="313"/>
      <c r="F572" s="310"/>
      <c r="G572" s="312"/>
      <c r="H572" s="313"/>
      <c r="I572" s="313"/>
      <c r="J572" s="313"/>
      <c r="K572" s="313"/>
      <c r="L572" s="312"/>
      <c r="M572" s="313"/>
      <c r="N572" s="313"/>
      <c r="O572" s="311"/>
      <c r="P572" s="313"/>
      <c r="Q572" s="313"/>
      <c r="R572" s="313"/>
      <c r="S572" s="311"/>
      <c r="T572" s="312"/>
      <c r="U572" s="313"/>
      <c r="V572" s="313"/>
      <c r="W572" s="313"/>
    </row>
    <row r="573" ht="15.0" customHeight="1">
      <c r="A573" s="317" t="s">
        <v>852</v>
      </c>
      <c r="B573" s="313"/>
      <c r="C573" s="313"/>
      <c r="D573" s="313"/>
      <c r="E573" s="313"/>
      <c r="F573" s="310"/>
      <c r="G573" s="312"/>
      <c r="H573" s="313"/>
      <c r="I573" s="313"/>
      <c r="J573" s="313"/>
      <c r="K573" s="313"/>
      <c r="L573" s="312"/>
      <c r="M573" s="313"/>
      <c r="N573" s="313"/>
      <c r="O573" s="311"/>
      <c r="P573" s="313"/>
      <c r="Q573" s="313"/>
      <c r="R573" s="313"/>
      <c r="S573" s="311"/>
      <c r="T573" s="308">
        <v>2.0</v>
      </c>
      <c r="U573" s="313"/>
      <c r="V573" s="313"/>
      <c r="W573" s="313"/>
    </row>
    <row r="574" ht="15.0" customHeight="1">
      <c r="A574" s="317" t="s">
        <v>853</v>
      </c>
      <c r="B574" s="313"/>
      <c r="C574" s="313"/>
      <c r="D574" s="313"/>
      <c r="E574" s="313"/>
      <c r="F574" s="310"/>
      <c r="G574" s="312"/>
      <c r="H574" s="313"/>
      <c r="I574" s="313"/>
      <c r="J574" s="313"/>
      <c r="K574" s="313"/>
      <c r="L574" s="312"/>
      <c r="M574" s="313"/>
      <c r="N574" s="313"/>
      <c r="O574" s="311"/>
      <c r="P574" s="313"/>
      <c r="Q574" s="313"/>
      <c r="R574" s="313"/>
      <c r="S574" s="311"/>
      <c r="T574" s="308">
        <v>9.0</v>
      </c>
      <c r="U574" s="313"/>
      <c r="V574" s="313"/>
      <c r="W574" s="313"/>
    </row>
    <row r="575" ht="15.0" customHeight="1">
      <c r="A575" s="317" t="s">
        <v>854</v>
      </c>
      <c r="B575" s="313"/>
      <c r="C575" s="313"/>
      <c r="D575" s="313"/>
      <c r="E575" s="313"/>
      <c r="F575" s="310"/>
      <c r="G575" s="312"/>
      <c r="H575" s="313"/>
      <c r="I575" s="313"/>
      <c r="J575" s="313"/>
      <c r="K575" s="313"/>
      <c r="L575" s="312"/>
      <c r="M575" s="313"/>
      <c r="N575" s="313"/>
      <c r="O575" s="311"/>
      <c r="P575" s="313"/>
      <c r="Q575" s="313"/>
      <c r="R575" s="313"/>
      <c r="S575" s="311"/>
      <c r="T575" s="308">
        <v>13.0</v>
      </c>
      <c r="U575" s="313"/>
      <c r="V575" s="313"/>
      <c r="W575" s="313"/>
    </row>
    <row r="576" ht="15.0" customHeight="1">
      <c r="A576" s="317" t="s">
        <v>855</v>
      </c>
      <c r="B576" s="313"/>
      <c r="C576" s="313"/>
      <c r="D576" s="313"/>
      <c r="E576" s="313"/>
      <c r="F576" s="310"/>
      <c r="G576" s="312"/>
      <c r="H576" s="313"/>
      <c r="I576" s="313"/>
      <c r="J576" s="313"/>
      <c r="K576" s="313"/>
      <c r="L576" s="312"/>
      <c r="M576" s="313"/>
      <c r="N576" s="313"/>
      <c r="O576" s="311"/>
      <c r="P576" s="313"/>
      <c r="Q576" s="313"/>
      <c r="R576" s="313"/>
      <c r="S576" s="311"/>
      <c r="T576" s="308">
        <v>17.0</v>
      </c>
      <c r="U576" s="313"/>
      <c r="V576" s="313"/>
      <c r="W576" s="313"/>
    </row>
    <row r="577" ht="15.0" customHeight="1">
      <c r="A577" s="346" t="s">
        <v>856</v>
      </c>
      <c r="B577" s="313"/>
      <c r="C577" s="313"/>
      <c r="D577" s="313"/>
      <c r="E577" s="313"/>
      <c r="F577" s="310"/>
      <c r="G577" s="312"/>
      <c r="H577" s="313"/>
      <c r="I577" s="313"/>
      <c r="J577" s="313"/>
      <c r="K577" s="313"/>
      <c r="L577" s="312"/>
      <c r="M577" s="313"/>
      <c r="N577" s="313"/>
      <c r="O577" s="311"/>
      <c r="P577" s="313"/>
      <c r="Q577" s="313"/>
      <c r="R577" s="313"/>
      <c r="S577" s="311"/>
      <c r="T577" s="308">
        <v>21.0</v>
      </c>
      <c r="U577" s="313"/>
      <c r="V577" s="313"/>
      <c r="W577" s="313"/>
    </row>
    <row r="578" ht="15.0" customHeight="1">
      <c r="A578" s="317" t="s">
        <v>857</v>
      </c>
      <c r="B578" s="313"/>
      <c r="C578" s="313"/>
      <c r="D578" s="313"/>
      <c r="E578" s="313"/>
      <c r="F578" s="310"/>
      <c r="G578" s="312"/>
      <c r="H578" s="313"/>
      <c r="I578" s="313"/>
      <c r="J578" s="313"/>
      <c r="K578" s="313"/>
      <c r="L578" s="312"/>
      <c r="M578" s="313"/>
      <c r="N578" s="313"/>
      <c r="O578" s="311"/>
      <c r="P578" s="313"/>
      <c r="Q578" s="313"/>
      <c r="R578" s="313"/>
      <c r="S578" s="311"/>
      <c r="T578" s="308">
        <v>4.0</v>
      </c>
      <c r="U578" s="313"/>
      <c r="V578" s="313"/>
      <c r="W578" s="313"/>
    </row>
    <row r="579" ht="15.0" customHeight="1">
      <c r="A579" s="317" t="s">
        <v>858</v>
      </c>
      <c r="B579" s="313"/>
      <c r="C579" s="313"/>
      <c r="D579" s="313"/>
      <c r="E579" s="313"/>
      <c r="F579" s="310"/>
      <c r="G579" s="312"/>
      <c r="H579" s="313"/>
      <c r="I579" s="313"/>
      <c r="J579" s="313"/>
      <c r="K579" s="313"/>
      <c r="L579" s="312"/>
      <c r="M579" s="313"/>
      <c r="N579" s="313"/>
      <c r="O579" s="311"/>
      <c r="P579" s="313"/>
      <c r="Q579" s="313"/>
      <c r="R579" s="313"/>
      <c r="S579" s="311"/>
      <c r="T579" s="308">
        <v>10.0</v>
      </c>
      <c r="U579" s="313"/>
      <c r="V579" s="313"/>
      <c r="W579" s="313"/>
    </row>
    <row r="580" ht="15.0" customHeight="1">
      <c r="A580" s="317" t="s">
        <v>859</v>
      </c>
      <c r="B580" s="313"/>
      <c r="C580" s="313"/>
      <c r="D580" s="313"/>
      <c r="E580" s="313"/>
      <c r="F580" s="310"/>
      <c r="G580" s="312"/>
      <c r="H580" s="313"/>
      <c r="I580" s="313"/>
      <c r="J580" s="313"/>
      <c r="K580" s="313"/>
      <c r="L580" s="312"/>
      <c r="M580" s="313"/>
      <c r="N580" s="313"/>
      <c r="O580" s="311"/>
      <c r="P580" s="313"/>
      <c r="Q580" s="313"/>
      <c r="R580" s="313"/>
      <c r="S580" s="311"/>
      <c r="T580" s="308">
        <v>14.0</v>
      </c>
      <c r="U580" s="313"/>
      <c r="V580" s="313"/>
      <c r="W580" s="313"/>
    </row>
    <row r="581" ht="15.0" customHeight="1">
      <c r="A581" s="317" t="s">
        <v>860</v>
      </c>
      <c r="B581" s="313"/>
      <c r="C581" s="313"/>
      <c r="D581" s="313"/>
      <c r="E581" s="313"/>
      <c r="F581" s="310"/>
      <c r="G581" s="312"/>
      <c r="H581" s="313"/>
      <c r="I581" s="313"/>
      <c r="J581" s="313"/>
      <c r="K581" s="313"/>
      <c r="L581" s="312"/>
      <c r="M581" s="313"/>
      <c r="N581" s="313"/>
      <c r="O581" s="311"/>
      <c r="P581" s="313"/>
      <c r="Q581" s="313"/>
      <c r="R581" s="313"/>
      <c r="S581" s="311"/>
      <c r="T581" s="308">
        <v>18.0</v>
      </c>
      <c r="U581" s="313"/>
      <c r="V581" s="313"/>
      <c r="W581" s="313"/>
    </row>
    <row r="582" ht="15.0" customHeight="1">
      <c r="A582" s="346" t="s">
        <v>861</v>
      </c>
      <c r="B582" s="313"/>
      <c r="C582" s="313"/>
      <c r="D582" s="313"/>
      <c r="E582" s="313"/>
      <c r="F582" s="310"/>
      <c r="G582" s="312"/>
      <c r="H582" s="313"/>
      <c r="I582" s="313"/>
      <c r="J582" s="313"/>
      <c r="K582" s="313"/>
      <c r="L582" s="312"/>
      <c r="M582" s="313"/>
      <c r="N582" s="313"/>
      <c r="O582" s="311"/>
      <c r="P582" s="313"/>
      <c r="Q582" s="313"/>
      <c r="R582" s="313"/>
      <c r="S582" s="311"/>
      <c r="T582" s="308">
        <v>22.0</v>
      </c>
      <c r="U582" s="313"/>
      <c r="V582" s="313"/>
      <c r="W582" s="313"/>
    </row>
    <row r="583" ht="15.0" customHeight="1">
      <c r="A583" s="317" t="s">
        <v>862</v>
      </c>
      <c r="B583" s="313"/>
      <c r="C583" s="313"/>
      <c r="D583" s="313"/>
      <c r="E583" s="313"/>
      <c r="F583" s="310"/>
      <c r="G583" s="312"/>
      <c r="H583" s="313"/>
      <c r="I583" s="313"/>
      <c r="J583" s="313"/>
      <c r="K583" s="313"/>
      <c r="L583" s="312"/>
      <c r="M583" s="313"/>
      <c r="N583" s="313"/>
      <c r="O583" s="311"/>
      <c r="P583" s="313"/>
      <c r="Q583" s="313"/>
      <c r="R583" s="313"/>
      <c r="S583" s="311"/>
      <c r="T583" s="308">
        <v>6.0</v>
      </c>
      <c r="U583" s="313"/>
      <c r="V583" s="313"/>
      <c r="W583" s="313"/>
    </row>
    <row r="584" ht="15.0" customHeight="1">
      <c r="A584" s="317" t="s">
        <v>863</v>
      </c>
      <c r="B584" s="313"/>
      <c r="C584" s="313"/>
      <c r="D584" s="313"/>
      <c r="E584" s="313"/>
      <c r="F584" s="310"/>
      <c r="G584" s="312"/>
      <c r="H584" s="313"/>
      <c r="I584" s="313"/>
      <c r="J584" s="313"/>
      <c r="K584" s="313"/>
      <c r="L584" s="312"/>
      <c r="M584" s="313"/>
      <c r="N584" s="313"/>
      <c r="O584" s="311"/>
      <c r="P584" s="313"/>
      <c r="Q584" s="313"/>
      <c r="R584" s="313"/>
      <c r="S584" s="311"/>
      <c r="T584" s="308">
        <v>11.0</v>
      </c>
      <c r="U584" s="313"/>
      <c r="V584" s="313"/>
      <c r="W584" s="313"/>
    </row>
    <row r="585" ht="15.0" customHeight="1">
      <c r="A585" s="317" t="s">
        <v>864</v>
      </c>
      <c r="B585" s="313"/>
      <c r="C585" s="313"/>
      <c r="D585" s="313"/>
      <c r="E585" s="313"/>
      <c r="F585" s="310"/>
      <c r="G585" s="312"/>
      <c r="H585" s="313"/>
      <c r="I585" s="313"/>
      <c r="J585" s="313"/>
      <c r="K585" s="313"/>
      <c r="L585" s="312"/>
      <c r="M585" s="313"/>
      <c r="N585" s="313"/>
      <c r="O585" s="311"/>
      <c r="P585" s="313"/>
      <c r="Q585" s="313"/>
      <c r="R585" s="313"/>
      <c r="S585" s="311"/>
      <c r="T585" s="308">
        <v>15.0</v>
      </c>
      <c r="U585" s="313"/>
      <c r="V585" s="313"/>
      <c r="W585" s="313"/>
    </row>
    <row r="586" ht="15.0" customHeight="1">
      <c r="A586" s="317" t="s">
        <v>865</v>
      </c>
      <c r="B586" s="313"/>
      <c r="C586" s="313"/>
      <c r="D586" s="313"/>
      <c r="E586" s="313"/>
      <c r="F586" s="310"/>
      <c r="G586" s="312"/>
      <c r="H586" s="313"/>
      <c r="I586" s="313"/>
      <c r="J586" s="313"/>
      <c r="K586" s="313"/>
      <c r="L586" s="312"/>
      <c r="M586" s="313"/>
      <c r="N586" s="313"/>
      <c r="O586" s="311"/>
      <c r="P586" s="313"/>
      <c r="Q586" s="313"/>
      <c r="R586" s="313"/>
      <c r="S586" s="311"/>
      <c r="T586" s="308">
        <v>19.0</v>
      </c>
      <c r="U586" s="313"/>
      <c r="V586" s="313"/>
      <c r="W586" s="313"/>
    </row>
    <row r="587" ht="15.0" customHeight="1">
      <c r="A587" s="346" t="s">
        <v>866</v>
      </c>
      <c r="B587" s="313"/>
      <c r="C587" s="313"/>
      <c r="D587" s="313"/>
      <c r="E587" s="313"/>
      <c r="F587" s="310"/>
      <c r="G587" s="312"/>
      <c r="H587" s="313"/>
      <c r="I587" s="313"/>
      <c r="J587" s="313"/>
      <c r="K587" s="313"/>
      <c r="L587" s="312"/>
      <c r="M587" s="313"/>
      <c r="N587" s="313"/>
      <c r="O587" s="311"/>
      <c r="P587" s="313"/>
      <c r="Q587" s="313"/>
      <c r="R587" s="313"/>
      <c r="S587" s="311"/>
      <c r="T587" s="308">
        <v>23.0</v>
      </c>
      <c r="U587" s="313"/>
      <c r="V587" s="313"/>
      <c r="W587" s="313"/>
    </row>
    <row r="588" ht="15.0" customHeight="1">
      <c r="A588" s="317" t="s">
        <v>867</v>
      </c>
      <c r="B588" s="313"/>
      <c r="C588" s="313"/>
      <c r="D588" s="313"/>
      <c r="E588" s="313"/>
      <c r="F588" s="310"/>
      <c r="G588" s="312"/>
      <c r="H588" s="313"/>
      <c r="I588" s="313"/>
      <c r="J588" s="313"/>
      <c r="K588" s="313"/>
      <c r="L588" s="312"/>
      <c r="M588" s="313"/>
      <c r="N588" s="313"/>
      <c r="O588" s="311"/>
      <c r="P588" s="313"/>
      <c r="Q588" s="313"/>
      <c r="R588" s="313"/>
      <c r="S588" s="311"/>
      <c r="T588" s="308">
        <v>8.0</v>
      </c>
      <c r="U588" s="313"/>
      <c r="V588" s="313"/>
      <c r="W588" s="313"/>
    </row>
    <row r="589" ht="15.0" customHeight="1">
      <c r="A589" s="317" t="s">
        <v>868</v>
      </c>
      <c r="B589" s="313"/>
      <c r="C589" s="313"/>
      <c r="D589" s="313"/>
      <c r="E589" s="313"/>
      <c r="F589" s="310"/>
      <c r="G589" s="312"/>
      <c r="H589" s="313"/>
      <c r="I589" s="313"/>
      <c r="J589" s="313"/>
      <c r="K589" s="313"/>
      <c r="L589" s="312"/>
      <c r="M589" s="313"/>
      <c r="N589" s="313"/>
      <c r="O589" s="311"/>
      <c r="P589" s="313"/>
      <c r="Q589" s="313"/>
      <c r="R589" s="313"/>
      <c r="S589" s="311"/>
      <c r="T589" s="308">
        <v>12.0</v>
      </c>
      <c r="U589" s="313"/>
      <c r="V589" s="313"/>
      <c r="W589" s="313"/>
    </row>
    <row r="590" ht="15.0" customHeight="1">
      <c r="A590" s="317" t="s">
        <v>869</v>
      </c>
      <c r="B590" s="313"/>
      <c r="C590" s="313"/>
      <c r="D590" s="313"/>
      <c r="E590" s="313"/>
      <c r="F590" s="310"/>
      <c r="G590" s="312"/>
      <c r="H590" s="313"/>
      <c r="I590" s="313"/>
      <c r="J590" s="313"/>
      <c r="K590" s="313"/>
      <c r="L590" s="312"/>
      <c r="M590" s="313"/>
      <c r="N590" s="313"/>
      <c r="O590" s="311"/>
      <c r="P590" s="313"/>
      <c r="Q590" s="313"/>
      <c r="R590" s="313"/>
      <c r="S590" s="311"/>
      <c r="T590" s="308">
        <v>16.0</v>
      </c>
      <c r="U590" s="313"/>
      <c r="V590" s="313"/>
      <c r="W590" s="313"/>
    </row>
    <row r="591" ht="15.0" customHeight="1">
      <c r="A591" s="317" t="s">
        <v>870</v>
      </c>
      <c r="B591" s="313"/>
      <c r="C591" s="313"/>
      <c r="D591" s="313"/>
      <c r="E591" s="313"/>
      <c r="F591" s="310"/>
      <c r="G591" s="312"/>
      <c r="H591" s="313"/>
      <c r="I591" s="313"/>
      <c r="J591" s="313"/>
      <c r="K591" s="313"/>
      <c r="L591" s="312"/>
      <c r="M591" s="313"/>
      <c r="N591" s="313"/>
      <c r="O591" s="311"/>
      <c r="P591" s="313"/>
      <c r="Q591" s="313"/>
      <c r="R591" s="313"/>
      <c r="S591" s="311"/>
      <c r="T591" s="308">
        <v>20.0</v>
      </c>
      <c r="U591" s="313"/>
      <c r="V591" s="313"/>
      <c r="W591" s="313"/>
    </row>
    <row r="592" ht="15.0" customHeight="1">
      <c r="A592" s="346" t="s">
        <v>72</v>
      </c>
      <c r="B592" s="313"/>
      <c r="C592" s="313"/>
      <c r="D592" s="313"/>
      <c r="E592" s="313"/>
      <c r="F592" s="310"/>
      <c r="G592" s="312"/>
      <c r="H592" s="313"/>
      <c r="I592" s="313"/>
      <c r="J592" s="313"/>
      <c r="K592" s="313"/>
      <c r="L592" s="312"/>
      <c r="M592" s="313"/>
      <c r="N592" s="313"/>
      <c r="O592" s="311"/>
      <c r="P592" s="313"/>
      <c r="Q592" s="313"/>
      <c r="R592" s="313"/>
      <c r="S592" s="311"/>
      <c r="T592" s="308">
        <v>24.0</v>
      </c>
      <c r="U592" s="313"/>
      <c r="V592" s="313"/>
      <c r="W592" s="313"/>
    </row>
    <row r="593" ht="15.0" customHeight="1">
      <c r="A593" s="317"/>
      <c r="B593" s="313"/>
      <c r="C593" s="313"/>
      <c r="D593" s="313"/>
      <c r="E593" s="313"/>
      <c r="F593" s="310"/>
      <c r="G593" s="312"/>
      <c r="H593" s="313"/>
      <c r="I593" s="313"/>
      <c r="J593" s="313"/>
      <c r="K593" s="313"/>
      <c r="L593" s="312"/>
      <c r="M593" s="313"/>
      <c r="N593" s="313"/>
      <c r="O593" s="311"/>
      <c r="P593" s="313"/>
      <c r="Q593" s="313"/>
      <c r="R593" s="313"/>
      <c r="S593" s="311"/>
      <c r="T593" s="312"/>
      <c r="U593" s="313"/>
      <c r="V593" s="313"/>
      <c r="W593" s="313"/>
    </row>
    <row r="594" ht="15.0" customHeight="1">
      <c r="A594" s="317" t="s">
        <v>871</v>
      </c>
      <c r="B594" s="313"/>
      <c r="C594" s="313"/>
      <c r="D594" s="313"/>
      <c r="E594" s="313"/>
      <c r="F594" s="310"/>
      <c r="G594" s="312"/>
      <c r="H594" s="313"/>
      <c r="I594" s="313"/>
      <c r="J594" s="313"/>
      <c r="K594" s="313"/>
      <c r="L594" s="312"/>
      <c r="M594" s="313"/>
      <c r="N594" s="313"/>
      <c r="O594" s="311"/>
      <c r="P594" s="313"/>
      <c r="Q594" s="313"/>
      <c r="R594" s="313"/>
      <c r="S594" s="311"/>
      <c r="T594" s="314">
        <v>14.0</v>
      </c>
      <c r="U594" s="313"/>
      <c r="V594" s="313"/>
      <c r="W594" s="313"/>
    </row>
    <row r="595" ht="15.0" customHeight="1">
      <c r="A595" s="317" t="s">
        <v>872</v>
      </c>
      <c r="B595" s="313"/>
      <c r="C595" s="313"/>
      <c r="D595" s="313"/>
      <c r="E595" s="313"/>
      <c r="F595" s="310"/>
      <c r="G595" s="312"/>
      <c r="H595" s="313"/>
      <c r="I595" s="313"/>
      <c r="J595" s="313"/>
      <c r="K595" s="313"/>
      <c r="L595" s="312"/>
      <c r="M595" s="313"/>
      <c r="N595" s="313"/>
      <c r="O595" s="311"/>
      <c r="P595" s="313"/>
      <c r="Q595" s="313"/>
      <c r="R595" s="313"/>
      <c r="S595" s="311"/>
      <c r="T595" s="314">
        <v>18.0</v>
      </c>
      <c r="U595" s="313"/>
      <c r="V595" s="313"/>
      <c r="W595" s="313"/>
    </row>
    <row r="596" ht="15.0" customHeight="1">
      <c r="A596" s="317" t="s">
        <v>873</v>
      </c>
      <c r="B596" s="313"/>
      <c r="C596" s="313"/>
      <c r="D596" s="313"/>
      <c r="E596" s="313"/>
      <c r="F596" s="310"/>
      <c r="G596" s="312"/>
      <c r="H596" s="313"/>
      <c r="I596" s="313"/>
      <c r="J596" s="313"/>
      <c r="K596" s="313"/>
      <c r="L596" s="312"/>
      <c r="M596" s="313"/>
      <c r="N596" s="313"/>
      <c r="O596" s="311"/>
      <c r="P596" s="313"/>
      <c r="Q596" s="313"/>
      <c r="R596" s="313"/>
      <c r="S596" s="311"/>
      <c r="T596" s="314">
        <v>23.0</v>
      </c>
      <c r="U596" s="313"/>
      <c r="V596" s="313"/>
      <c r="W596" s="313"/>
    </row>
    <row r="597" ht="15.0" customHeight="1">
      <c r="A597" s="317" t="s">
        <v>874</v>
      </c>
      <c r="B597" s="313"/>
      <c r="C597" s="313"/>
      <c r="D597" s="313"/>
      <c r="E597" s="313"/>
      <c r="F597" s="310"/>
      <c r="G597" s="312"/>
      <c r="H597" s="313"/>
      <c r="I597" s="313"/>
      <c r="J597" s="313"/>
      <c r="K597" s="313"/>
      <c r="L597" s="312"/>
      <c r="M597" s="313"/>
      <c r="N597" s="313"/>
      <c r="O597" s="311"/>
      <c r="P597" s="313"/>
      <c r="Q597" s="313"/>
      <c r="R597" s="313"/>
      <c r="S597" s="311"/>
      <c r="T597" s="314">
        <v>27.0</v>
      </c>
      <c r="U597" s="313"/>
      <c r="V597" s="313"/>
      <c r="W597" s="313"/>
    </row>
    <row r="598" ht="15.0" customHeight="1">
      <c r="A598" s="317" t="s">
        <v>875</v>
      </c>
      <c r="B598" s="313"/>
      <c r="C598" s="313"/>
      <c r="D598" s="313"/>
      <c r="E598" s="313"/>
      <c r="F598" s="310"/>
      <c r="G598" s="312"/>
      <c r="H598" s="313"/>
      <c r="I598" s="313"/>
      <c r="J598" s="313"/>
      <c r="K598" s="313"/>
      <c r="L598" s="312"/>
      <c r="M598" s="313"/>
      <c r="N598" s="313"/>
      <c r="O598" s="311"/>
      <c r="P598" s="313"/>
      <c r="Q598" s="313"/>
      <c r="R598" s="313"/>
      <c r="S598" s="311"/>
      <c r="T598" s="314">
        <v>15.0</v>
      </c>
      <c r="U598" s="313"/>
      <c r="V598" s="313"/>
      <c r="W598" s="313"/>
    </row>
    <row r="599" ht="15.0" customHeight="1">
      <c r="A599" s="317" t="s">
        <v>876</v>
      </c>
      <c r="B599" s="313"/>
      <c r="C599" s="313"/>
      <c r="D599" s="313"/>
      <c r="E599" s="313"/>
      <c r="F599" s="310"/>
      <c r="G599" s="312"/>
      <c r="H599" s="313"/>
      <c r="I599" s="313"/>
      <c r="J599" s="313"/>
      <c r="K599" s="313"/>
      <c r="L599" s="312"/>
      <c r="M599" s="313"/>
      <c r="N599" s="313"/>
      <c r="O599" s="311"/>
      <c r="P599" s="313"/>
      <c r="Q599" s="313"/>
      <c r="R599" s="313"/>
      <c r="S599" s="311"/>
      <c r="T599" s="314">
        <v>19.0</v>
      </c>
      <c r="U599" s="313"/>
      <c r="V599" s="313"/>
      <c r="W599" s="313"/>
    </row>
    <row r="600" ht="15.0" customHeight="1">
      <c r="A600" s="317" t="s">
        <v>877</v>
      </c>
      <c r="B600" s="313"/>
      <c r="C600" s="313"/>
      <c r="D600" s="313"/>
      <c r="E600" s="313"/>
      <c r="F600" s="310"/>
      <c r="G600" s="312"/>
      <c r="H600" s="313"/>
      <c r="I600" s="313"/>
      <c r="J600" s="313"/>
      <c r="K600" s="313"/>
      <c r="L600" s="312"/>
      <c r="M600" s="313"/>
      <c r="N600" s="313"/>
      <c r="O600" s="311"/>
      <c r="P600" s="313"/>
      <c r="Q600" s="313"/>
      <c r="R600" s="313"/>
      <c r="S600" s="311"/>
      <c r="T600" s="314">
        <v>24.0</v>
      </c>
      <c r="U600" s="313"/>
      <c r="V600" s="313"/>
      <c r="W600" s="313"/>
    </row>
    <row r="601" ht="15.0" customHeight="1">
      <c r="A601" s="317" t="s">
        <v>878</v>
      </c>
      <c r="B601" s="313"/>
      <c r="C601" s="313"/>
      <c r="D601" s="313"/>
      <c r="E601" s="313"/>
      <c r="F601" s="310"/>
      <c r="G601" s="312"/>
      <c r="H601" s="313"/>
      <c r="I601" s="313"/>
      <c r="J601" s="313"/>
      <c r="K601" s="313"/>
      <c r="L601" s="312"/>
      <c r="M601" s="313"/>
      <c r="N601" s="313"/>
      <c r="O601" s="311"/>
      <c r="P601" s="313"/>
      <c r="Q601" s="313"/>
      <c r="R601" s="313"/>
      <c r="S601" s="311"/>
      <c r="T601" s="314">
        <v>28.0</v>
      </c>
      <c r="U601" s="313"/>
      <c r="V601" s="313"/>
      <c r="W601" s="313"/>
    </row>
    <row r="602" ht="15.0" customHeight="1">
      <c r="A602" s="317" t="s">
        <v>879</v>
      </c>
      <c r="B602" s="313"/>
      <c r="C602" s="313"/>
      <c r="D602" s="313"/>
      <c r="E602" s="313"/>
      <c r="F602" s="310"/>
      <c r="G602" s="312"/>
      <c r="H602" s="313"/>
      <c r="I602" s="313"/>
      <c r="J602" s="313"/>
      <c r="K602" s="313"/>
      <c r="L602" s="312"/>
      <c r="M602" s="313"/>
      <c r="N602" s="313"/>
      <c r="O602" s="311"/>
      <c r="P602" s="313"/>
      <c r="Q602" s="313"/>
      <c r="R602" s="313"/>
      <c r="S602" s="311"/>
      <c r="T602" s="314">
        <v>16.0</v>
      </c>
      <c r="U602" s="313"/>
      <c r="V602" s="313"/>
      <c r="W602" s="313"/>
    </row>
    <row r="603" ht="15.0" customHeight="1">
      <c r="A603" s="317" t="s">
        <v>880</v>
      </c>
      <c r="B603" s="313"/>
      <c r="C603" s="313"/>
      <c r="D603" s="313"/>
      <c r="E603" s="313"/>
      <c r="F603" s="310"/>
      <c r="G603" s="312"/>
      <c r="H603" s="313"/>
      <c r="I603" s="313"/>
      <c r="J603" s="313"/>
      <c r="K603" s="313"/>
      <c r="L603" s="312"/>
      <c r="M603" s="313"/>
      <c r="N603" s="313"/>
      <c r="O603" s="311"/>
      <c r="P603" s="313"/>
      <c r="Q603" s="313"/>
      <c r="R603" s="313"/>
      <c r="S603" s="311"/>
      <c r="T603" s="314">
        <v>21.0</v>
      </c>
      <c r="U603" s="313"/>
      <c r="V603" s="313"/>
      <c r="W603" s="313"/>
    </row>
    <row r="604" ht="15.0" customHeight="1">
      <c r="A604" s="317" t="s">
        <v>881</v>
      </c>
      <c r="B604" s="313"/>
      <c r="C604" s="313"/>
      <c r="D604" s="313"/>
      <c r="E604" s="313"/>
      <c r="F604" s="310"/>
      <c r="G604" s="312"/>
      <c r="H604" s="313"/>
      <c r="I604" s="313"/>
      <c r="J604" s="313"/>
      <c r="K604" s="313"/>
      <c r="L604" s="312"/>
      <c r="M604" s="313"/>
      <c r="N604" s="313"/>
      <c r="O604" s="311"/>
      <c r="P604" s="313"/>
      <c r="Q604" s="313"/>
      <c r="R604" s="313"/>
      <c r="S604" s="311"/>
      <c r="T604" s="314">
        <v>25.0</v>
      </c>
      <c r="U604" s="313"/>
      <c r="V604" s="313"/>
      <c r="W604" s="313"/>
    </row>
    <row r="605" ht="15.0" customHeight="1">
      <c r="A605" s="317" t="s">
        <v>882</v>
      </c>
      <c r="B605" s="313"/>
      <c r="C605" s="313"/>
      <c r="D605" s="313"/>
      <c r="E605" s="313"/>
      <c r="F605" s="310"/>
      <c r="G605" s="312"/>
      <c r="H605" s="313"/>
      <c r="I605" s="313"/>
      <c r="J605" s="313"/>
      <c r="K605" s="313"/>
      <c r="L605" s="312"/>
      <c r="M605" s="313"/>
      <c r="N605" s="313"/>
      <c r="O605" s="311"/>
      <c r="P605" s="313"/>
      <c r="Q605" s="313"/>
      <c r="R605" s="313"/>
      <c r="S605" s="311"/>
      <c r="T605" s="314">
        <v>29.0</v>
      </c>
      <c r="U605" s="313"/>
      <c r="V605" s="313"/>
      <c r="W605" s="313"/>
    </row>
    <row r="606" ht="15.0" customHeight="1">
      <c r="A606" s="317" t="s">
        <v>883</v>
      </c>
      <c r="B606" s="313"/>
      <c r="C606" s="313"/>
      <c r="D606" s="313"/>
      <c r="E606" s="313"/>
      <c r="F606" s="310"/>
      <c r="G606" s="312"/>
      <c r="H606" s="313"/>
      <c r="I606" s="313"/>
      <c r="J606" s="313"/>
      <c r="K606" s="313"/>
      <c r="L606" s="312"/>
      <c r="M606" s="313"/>
      <c r="N606" s="313"/>
      <c r="O606" s="311"/>
      <c r="P606" s="313"/>
      <c r="Q606" s="313"/>
      <c r="R606" s="313"/>
      <c r="S606" s="311"/>
      <c r="T606" s="314">
        <v>17.0</v>
      </c>
      <c r="U606" s="313"/>
      <c r="V606" s="313"/>
      <c r="W606" s="313"/>
    </row>
    <row r="607" ht="15.0" customHeight="1">
      <c r="A607" s="317" t="s">
        <v>884</v>
      </c>
      <c r="B607" s="313"/>
      <c r="C607" s="313"/>
      <c r="D607" s="313"/>
      <c r="E607" s="313"/>
      <c r="F607" s="310"/>
      <c r="G607" s="312"/>
      <c r="H607" s="313"/>
      <c r="I607" s="313"/>
      <c r="J607" s="313"/>
      <c r="K607" s="313"/>
      <c r="L607" s="312"/>
      <c r="M607" s="313"/>
      <c r="N607" s="313"/>
      <c r="O607" s="311"/>
      <c r="P607" s="313"/>
      <c r="Q607" s="313"/>
      <c r="R607" s="313"/>
      <c r="S607" s="311"/>
      <c r="T607" s="314">
        <v>22.0</v>
      </c>
      <c r="U607" s="313"/>
      <c r="V607" s="313"/>
      <c r="W607" s="313"/>
    </row>
    <row r="608" ht="15.0" customHeight="1">
      <c r="A608" s="317" t="s">
        <v>885</v>
      </c>
      <c r="B608" s="313"/>
      <c r="C608" s="313"/>
      <c r="D608" s="313"/>
      <c r="E608" s="313"/>
      <c r="F608" s="310"/>
      <c r="G608" s="312"/>
      <c r="H608" s="313"/>
      <c r="I608" s="313"/>
      <c r="J608" s="313"/>
      <c r="K608" s="313"/>
      <c r="L608" s="312"/>
      <c r="M608" s="313"/>
      <c r="N608" s="313"/>
      <c r="O608" s="311"/>
      <c r="P608" s="313"/>
      <c r="Q608" s="313"/>
      <c r="R608" s="313"/>
      <c r="S608" s="311"/>
      <c r="T608" s="314">
        <v>26.0</v>
      </c>
      <c r="U608" s="313"/>
      <c r="V608" s="313"/>
      <c r="W608" s="313"/>
    </row>
    <row r="609" ht="15.0" customHeight="1">
      <c r="A609" s="317" t="s">
        <v>886</v>
      </c>
      <c r="B609" s="313"/>
      <c r="C609" s="313"/>
      <c r="D609" s="313"/>
      <c r="E609" s="313"/>
      <c r="F609" s="310"/>
      <c r="G609" s="312"/>
      <c r="H609" s="313"/>
      <c r="I609" s="313"/>
      <c r="J609" s="313"/>
      <c r="K609" s="313"/>
      <c r="L609" s="312"/>
      <c r="M609" s="313"/>
      <c r="N609" s="313"/>
      <c r="O609" s="311"/>
      <c r="P609" s="313"/>
      <c r="Q609" s="313"/>
      <c r="R609" s="313"/>
      <c r="S609" s="311"/>
      <c r="T609" s="314">
        <v>30.0</v>
      </c>
      <c r="U609" s="313"/>
      <c r="V609" s="313"/>
      <c r="W609" s="313"/>
    </row>
    <row r="610" ht="15.0" customHeight="1">
      <c r="A610" s="317"/>
      <c r="B610" s="313"/>
      <c r="C610" s="313"/>
      <c r="D610" s="313"/>
      <c r="E610" s="313"/>
      <c r="F610" s="310"/>
      <c r="G610" s="312"/>
      <c r="H610" s="313"/>
      <c r="I610" s="313"/>
      <c r="J610" s="313"/>
      <c r="K610" s="313"/>
      <c r="L610" s="312"/>
      <c r="M610" s="313"/>
      <c r="N610" s="313"/>
      <c r="O610" s="311"/>
      <c r="P610" s="313"/>
      <c r="Q610" s="313"/>
      <c r="R610" s="313"/>
      <c r="S610" s="311"/>
      <c r="T610" s="312"/>
      <c r="U610" s="313"/>
      <c r="V610" s="313"/>
      <c r="W610" s="313"/>
    </row>
    <row r="611" ht="15.0" customHeight="1">
      <c r="A611" s="346" t="s">
        <v>887</v>
      </c>
      <c r="B611" s="313"/>
      <c r="C611" s="313"/>
      <c r="D611" s="313"/>
      <c r="E611" s="313"/>
      <c r="F611" s="310"/>
      <c r="G611" s="312"/>
      <c r="H611" s="313"/>
      <c r="I611" s="313"/>
      <c r="J611" s="313"/>
      <c r="K611" s="313"/>
      <c r="L611" s="312"/>
      <c r="M611" s="313"/>
      <c r="N611" s="313"/>
      <c r="O611" s="311"/>
      <c r="P611" s="313"/>
      <c r="Q611" s="313"/>
      <c r="R611" s="313"/>
      <c r="S611" s="311"/>
      <c r="T611" s="308">
        <v>30.0</v>
      </c>
      <c r="U611" s="313"/>
      <c r="V611" s="313"/>
      <c r="W611" s="313"/>
    </row>
    <row r="612" ht="15.0" customHeight="1">
      <c r="A612" s="317" t="s">
        <v>888</v>
      </c>
      <c r="B612" s="313"/>
      <c r="C612" s="313"/>
      <c r="D612" s="313"/>
      <c r="E612" s="313"/>
      <c r="F612" s="310"/>
      <c r="G612" s="312"/>
      <c r="H612" s="313"/>
      <c r="I612" s="313"/>
      <c r="J612" s="313"/>
      <c r="K612" s="313"/>
      <c r="L612" s="312"/>
      <c r="M612" s="313"/>
      <c r="N612" s="313"/>
      <c r="O612" s="311"/>
      <c r="P612" s="313"/>
      <c r="Q612" s="313"/>
      <c r="R612" s="313"/>
      <c r="S612" s="311"/>
      <c r="T612" s="308">
        <v>30.0</v>
      </c>
      <c r="U612" s="313"/>
      <c r="V612" s="313"/>
      <c r="W612" s="313"/>
    </row>
    <row r="613" ht="15.0" customHeight="1">
      <c r="A613" s="346" t="s">
        <v>889</v>
      </c>
      <c r="B613" s="313"/>
      <c r="C613" s="313"/>
      <c r="D613" s="313"/>
      <c r="E613" s="313"/>
      <c r="F613" s="310"/>
      <c r="G613" s="312"/>
      <c r="H613" s="313"/>
      <c r="I613" s="313"/>
      <c r="J613" s="313"/>
      <c r="K613" s="313"/>
      <c r="L613" s="312"/>
      <c r="M613" s="313"/>
      <c r="N613" s="313"/>
      <c r="O613" s="311"/>
      <c r="P613" s="313"/>
      <c r="Q613" s="313"/>
      <c r="R613" s="313"/>
      <c r="S613" s="311"/>
      <c r="T613" s="308">
        <v>30.0</v>
      </c>
      <c r="U613" s="313"/>
      <c r="V613" s="313"/>
      <c r="W613" s="313"/>
    </row>
    <row r="614" ht="15.0" customHeight="1">
      <c r="A614" s="346" t="s">
        <v>176</v>
      </c>
      <c r="B614" s="313"/>
      <c r="C614" s="313"/>
      <c r="D614" s="313"/>
      <c r="E614" s="313"/>
      <c r="F614" s="310"/>
      <c r="G614" s="312"/>
      <c r="H614" s="313"/>
      <c r="I614" s="313"/>
      <c r="J614" s="313"/>
      <c r="K614" s="313"/>
      <c r="L614" s="312"/>
      <c r="M614" s="313"/>
      <c r="N614" s="313"/>
      <c r="O614" s="311"/>
      <c r="P614" s="313"/>
      <c r="Q614" s="313"/>
      <c r="R614" s="313"/>
      <c r="S614" s="311"/>
      <c r="T614" s="308" t="s">
        <v>890</v>
      </c>
      <c r="U614" s="313"/>
      <c r="V614" s="313"/>
      <c r="W614" s="313"/>
    </row>
    <row r="615" ht="15.0" customHeight="1">
      <c r="A615" s="317" t="s">
        <v>891</v>
      </c>
      <c r="B615" s="313"/>
      <c r="C615" s="313"/>
      <c r="D615" s="313"/>
      <c r="E615" s="313"/>
      <c r="F615" s="310"/>
      <c r="G615" s="312"/>
      <c r="H615" s="313"/>
      <c r="I615" s="313"/>
      <c r="J615" s="313"/>
      <c r="K615" s="313"/>
      <c r="L615" s="312"/>
      <c r="M615" s="313"/>
      <c r="N615" s="313"/>
      <c r="O615" s="311"/>
      <c r="P615" s="313"/>
      <c r="Q615" s="313"/>
      <c r="R615" s="313"/>
      <c r="S615" s="311"/>
      <c r="T615" s="308">
        <v>25.0</v>
      </c>
      <c r="U615" s="313"/>
      <c r="V615" s="313"/>
      <c r="W615" s="313"/>
    </row>
    <row r="616" ht="15.0" customHeight="1">
      <c r="A616" s="317" t="s">
        <v>892</v>
      </c>
      <c r="B616" s="313"/>
      <c r="C616" s="313"/>
      <c r="D616" s="313"/>
      <c r="E616" s="313"/>
      <c r="F616" s="310"/>
      <c r="G616" s="312"/>
      <c r="H616" s="313"/>
      <c r="I616" s="313"/>
      <c r="J616" s="313"/>
      <c r="K616" s="313"/>
      <c r="L616" s="312"/>
      <c r="M616" s="313"/>
      <c r="N616" s="313"/>
      <c r="O616" s="311"/>
      <c r="P616" s="313"/>
      <c r="Q616" s="313"/>
      <c r="R616" s="313"/>
      <c r="S616" s="311"/>
      <c r="T616" s="308">
        <v>15.0</v>
      </c>
      <c r="U616" s="313"/>
      <c r="V616" s="313"/>
      <c r="W616" s="313"/>
    </row>
    <row r="617" ht="15.0" customHeight="1">
      <c r="A617" s="304"/>
      <c r="B617" s="313"/>
      <c r="C617" s="313"/>
      <c r="D617" s="313"/>
      <c r="E617" s="313"/>
      <c r="F617" s="310"/>
      <c r="G617" s="312"/>
      <c r="H617" s="313"/>
      <c r="I617" s="313"/>
      <c r="J617" s="313"/>
      <c r="K617" s="313"/>
      <c r="L617" s="312"/>
      <c r="M617" s="313"/>
      <c r="N617" s="313"/>
      <c r="O617" s="311"/>
      <c r="P617" s="313"/>
      <c r="Q617" s="313"/>
      <c r="R617" s="313"/>
      <c r="S617" s="311"/>
      <c r="T617" s="312"/>
      <c r="U617" s="313"/>
      <c r="V617" s="313"/>
      <c r="W617" s="313"/>
    </row>
    <row r="618" ht="15.0" customHeight="1">
      <c r="A618" s="331"/>
      <c r="B618" s="338"/>
      <c r="C618" s="338"/>
      <c r="D618" s="338"/>
      <c r="E618" s="338"/>
      <c r="F618" s="334"/>
      <c r="G618" s="336"/>
      <c r="H618" s="338"/>
      <c r="I618" s="338"/>
      <c r="J618" s="338"/>
      <c r="K618" s="338"/>
      <c r="L618" s="336"/>
      <c r="M618" s="338"/>
      <c r="N618" s="338"/>
      <c r="O618" s="335"/>
      <c r="P618" s="338"/>
      <c r="Q618" s="338"/>
      <c r="R618" s="338"/>
      <c r="S618" s="335"/>
      <c r="T618" s="336"/>
      <c r="U618" s="338"/>
      <c r="V618" s="338"/>
      <c r="W618" s="338"/>
    </row>
    <row r="619" ht="15.0" customHeight="1">
      <c r="A619" s="304"/>
      <c r="B619" s="313"/>
      <c r="C619" s="313"/>
      <c r="D619" s="313"/>
      <c r="E619" s="313"/>
      <c r="F619" s="310"/>
      <c r="G619" s="312"/>
      <c r="H619" s="313"/>
      <c r="I619" s="313"/>
      <c r="J619" s="313"/>
      <c r="K619" s="313"/>
      <c r="L619" s="312"/>
      <c r="M619" s="313"/>
      <c r="N619" s="313"/>
      <c r="O619" s="311"/>
      <c r="P619" s="313"/>
      <c r="Q619" s="313"/>
      <c r="R619" s="313"/>
      <c r="S619" s="311"/>
      <c r="T619" s="312"/>
      <c r="U619" s="313"/>
      <c r="V619" s="313"/>
      <c r="W619" s="313"/>
    </row>
    <row r="620" ht="15.0" customHeight="1">
      <c r="A620" s="327" t="s">
        <v>893</v>
      </c>
      <c r="B620" s="315"/>
      <c r="C620" s="315"/>
      <c r="D620" s="315"/>
      <c r="E620" s="315">
        <v>-10.0</v>
      </c>
      <c r="F620" s="323">
        <v>14.0</v>
      </c>
      <c r="G620" s="315">
        <v>8.0</v>
      </c>
      <c r="H620" s="315">
        <v>7.0</v>
      </c>
      <c r="I620" s="315">
        <v>9.0</v>
      </c>
      <c r="J620" s="315">
        <v>12.0</v>
      </c>
      <c r="K620" s="323">
        <v>0.0</v>
      </c>
      <c r="L620" s="329"/>
      <c r="M620" s="315">
        <v>2.0</v>
      </c>
      <c r="N620" s="325"/>
      <c r="O620" s="326"/>
      <c r="P620" s="325"/>
      <c r="Q620" s="325"/>
      <c r="R620" s="325"/>
      <c r="S620" s="326"/>
      <c r="T620" s="325"/>
      <c r="U620" s="325"/>
      <c r="V620" s="325"/>
      <c r="W620" s="325"/>
    </row>
    <row r="621" ht="15.0" customHeight="1">
      <c r="A621" s="304" t="s">
        <v>894</v>
      </c>
      <c r="B621" s="309">
        <v>94.0</v>
      </c>
      <c r="C621" s="309">
        <v>78.0</v>
      </c>
      <c r="D621" s="309">
        <v>-2.0</v>
      </c>
      <c r="E621" s="313"/>
      <c r="F621" s="310"/>
      <c r="G621" s="312"/>
      <c r="H621" s="309">
        <v>2.0</v>
      </c>
      <c r="I621" s="309">
        <v>1.0</v>
      </c>
      <c r="J621" s="313"/>
      <c r="K621" s="313"/>
      <c r="L621" s="308">
        <v>101.0</v>
      </c>
      <c r="M621" s="313"/>
      <c r="N621" s="313"/>
      <c r="O621" s="311"/>
      <c r="P621" s="313"/>
      <c r="Q621" s="313"/>
      <c r="R621" s="313"/>
      <c r="S621" s="311"/>
      <c r="T621" s="312"/>
      <c r="U621" s="309">
        <v>6.0</v>
      </c>
      <c r="V621" s="309">
        <v>5.0</v>
      </c>
      <c r="W621" s="309"/>
    </row>
    <row r="622" ht="15.0" customHeight="1">
      <c r="A622" s="304" t="s">
        <v>895</v>
      </c>
      <c r="B622" s="309">
        <v>107.0</v>
      </c>
      <c r="C622" s="309">
        <v>124.0</v>
      </c>
      <c r="D622" s="309">
        <v>-2.0</v>
      </c>
      <c r="E622" s="313"/>
      <c r="F622" s="310"/>
      <c r="G622" s="312"/>
      <c r="H622" s="309">
        <v>3.0</v>
      </c>
      <c r="I622" s="309">
        <v>2.0</v>
      </c>
      <c r="J622" s="313"/>
      <c r="K622" s="313"/>
      <c r="L622" s="308">
        <v>120.0</v>
      </c>
      <c r="M622" s="313"/>
      <c r="N622" s="313"/>
      <c r="O622" s="311"/>
      <c r="P622" s="313"/>
      <c r="Q622" s="313"/>
      <c r="R622" s="313"/>
      <c r="S622" s="311"/>
      <c r="T622" s="312"/>
      <c r="U622" s="309">
        <v>5.0</v>
      </c>
      <c r="V622" s="309">
        <v>6.0</v>
      </c>
      <c r="W622" s="309"/>
    </row>
    <row r="623" ht="15.0" customHeight="1">
      <c r="A623" s="304" t="s">
        <v>896</v>
      </c>
      <c r="B623" s="309">
        <v>-4.0</v>
      </c>
      <c r="C623" s="309">
        <v>-4.0</v>
      </c>
      <c r="D623" s="309">
        <v>167.0</v>
      </c>
      <c r="E623" s="313"/>
      <c r="F623" s="310"/>
      <c r="G623" s="312"/>
      <c r="H623" s="313"/>
      <c r="I623" s="313"/>
      <c r="J623" s="313"/>
      <c r="K623" s="313"/>
      <c r="L623" s="308">
        <v>155.0</v>
      </c>
      <c r="M623" s="313"/>
      <c r="N623" s="313"/>
      <c r="O623" s="311"/>
      <c r="P623" s="313"/>
      <c r="Q623" s="313"/>
      <c r="R623" s="313"/>
      <c r="S623" s="311"/>
      <c r="T623" s="312"/>
      <c r="U623" s="309">
        <v>4.0</v>
      </c>
      <c r="V623" s="309">
        <v>9.0</v>
      </c>
      <c r="W623" s="309"/>
    </row>
    <row r="624" ht="15.0" customHeight="1">
      <c r="A624" s="304"/>
      <c r="B624" s="313"/>
      <c r="C624" s="313"/>
      <c r="D624" s="313"/>
      <c r="E624" s="313"/>
      <c r="F624" s="310"/>
      <c r="G624" s="312"/>
      <c r="H624" s="313"/>
      <c r="I624" s="313"/>
      <c r="J624" s="313"/>
      <c r="K624" s="313"/>
      <c r="L624" s="312"/>
      <c r="M624" s="313"/>
      <c r="N624" s="313"/>
      <c r="O624" s="311"/>
      <c r="P624" s="313"/>
      <c r="Q624" s="313"/>
      <c r="R624" s="313"/>
      <c r="S624" s="311"/>
      <c r="T624" s="312"/>
      <c r="U624" s="313"/>
      <c r="V624" s="313"/>
      <c r="W624" s="313"/>
    </row>
    <row r="625" ht="15.0" customHeight="1">
      <c r="A625" s="304"/>
      <c r="B625" s="313"/>
      <c r="C625" s="313"/>
      <c r="D625" s="313"/>
      <c r="E625" s="313"/>
      <c r="F625" s="310"/>
      <c r="G625" s="312"/>
      <c r="H625" s="313"/>
      <c r="I625" s="313"/>
      <c r="J625" s="313"/>
      <c r="K625" s="313"/>
      <c r="L625" s="312"/>
      <c r="M625" s="313"/>
      <c r="N625" s="313"/>
      <c r="O625" s="311"/>
      <c r="P625" s="313"/>
      <c r="Q625" s="313"/>
      <c r="R625" s="313"/>
      <c r="S625" s="311"/>
      <c r="T625" s="312"/>
      <c r="U625" s="313"/>
      <c r="V625" s="313"/>
      <c r="W625" s="313"/>
    </row>
    <row r="626" ht="15.0" customHeight="1">
      <c r="A626" s="304"/>
      <c r="B626" s="313"/>
      <c r="C626" s="313"/>
      <c r="D626" s="313"/>
      <c r="E626" s="313"/>
      <c r="F626" s="310"/>
      <c r="G626" s="312"/>
      <c r="H626" s="313"/>
      <c r="I626" s="313"/>
      <c r="J626" s="313"/>
      <c r="K626" s="313"/>
      <c r="L626" s="312"/>
      <c r="M626" s="313"/>
      <c r="N626" s="313"/>
      <c r="O626" s="311"/>
      <c r="P626" s="313"/>
      <c r="Q626" s="313"/>
      <c r="R626" s="313"/>
      <c r="S626" s="311"/>
      <c r="T626" s="312"/>
      <c r="U626" s="313"/>
      <c r="V626" s="313"/>
      <c r="W626" s="313"/>
    </row>
    <row r="627" ht="15.0" customHeight="1">
      <c r="A627" s="304"/>
      <c r="B627" s="313"/>
      <c r="C627" s="313"/>
      <c r="D627" s="313"/>
      <c r="E627" s="313"/>
      <c r="F627" s="310"/>
      <c r="G627" s="312"/>
      <c r="H627" s="313"/>
      <c r="I627" s="313"/>
      <c r="J627" s="313"/>
      <c r="K627" s="313"/>
      <c r="L627" s="312"/>
      <c r="M627" s="313"/>
      <c r="N627" s="313"/>
      <c r="O627" s="311"/>
      <c r="P627" s="313"/>
      <c r="Q627" s="313"/>
      <c r="R627" s="313"/>
      <c r="S627" s="311"/>
      <c r="T627" s="312"/>
      <c r="U627" s="313"/>
      <c r="V627" s="313"/>
      <c r="W627" s="313"/>
    </row>
    <row r="628" ht="15.0" customHeight="1">
      <c r="A628" s="304"/>
      <c r="B628" s="313"/>
      <c r="C628" s="313"/>
      <c r="D628" s="313"/>
      <c r="E628" s="313"/>
      <c r="F628" s="310"/>
      <c r="G628" s="312"/>
      <c r="H628" s="313"/>
      <c r="I628" s="313"/>
      <c r="J628" s="313"/>
      <c r="K628" s="313"/>
      <c r="L628" s="312"/>
      <c r="M628" s="313"/>
      <c r="N628" s="313"/>
      <c r="O628" s="311"/>
      <c r="P628" s="313"/>
      <c r="Q628" s="313"/>
      <c r="R628" s="313"/>
      <c r="S628" s="311"/>
      <c r="T628" s="312"/>
      <c r="U628" s="313"/>
      <c r="V628" s="313"/>
      <c r="W628" s="313"/>
    </row>
    <row r="629" ht="15.0" customHeight="1">
      <c r="A629" s="304"/>
      <c r="B629" s="313"/>
      <c r="C629" s="313"/>
      <c r="D629" s="313"/>
      <c r="E629" s="313"/>
      <c r="F629" s="310"/>
      <c r="G629" s="312"/>
      <c r="H629" s="313"/>
      <c r="I629" s="313"/>
      <c r="J629" s="313"/>
      <c r="K629" s="313"/>
      <c r="L629" s="312"/>
      <c r="M629" s="313"/>
      <c r="N629" s="313"/>
      <c r="O629" s="311"/>
      <c r="P629" s="313"/>
      <c r="Q629" s="313"/>
      <c r="R629" s="313"/>
      <c r="S629" s="311"/>
      <c r="T629" s="312"/>
      <c r="U629" s="313"/>
      <c r="V629" s="313"/>
      <c r="W629" s="313"/>
    </row>
    <row r="630" ht="15.0" customHeight="1">
      <c r="A630" s="304"/>
      <c r="B630" s="313"/>
      <c r="C630" s="313"/>
      <c r="D630" s="313"/>
      <c r="E630" s="313"/>
      <c r="F630" s="310"/>
      <c r="G630" s="312"/>
      <c r="H630" s="313"/>
      <c r="I630" s="313"/>
      <c r="J630" s="313"/>
      <c r="K630" s="313"/>
      <c r="L630" s="312"/>
      <c r="M630" s="313"/>
      <c r="N630" s="313"/>
      <c r="O630" s="311"/>
      <c r="P630" s="313"/>
      <c r="Q630" s="313"/>
      <c r="R630" s="313"/>
      <c r="S630" s="311"/>
      <c r="T630" s="312"/>
      <c r="U630" s="313"/>
      <c r="V630" s="313"/>
      <c r="W630" s="313"/>
    </row>
    <row r="631" ht="15.0" customHeight="1">
      <c r="A631" s="304"/>
      <c r="B631" s="313"/>
      <c r="C631" s="313"/>
      <c r="D631" s="313"/>
      <c r="E631" s="313"/>
      <c r="F631" s="310"/>
      <c r="G631" s="312"/>
      <c r="H631" s="313"/>
      <c r="I631" s="313"/>
      <c r="J631" s="313"/>
      <c r="K631" s="313"/>
      <c r="L631" s="312"/>
      <c r="M631" s="313"/>
      <c r="N631" s="313"/>
      <c r="O631" s="311"/>
      <c r="P631" s="313"/>
      <c r="Q631" s="313"/>
      <c r="R631" s="313"/>
      <c r="S631" s="311"/>
      <c r="T631" s="312"/>
      <c r="U631" s="313"/>
      <c r="V631" s="313"/>
      <c r="W631" s="313"/>
    </row>
    <row r="632" ht="15.0" customHeight="1">
      <c r="A632" s="304"/>
      <c r="B632" s="313"/>
      <c r="C632" s="313"/>
      <c r="D632" s="313"/>
      <c r="E632" s="313"/>
      <c r="F632" s="310"/>
      <c r="G632" s="312"/>
      <c r="H632" s="313"/>
      <c r="I632" s="313"/>
      <c r="J632" s="313"/>
      <c r="K632" s="313"/>
      <c r="L632" s="312"/>
      <c r="M632" s="313"/>
      <c r="N632" s="313"/>
      <c r="O632" s="311"/>
      <c r="P632" s="313"/>
      <c r="Q632" s="313"/>
      <c r="R632" s="313"/>
      <c r="S632" s="311"/>
      <c r="T632" s="312"/>
      <c r="U632" s="313"/>
      <c r="V632" s="313"/>
      <c r="W632" s="313"/>
    </row>
    <row r="633" ht="15.0" customHeight="1">
      <c r="A633" s="304"/>
      <c r="B633" s="313"/>
      <c r="C633" s="313"/>
      <c r="D633" s="313"/>
      <c r="E633" s="313"/>
      <c r="F633" s="310"/>
      <c r="G633" s="312"/>
      <c r="H633" s="313"/>
      <c r="I633" s="313"/>
      <c r="J633" s="313"/>
      <c r="K633" s="313"/>
      <c r="L633" s="312"/>
      <c r="M633" s="313"/>
      <c r="N633" s="313"/>
      <c r="O633" s="311"/>
      <c r="P633" s="313"/>
      <c r="Q633" s="313"/>
      <c r="R633" s="313"/>
      <c r="S633" s="311"/>
      <c r="T633" s="312"/>
      <c r="U633" s="313"/>
      <c r="V633" s="313"/>
      <c r="W633" s="313"/>
    </row>
    <row r="634" ht="15.0" customHeight="1">
      <c r="A634" s="304"/>
      <c r="B634" s="313"/>
      <c r="C634" s="313"/>
      <c r="D634" s="313"/>
      <c r="E634" s="313"/>
      <c r="F634" s="310"/>
      <c r="G634" s="312"/>
      <c r="H634" s="313"/>
      <c r="I634" s="313"/>
      <c r="J634" s="313"/>
      <c r="K634" s="313"/>
      <c r="L634" s="312"/>
      <c r="M634" s="313"/>
      <c r="N634" s="313"/>
      <c r="O634" s="311"/>
      <c r="P634" s="313"/>
      <c r="Q634" s="313"/>
      <c r="R634" s="313"/>
      <c r="S634" s="311"/>
      <c r="T634" s="312"/>
      <c r="U634" s="313"/>
      <c r="V634" s="313"/>
      <c r="W634" s="313"/>
    </row>
    <row r="635" ht="15.0" customHeight="1">
      <c r="A635" s="304"/>
      <c r="B635" s="313"/>
      <c r="C635" s="313"/>
      <c r="D635" s="313"/>
      <c r="E635" s="313"/>
      <c r="F635" s="310"/>
      <c r="G635" s="312"/>
      <c r="H635" s="313"/>
      <c r="I635" s="313"/>
      <c r="J635" s="313"/>
      <c r="K635" s="313"/>
      <c r="L635" s="312"/>
      <c r="M635" s="313"/>
      <c r="N635" s="313"/>
      <c r="O635" s="311"/>
      <c r="P635" s="313"/>
      <c r="Q635" s="313"/>
      <c r="R635" s="313"/>
      <c r="S635" s="311"/>
      <c r="T635" s="312"/>
      <c r="U635" s="313"/>
      <c r="V635" s="313"/>
      <c r="W635" s="313"/>
    </row>
    <row r="636" ht="15.0" customHeight="1">
      <c r="A636" s="304"/>
      <c r="B636" s="313"/>
      <c r="C636" s="313"/>
      <c r="D636" s="313"/>
      <c r="E636" s="313"/>
      <c r="F636" s="310"/>
      <c r="G636" s="312"/>
      <c r="H636" s="313"/>
      <c r="I636" s="313"/>
      <c r="J636" s="313"/>
      <c r="K636" s="313"/>
      <c r="L636" s="312"/>
      <c r="M636" s="313"/>
      <c r="N636" s="313"/>
      <c r="O636" s="311"/>
      <c r="P636" s="313"/>
      <c r="Q636" s="313"/>
      <c r="R636" s="313"/>
      <c r="S636" s="311"/>
      <c r="T636" s="312"/>
      <c r="U636" s="313"/>
      <c r="V636" s="313"/>
      <c r="W636" s="313"/>
    </row>
    <row r="637" ht="15.0" customHeight="1">
      <c r="A637" s="304"/>
      <c r="B637" s="313"/>
      <c r="C637" s="313"/>
      <c r="D637" s="313"/>
      <c r="E637" s="313"/>
      <c r="F637" s="310"/>
      <c r="G637" s="312"/>
      <c r="H637" s="313"/>
      <c r="I637" s="313"/>
      <c r="J637" s="313"/>
      <c r="K637" s="313"/>
      <c r="L637" s="312"/>
      <c r="M637" s="313"/>
      <c r="N637" s="313"/>
      <c r="O637" s="311"/>
      <c r="P637" s="313"/>
      <c r="Q637" s="313"/>
      <c r="R637" s="313"/>
      <c r="S637" s="311"/>
      <c r="T637" s="312"/>
      <c r="U637" s="313"/>
      <c r="V637" s="313"/>
      <c r="W637" s="313"/>
    </row>
    <row r="638" ht="15.0" customHeight="1">
      <c r="A638" s="304"/>
      <c r="B638" s="313"/>
      <c r="C638" s="313"/>
      <c r="D638" s="313"/>
      <c r="E638" s="313"/>
      <c r="F638" s="310"/>
      <c r="G638" s="312"/>
      <c r="H638" s="313"/>
      <c r="I638" s="313"/>
      <c r="J638" s="313"/>
      <c r="K638" s="313"/>
      <c r="L638" s="312"/>
      <c r="M638" s="313"/>
      <c r="N638" s="313"/>
      <c r="O638" s="311"/>
      <c r="P638" s="313"/>
      <c r="Q638" s="313"/>
      <c r="R638" s="313"/>
      <c r="S638" s="311"/>
      <c r="T638" s="312"/>
      <c r="U638" s="313"/>
      <c r="V638" s="313"/>
      <c r="W638" s="313"/>
    </row>
    <row r="639" ht="15.0" customHeight="1">
      <c r="A639" s="304"/>
      <c r="B639" s="313"/>
      <c r="C639" s="313"/>
      <c r="D639" s="313"/>
      <c r="E639" s="313"/>
      <c r="F639" s="310"/>
      <c r="G639" s="312"/>
      <c r="H639" s="313"/>
      <c r="I639" s="313"/>
      <c r="J639" s="313"/>
      <c r="K639" s="313"/>
      <c r="L639" s="312"/>
      <c r="M639" s="313"/>
      <c r="N639" s="313"/>
      <c r="O639" s="311"/>
      <c r="P639" s="313"/>
      <c r="Q639" s="313"/>
      <c r="R639" s="313"/>
      <c r="S639" s="311"/>
      <c r="T639" s="312"/>
      <c r="U639" s="313"/>
      <c r="V639" s="313"/>
      <c r="W639" s="313"/>
    </row>
    <row r="640" ht="15.0" customHeight="1">
      <c r="A640" s="304"/>
      <c r="B640" s="313"/>
      <c r="C640" s="313"/>
      <c r="D640" s="313"/>
      <c r="E640" s="313"/>
      <c r="F640" s="310"/>
      <c r="G640" s="312"/>
      <c r="H640" s="313"/>
      <c r="I640" s="313"/>
      <c r="J640" s="313"/>
      <c r="K640" s="313"/>
      <c r="L640" s="312"/>
      <c r="M640" s="313"/>
      <c r="N640" s="313"/>
      <c r="O640" s="311"/>
      <c r="P640" s="313"/>
      <c r="Q640" s="313"/>
      <c r="R640" s="313"/>
      <c r="S640" s="311"/>
      <c r="T640" s="312"/>
      <c r="U640" s="313"/>
      <c r="V640" s="313"/>
      <c r="W640" s="313"/>
    </row>
    <row r="641" ht="15.0" customHeight="1">
      <c r="A641" s="304"/>
      <c r="B641" s="313"/>
      <c r="C641" s="313"/>
      <c r="D641" s="313"/>
      <c r="E641" s="313"/>
      <c r="F641" s="310"/>
      <c r="G641" s="312"/>
      <c r="H641" s="313"/>
      <c r="I641" s="313"/>
      <c r="J641" s="313"/>
      <c r="K641" s="313"/>
      <c r="L641" s="312"/>
      <c r="M641" s="313"/>
      <c r="N641" s="313"/>
      <c r="O641" s="311"/>
      <c r="P641" s="313"/>
      <c r="Q641" s="313"/>
      <c r="R641" s="313"/>
      <c r="S641" s="311"/>
      <c r="T641" s="312"/>
      <c r="U641" s="313"/>
      <c r="V641" s="313"/>
      <c r="W641" s="313"/>
    </row>
    <row r="642" ht="15.0" customHeight="1">
      <c r="A642" s="304"/>
      <c r="B642" s="313"/>
      <c r="C642" s="313"/>
      <c r="D642" s="313"/>
      <c r="E642" s="313"/>
      <c r="F642" s="310"/>
      <c r="G642" s="312"/>
      <c r="H642" s="313"/>
      <c r="I642" s="313"/>
      <c r="J642" s="313"/>
      <c r="K642" s="313"/>
      <c r="L642" s="312"/>
      <c r="M642" s="313"/>
      <c r="N642" s="313"/>
      <c r="O642" s="311"/>
      <c r="P642" s="313"/>
      <c r="Q642" s="313"/>
      <c r="R642" s="313"/>
      <c r="S642" s="311"/>
      <c r="T642" s="312"/>
      <c r="U642" s="313"/>
      <c r="V642" s="313"/>
      <c r="W642" s="313"/>
    </row>
    <row r="643" ht="15.0" customHeight="1">
      <c r="A643" s="304"/>
      <c r="B643" s="313"/>
      <c r="C643" s="313"/>
      <c r="D643" s="313"/>
      <c r="E643" s="313"/>
      <c r="F643" s="310"/>
      <c r="G643" s="312"/>
      <c r="H643" s="313"/>
      <c r="I643" s="313"/>
      <c r="J643" s="313"/>
      <c r="K643" s="313"/>
      <c r="L643" s="312"/>
      <c r="M643" s="313"/>
      <c r="N643" s="313"/>
      <c r="O643" s="311"/>
      <c r="P643" s="313"/>
      <c r="Q643" s="313"/>
      <c r="R643" s="313"/>
      <c r="S643" s="311"/>
      <c r="T643" s="312"/>
      <c r="U643" s="313"/>
      <c r="V643" s="313"/>
      <c r="W643" s="313"/>
    </row>
    <row r="644" ht="15.0" customHeight="1">
      <c r="A644" s="304"/>
      <c r="B644" s="313"/>
      <c r="C644" s="313"/>
      <c r="D644" s="313"/>
      <c r="E644" s="313"/>
      <c r="F644" s="310"/>
      <c r="G644" s="312"/>
      <c r="H644" s="313"/>
      <c r="I644" s="313"/>
      <c r="J644" s="313"/>
      <c r="K644" s="313"/>
      <c r="L644" s="312"/>
      <c r="M644" s="313"/>
      <c r="N644" s="313"/>
      <c r="O644" s="311"/>
      <c r="P644" s="313"/>
      <c r="Q644" s="313"/>
      <c r="R644" s="313"/>
      <c r="S644" s="311"/>
      <c r="T644" s="312"/>
      <c r="U644" s="313"/>
      <c r="V644" s="313"/>
      <c r="W644" s="313"/>
    </row>
    <row r="645" ht="15.0" customHeight="1">
      <c r="A645" s="304"/>
      <c r="B645" s="313"/>
      <c r="C645" s="313"/>
      <c r="D645" s="313"/>
      <c r="E645" s="313"/>
      <c r="F645" s="310"/>
      <c r="G645" s="312"/>
      <c r="H645" s="313"/>
      <c r="I645" s="313"/>
      <c r="J645" s="313"/>
      <c r="K645" s="313"/>
      <c r="L645" s="312"/>
      <c r="M645" s="313"/>
      <c r="N645" s="313"/>
      <c r="O645" s="311"/>
      <c r="P645" s="313"/>
      <c r="Q645" s="313"/>
      <c r="R645" s="313"/>
      <c r="S645" s="311"/>
      <c r="T645" s="312"/>
      <c r="U645" s="313"/>
      <c r="V645" s="313"/>
      <c r="W645" s="313"/>
    </row>
    <row r="646" ht="15.0" customHeight="1">
      <c r="A646" s="304"/>
      <c r="B646" s="313"/>
      <c r="C646" s="313"/>
      <c r="D646" s="313"/>
      <c r="E646" s="313"/>
      <c r="F646" s="310"/>
      <c r="G646" s="312"/>
      <c r="H646" s="313"/>
      <c r="I646" s="313"/>
      <c r="J646" s="313"/>
      <c r="K646" s="313"/>
      <c r="L646" s="312"/>
      <c r="M646" s="313"/>
      <c r="N646" s="313"/>
      <c r="O646" s="311"/>
      <c r="P646" s="313"/>
      <c r="Q646" s="313"/>
      <c r="R646" s="313"/>
      <c r="S646" s="311"/>
      <c r="T646" s="312"/>
      <c r="U646" s="313"/>
      <c r="V646" s="313"/>
      <c r="W646" s="313"/>
    </row>
    <row r="647" ht="15.0" customHeight="1">
      <c r="A647" s="304"/>
      <c r="B647" s="313"/>
      <c r="C647" s="313"/>
      <c r="D647" s="313"/>
      <c r="E647" s="313"/>
      <c r="F647" s="310"/>
      <c r="G647" s="312"/>
      <c r="H647" s="313"/>
      <c r="I647" s="313"/>
      <c r="J647" s="313"/>
      <c r="K647" s="313"/>
      <c r="L647" s="312"/>
      <c r="M647" s="313"/>
      <c r="N647" s="313"/>
      <c r="O647" s="311"/>
      <c r="P647" s="313"/>
      <c r="Q647" s="313"/>
      <c r="R647" s="313"/>
      <c r="S647" s="311"/>
      <c r="T647" s="312"/>
      <c r="U647" s="313"/>
      <c r="V647" s="313"/>
      <c r="W647" s="313"/>
    </row>
    <row r="648" ht="15.0" customHeight="1">
      <c r="A648" s="304"/>
      <c r="B648" s="313"/>
      <c r="C648" s="313"/>
      <c r="D648" s="313"/>
      <c r="E648" s="313"/>
      <c r="F648" s="310"/>
      <c r="G648" s="312"/>
      <c r="H648" s="313"/>
      <c r="I648" s="313"/>
      <c r="J648" s="313"/>
      <c r="K648" s="313"/>
      <c r="L648" s="312"/>
      <c r="M648" s="313"/>
      <c r="N648" s="313"/>
      <c r="O648" s="311"/>
      <c r="P648" s="313"/>
      <c r="Q648" s="313"/>
      <c r="R648" s="313"/>
      <c r="S648" s="311"/>
      <c r="T648" s="312"/>
      <c r="U648" s="313"/>
      <c r="V648" s="313"/>
      <c r="W648" s="313"/>
    </row>
    <row r="649" ht="15.0" customHeight="1">
      <c r="A649" s="304"/>
      <c r="B649" s="313"/>
      <c r="C649" s="313"/>
      <c r="D649" s="313"/>
      <c r="E649" s="313"/>
      <c r="F649" s="310"/>
      <c r="G649" s="312"/>
      <c r="H649" s="313"/>
      <c r="I649" s="313"/>
      <c r="J649" s="313"/>
      <c r="K649" s="313"/>
      <c r="L649" s="312"/>
      <c r="M649" s="313"/>
      <c r="N649" s="313"/>
      <c r="O649" s="311"/>
      <c r="P649" s="313"/>
      <c r="Q649" s="313"/>
      <c r="R649" s="313"/>
      <c r="S649" s="311"/>
      <c r="T649" s="312"/>
      <c r="U649" s="313"/>
      <c r="V649" s="313"/>
      <c r="W649" s="313"/>
    </row>
    <row r="650" ht="15.0" customHeight="1">
      <c r="A650" s="304"/>
      <c r="B650" s="313"/>
      <c r="C650" s="313"/>
      <c r="D650" s="313"/>
      <c r="E650" s="313"/>
      <c r="F650" s="310"/>
      <c r="G650" s="312"/>
      <c r="H650" s="313"/>
      <c r="I650" s="313"/>
      <c r="J650" s="313"/>
      <c r="K650" s="313"/>
      <c r="L650" s="312"/>
      <c r="M650" s="313"/>
      <c r="N650" s="313"/>
      <c r="O650" s="311"/>
      <c r="P650" s="313"/>
      <c r="Q650" s="313"/>
      <c r="R650" s="313"/>
      <c r="S650" s="311"/>
      <c r="T650" s="312"/>
      <c r="U650" s="313"/>
      <c r="V650" s="313"/>
      <c r="W650" s="313"/>
    </row>
    <row r="651" ht="15.0" customHeight="1">
      <c r="A651" s="304"/>
      <c r="B651" s="313"/>
      <c r="C651" s="313"/>
      <c r="D651" s="313"/>
      <c r="E651" s="313"/>
      <c r="F651" s="310"/>
      <c r="G651" s="312"/>
      <c r="H651" s="313"/>
      <c r="I651" s="313"/>
      <c r="J651" s="313"/>
      <c r="K651" s="313"/>
      <c r="L651" s="312"/>
      <c r="M651" s="313"/>
      <c r="N651" s="313"/>
      <c r="O651" s="311"/>
      <c r="P651" s="313"/>
      <c r="Q651" s="313"/>
      <c r="R651" s="313"/>
      <c r="S651" s="311"/>
      <c r="T651" s="312"/>
      <c r="U651" s="313"/>
      <c r="V651" s="313"/>
      <c r="W651" s="313"/>
    </row>
    <row r="652" ht="15.0" customHeight="1">
      <c r="A652" s="304"/>
      <c r="B652" s="313"/>
      <c r="C652" s="313"/>
      <c r="D652" s="313"/>
      <c r="E652" s="313"/>
      <c r="F652" s="310"/>
      <c r="G652" s="312"/>
      <c r="H652" s="313"/>
      <c r="I652" s="313"/>
      <c r="J652" s="313"/>
      <c r="K652" s="313"/>
      <c r="L652" s="312"/>
      <c r="M652" s="313"/>
      <c r="N652" s="313"/>
      <c r="O652" s="311"/>
      <c r="P652" s="313"/>
      <c r="Q652" s="313"/>
      <c r="R652" s="313"/>
      <c r="S652" s="311"/>
      <c r="T652" s="312"/>
      <c r="U652" s="313"/>
      <c r="V652" s="313"/>
      <c r="W652" s="313"/>
    </row>
    <row r="653" ht="15.0" customHeight="1">
      <c r="A653" s="304"/>
      <c r="B653" s="313"/>
      <c r="C653" s="313"/>
      <c r="D653" s="313"/>
      <c r="E653" s="313"/>
      <c r="F653" s="310"/>
      <c r="G653" s="312"/>
      <c r="H653" s="313"/>
      <c r="I653" s="313"/>
      <c r="J653" s="313"/>
      <c r="K653" s="313"/>
      <c r="L653" s="312"/>
      <c r="M653" s="313"/>
      <c r="N653" s="313"/>
      <c r="O653" s="311"/>
      <c r="P653" s="313"/>
      <c r="Q653" s="313"/>
      <c r="R653" s="313"/>
      <c r="S653" s="311"/>
      <c r="T653" s="312"/>
      <c r="U653" s="313"/>
      <c r="V653" s="313"/>
      <c r="W653" s="313"/>
    </row>
    <row r="654" ht="15.0" customHeight="1">
      <c r="A654" s="304"/>
      <c r="B654" s="313"/>
      <c r="C654" s="313"/>
      <c r="D654" s="313"/>
      <c r="E654" s="313"/>
      <c r="F654" s="310"/>
      <c r="G654" s="312"/>
      <c r="H654" s="313"/>
      <c r="I654" s="313"/>
      <c r="J654" s="313"/>
      <c r="K654" s="313"/>
      <c r="L654" s="312"/>
      <c r="M654" s="313"/>
      <c r="N654" s="313"/>
      <c r="O654" s="311"/>
      <c r="P654" s="313"/>
      <c r="Q654" s="313"/>
      <c r="R654" s="313"/>
      <c r="S654" s="311"/>
      <c r="T654" s="312"/>
      <c r="U654" s="313"/>
      <c r="V654" s="313"/>
      <c r="W654" s="313"/>
    </row>
    <row r="655" ht="15.0" customHeight="1">
      <c r="A655" s="304"/>
      <c r="B655" s="313"/>
      <c r="C655" s="313"/>
      <c r="D655" s="313"/>
      <c r="E655" s="313"/>
      <c r="F655" s="310"/>
      <c r="G655" s="312"/>
      <c r="H655" s="313"/>
      <c r="I655" s="313"/>
      <c r="J655" s="313"/>
      <c r="K655" s="313"/>
      <c r="L655" s="312"/>
      <c r="M655" s="313"/>
      <c r="N655" s="313"/>
      <c r="O655" s="311"/>
      <c r="P655" s="313"/>
      <c r="Q655" s="313"/>
      <c r="R655" s="313"/>
      <c r="S655" s="311"/>
      <c r="T655" s="312"/>
      <c r="U655" s="313"/>
      <c r="V655" s="313"/>
      <c r="W655" s="313"/>
    </row>
    <row r="656" ht="15.0" customHeight="1">
      <c r="A656" s="304"/>
      <c r="B656" s="313"/>
      <c r="C656" s="313"/>
      <c r="D656" s="313"/>
      <c r="E656" s="313"/>
      <c r="F656" s="310"/>
      <c r="G656" s="312"/>
      <c r="H656" s="313"/>
      <c r="I656" s="313"/>
      <c r="J656" s="313"/>
      <c r="K656" s="313"/>
      <c r="L656" s="312"/>
      <c r="M656" s="313"/>
      <c r="N656" s="313"/>
      <c r="O656" s="311"/>
      <c r="P656" s="313"/>
      <c r="Q656" s="313"/>
      <c r="R656" s="313"/>
      <c r="S656" s="311"/>
      <c r="T656" s="312"/>
      <c r="U656" s="313"/>
      <c r="V656" s="313"/>
      <c r="W656" s="313"/>
    </row>
    <row r="657" ht="15.0" customHeight="1">
      <c r="A657" s="304"/>
      <c r="B657" s="313"/>
      <c r="C657" s="313"/>
      <c r="D657" s="313"/>
      <c r="E657" s="313"/>
      <c r="F657" s="310"/>
      <c r="G657" s="312"/>
      <c r="H657" s="313"/>
      <c r="I657" s="313"/>
      <c r="J657" s="313"/>
      <c r="K657" s="313"/>
      <c r="L657" s="312"/>
      <c r="M657" s="313"/>
      <c r="N657" s="313"/>
      <c r="O657" s="311"/>
      <c r="P657" s="313"/>
      <c r="Q657" s="313"/>
      <c r="R657" s="313"/>
      <c r="S657" s="311"/>
      <c r="T657" s="312"/>
      <c r="U657" s="313"/>
      <c r="V657" s="313"/>
      <c r="W657" s="313"/>
    </row>
    <row r="658" ht="15.0" customHeight="1">
      <c r="A658" s="304"/>
      <c r="B658" s="313"/>
      <c r="C658" s="313"/>
      <c r="D658" s="313"/>
      <c r="E658" s="313"/>
      <c r="F658" s="310"/>
      <c r="G658" s="312"/>
      <c r="H658" s="313"/>
      <c r="I658" s="313"/>
      <c r="J658" s="313"/>
      <c r="K658" s="313"/>
      <c r="L658" s="312"/>
      <c r="M658" s="313"/>
      <c r="N658" s="313"/>
      <c r="O658" s="311"/>
      <c r="P658" s="313"/>
      <c r="Q658" s="313"/>
      <c r="R658" s="313"/>
      <c r="S658" s="311"/>
      <c r="T658" s="312"/>
      <c r="U658" s="313"/>
      <c r="V658" s="313"/>
      <c r="W658" s="313"/>
    </row>
    <row r="659" ht="15.0" customHeight="1">
      <c r="A659" s="304"/>
      <c r="B659" s="313"/>
      <c r="C659" s="313"/>
      <c r="D659" s="313"/>
      <c r="E659" s="313"/>
      <c r="F659" s="310"/>
      <c r="G659" s="312"/>
      <c r="H659" s="313"/>
      <c r="I659" s="313"/>
      <c r="J659" s="313"/>
      <c r="K659" s="313"/>
      <c r="L659" s="312"/>
      <c r="M659" s="313"/>
      <c r="N659" s="313"/>
      <c r="O659" s="311"/>
      <c r="P659" s="313"/>
      <c r="Q659" s="313"/>
      <c r="R659" s="313"/>
      <c r="S659" s="311"/>
      <c r="T659" s="312"/>
      <c r="U659" s="313"/>
      <c r="V659" s="313"/>
      <c r="W659" s="313"/>
    </row>
    <row r="660" ht="15.0" customHeight="1">
      <c r="A660" s="304"/>
      <c r="B660" s="313"/>
      <c r="C660" s="313"/>
      <c r="D660" s="313"/>
      <c r="E660" s="313"/>
      <c r="F660" s="310"/>
      <c r="G660" s="312"/>
      <c r="H660" s="313"/>
      <c r="I660" s="313"/>
      <c r="J660" s="313"/>
      <c r="K660" s="313"/>
      <c r="L660" s="312"/>
      <c r="M660" s="313"/>
      <c r="N660" s="313"/>
      <c r="O660" s="311"/>
      <c r="P660" s="313"/>
      <c r="Q660" s="313"/>
      <c r="R660" s="313"/>
      <c r="S660" s="311"/>
      <c r="T660" s="312"/>
      <c r="U660" s="313"/>
      <c r="V660" s="313"/>
      <c r="W660" s="313"/>
    </row>
    <row r="661" ht="15.0" customHeight="1">
      <c r="A661" s="304"/>
      <c r="B661" s="313"/>
      <c r="C661" s="313"/>
      <c r="D661" s="313"/>
      <c r="E661" s="313"/>
      <c r="F661" s="310"/>
      <c r="G661" s="312"/>
      <c r="H661" s="313"/>
      <c r="I661" s="313"/>
      <c r="J661" s="313"/>
      <c r="K661" s="313"/>
      <c r="L661" s="312"/>
      <c r="M661" s="313"/>
      <c r="N661" s="313"/>
      <c r="O661" s="311"/>
      <c r="P661" s="313"/>
      <c r="Q661" s="313"/>
      <c r="R661" s="313"/>
      <c r="S661" s="311"/>
      <c r="T661" s="312"/>
      <c r="U661" s="313"/>
      <c r="V661" s="313"/>
      <c r="W661" s="313"/>
    </row>
    <row r="662" ht="15.0" customHeight="1">
      <c r="A662" s="304"/>
      <c r="B662" s="313"/>
      <c r="C662" s="313"/>
      <c r="D662" s="313"/>
      <c r="E662" s="313"/>
      <c r="F662" s="310"/>
      <c r="G662" s="312"/>
      <c r="H662" s="313"/>
      <c r="I662" s="313"/>
      <c r="J662" s="313"/>
      <c r="K662" s="313"/>
      <c r="L662" s="312"/>
      <c r="M662" s="313"/>
      <c r="N662" s="313"/>
      <c r="O662" s="311"/>
      <c r="P662" s="313"/>
      <c r="Q662" s="313"/>
      <c r="R662" s="313"/>
      <c r="S662" s="311"/>
      <c r="T662" s="312"/>
      <c r="U662" s="313"/>
      <c r="V662" s="313"/>
      <c r="W662" s="313"/>
    </row>
    <row r="663" ht="15.0" customHeight="1">
      <c r="A663" s="304"/>
      <c r="B663" s="313"/>
      <c r="C663" s="313"/>
      <c r="D663" s="313"/>
      <c r="E663" s="313"/>
      <c r="F663" s="310"/>
      <c r="G663" s="312"/>
      <c r="H663" s="313"/>
      <c r="I663" s="313"/>
      <c r="J663" s="313"/>
      <c r="K663" s="313"/>
      <c r="L663" s="312"/>
      <c r="M663" s="313"/>
      <c r="N663" s="313"/>
      <c r="O663" s="311"/>
      <c r="P663" s="313"/>
      <c r="Q663" s="313"/>
      <c r="R663" s="313"/>
      <c r="S663" s="311"/>
      <c r="T663" s="312"/>
      <c r="U663" s="313"/>
      <c r="V663" s="313"/>
      <c r="W663" s="313"/>
    </row>
    <row r="664" ht="15.0" customHeight="1">
      <c r="A664" s="304"/>
      <c r="B664" s="313"/>
      <c r="C664" s="313"/>
      <c r="D664" s="313"/>
      <c r="E664" s="313"/>
      <c r="F664" s="310"/>
      <c r="G664" s="312"/>
      <c r="H664" s="313"/>
      <c r="I664" s="313"/>
      <c r="J664" s="313"/>
      <c r="K664" s="313"/>
      <c r="L664" s="312"/>
      <c r="M664" s="313"/>
      <c r="N664" s="313"/>
      <c r="O664" s="311"/>
      <c r="P664" s="313"/>
      <c r="Q664" s="313"/>
      <c r="R664" s="313"/>
      <c r="S664" s="311"/>
      <c r="T664" s="312"/>
      <c r="U664" s="313"/>
      <c r="V664" s="313"/>
      <c r="W664" s="313"/>
    </row>
    <row r="665" ht="15.0" customHeight="1">
      <c r="A665" s="304"/>
      <c r="B665" s="313"/>
      <c r="C665" s="313"/>
      <c r="D665" s="313"/>
      <c r="E665" s="313"/>
      <c r="F665" s="310"/>
      <c r="G665" s="312"/>
      <c r="H665" s="313"/>
      <c r="I665" s="313"/>
      <c r="J665" s="313"/>
      <c r="K665" s="313"/>
      <c r="L665" s="312"/>
      <c r="M665" s="313"/>
      <c r="N665" s="313"/>
      <c r="O665" s="311"/>
      <c r="P665" s="313"/>
      <c r="Q665" s="313"/>
      <c r="R665" s="313"/>
      <c r="S665" s="311"/>
      <c r="T665" s="312"/>
      <c r="U665" s="313"/>
      <c r="V665" s="313"/>
      <c r="W665" s="313"/>
    </row>
    <row r="666" ht="15.0" customHeight="1">
      <c r="A666" s="304"/>
      <c r="B666" s="313"/>
      <c r="C666" s="313"/>
      <c r="D666" s="313"/>
      <c r="E666" s="313"/>
      <c r="F666" s="310"/>
      <c r="G666" s="312"/>
      <c r="H666" s="313"/>
      <c r="I666" s="313"/>
      <c r="J666" s="313"/>
      <c r="K666" s="313"/>
      <c r="L666" s="312"/>
      <c r="M666" s="313"/>
      <c r="N666" s="313"/>
      <c r="O666" s="311"/>
      <c r="P666" s="313"/>
      <c r="Q666" s="313"/>
      <c r="R666" s="313"/>
      <c r="S666" s="311"/>
      <c r="T666" s="312"/>
      <c r="U666" s="313"/>
      <c r="V666" s="313"/>
      <c r="W666" s="313"/>
    </row>
    <row r="667" ht="15.0" customHeight="1">
      <c r="A667" s="304"/>
      <c r="B667" s="313"/>
      <c r="C667" s="313"/>
      <c r="D667" s="313"/>
      <c r="E667" s="313"/>
      <c r="F667" s="310"/>
      <c r="G667" s="312"/>
      <c r="H667" s="313"/>
      <c r="I667" s="313"/>
      <c r="J667" s="313"/>
      <c r="K667" s="313"/>
      <c r="L667" s="312"/>
      <c r="M667" s="313"/>
      <c r="N667" s="313"/>
      <c r="O667" s="311"/>
      <c r="P667" s="313"/>
      <c r="Q667" s="313"/>
      <c r="R667" s="313"/>
      <c r="S667" s="311"/>
      <c r="T667" s="312"/>
      <c r="U667" s="313"/>
      <c r="V667" s="313"/>
      <c r="W667" s="313"/>
    </row>
    <row r="668" ht="15.0" customHeight="1">
      <c r="A668" s="304"/>
      <c r="B668" s="313"/>
      <c r="C668" s="313"/>
      <c r="D668" s="313"/>
      <c r="E668" s="313"/>
      <c r="F668" s="310"/>
      <c r="G668" s="312"/>
      <c r="H668" s="313"/>
      <c r="I668" s="313"/>
      <c r="J668" s="313"/>
      <c r="K668" s="313"/>
      <c r="L668" s="312"/>
      <c r="M668" s="313"/>
      <c r="N668" s="313"/>
      <c r="O668" s="311"/>
      <c r="P668" s="313"/>
      <c r="Q668" s="313"/>
      <c r="R668" s="313"/>
      <c r="S668" s="311"/>
      <c r="T668" s="312"/>
      <c r="U668" s="313"/>
      <c r="V668" s="313"/>
      <c r="W668" s="313"/>
    </row>
    <row r="669" ht="15.0" customHeight="1">
      <c r="A669" s="304"/>
      <c r="B669" s="313"/>
      <c r="C669" s="313"/>
      <c r="D669" s="313"/>
      <c r="E669" s="313"/>
      <c r="F669" s="310"/>
      <c r="G669" s="312"/>
      <c r="H669" s="313"/>
      <c r="I669" s="313"/>
      <c r="J669" s="313"/>
      <c r="K669" s="313"/>
      <c r="L669" s="312"/>
      <c r="M669" s="313"/>
      <c r="N669" s="313"/>
      <c r="O669" s="311"/>
      <c r="P669" s="313"/>
      <c r="Q669" s="313"/>
      <c r="R669" s="313"/>
      <c r="S669" s="311"/>
      <c r="T669" s="312"/>
      <c r="U669" s="313"/>
      <c r="V669" s="313"/>
      <c r="W669" s="313"/>
    </row>
    <row r="670" ht="15.0" customHeight="1">
      <c r="A670" s="304"/>
      <c r="B670" s="313"/>
      <c r="C670" s="313"/>
      <c r="D670" s="313"/>
      <c r="E670" s="313"/>
      <c r="F670" s="310"/>
      <c r="G670" s="312"/>
      <c r="H670" s="313"/>
      <c r="I670" s="313"/>
      <c r="J670" s="313"/>
      <c r="K670" s="313"/>
      <c r="L670" s="312"/>
      <c r="M670" s="313"/>
      <c r="N670" s="313"/>
      <c r="O670" s="311"/>
      <c r="P670" s="313"/>
      <c r="Q670" s="313"/>
      <c r="R670" s="313"/>
      <c r="S670" s="311"/>
      <c r="T670" s="312"/>
      <c r="U670" s="313"/>
      <c r="V670" s="313"/>
      <c r="W670" s="313"/>
    </row>
    <row r="671" ht="15.0" customHeight="1">
      <c r="A671" s="304"/>
      <c r="B671" s="313"/>
      <c r="C671" s="313"/>
      <c r="D671" s="313"/>
      <c r="E671" s="313"/>
      <c r="F671" s="310"/>
      <c r="G671" s="312"/>
      <c r="H671" s="313"/>
      <c r="I671" s="313"/>
      <c r="J671" s="313"/>
      <c r="K671" s="313"/>
      <c r="L671" s="312"/>
      <c r="M671" s="313"/>
      <c r="N671" s="313"/>
      <c r="O671" s="311"/>
      <c r="P671" s="313"/>
      <c r="Q671" s="313"/>
      <c r="R671" s="313"/>
      <c r="S671" s="311"/>
      <c r="T671" s="312"/>
      <c r="U671" s="313"/>
      <c r="V671" s="313"/>
      <c r="W671" s="313"/>
    </row>
    <row r="672" ht="15.0" customHeight="1">
      <c r="A672" s="304"/>
      <c r="B672" s="313"/>
      <c r="C672" s="313"/>
      <c r="D672" s="313"/>
      <c r="E672" s="313"/>
      <c r="F672" s="310"/>
      <c r="G672" s="312"/>
      <c r="H672" s="313"/>
      <c r="I672" s="313"/>
      <c r="J672" s="313"/>
      <c r="K672" s="313"/>
      <c r="L672" s="312"/>
      <c r="M672" s="313"/>
      <c r="N672" s="313"/>
      <c r="O672" s="311"/>
      <c r="P672" s="313"/>
      <c r="Q672" s="313"/>
      <c r="R672" s="313"/>
      <c r="S672" s="311"/>
      <c r="T672" s="312"/>
      <c r="U672" s="313"/>
      <c r="V672" s="313"/>
      <c r="W672" s="313"/>
    </row>
    <row r="673" ht="15.0" customHeight="1">
      <c r="A673" s="304"/>
      <c r="B673" s="313"/>
      <c r="C673" s="313"/>
      <c r="D673" s="313"/>
      <c r="E673" s="313"/>
      <c r="F673" s="310"/>
      <c r="G673" s="312"/>
      <c r="H673" s="313"/>
      <c r="I673" s="313"/>
      <c r="J673" s="313"/>
      <c r="K673" s="313"/>
      <c r="L673" s="312"/>
      <c r="M673" s="313"/>
      <c r="N673" s="313"/>
      <c r="O673" s="311"/>
      <c r="P673" s="313"/>
      <c r="Q673" s="313"/>
      <c r="R673" s="313"/>
      <c r="S673" s="311"/>
      <c r="T673" s="312"/>
      <c r="U673" s="313"/>
      <c r="V673" s="313"/>
      <c r="W673" s="313"/>
    </row>
    <row r="674" ht="15.0" customHeight="1">
      <c r="A674" s="304"/>
      <c r="B674" s="313"/>
      <c r="C674" s="313"/>
      <c r="D674" s="313"/>
      <c r="E674" s="313"/>
      <c r="F674" s="310"/>
      <c r="G674" s="312"/>
      <c r="H674" s="313"/>
      <c r="I674" s="313"/>
      <c r="J674" s="313"/>
      <c r="K674" s="313"/>
      <c r="L674" s="312"/>
      <c r="M674" s="313"/>
      <c r="N674" s="313"/>
      <c r="O674" s="311"/>
      <c r="P674" s="313"/>
      <c r="Q674" s="313"/>
      <c r="R674" s="313"/>
      <c r="S674" s="311"/>
      <c r="T674" s="312"/>
      <c r="U674" s="313"/>
      <c r="V674" s="313"/>
      <c r="W674" s="313"/>
    </row>
    <row r="675" ht="15.0" customHeight="1">
      <c r="A675" s="304"/>
      <c r="B675" s="313"/>
      <c r="C675" s="313"/>
      <c r="D675" s="313"/>
      <c r="E675" s="313"/>
      <c r="F675" s="310"/>
      <c r="G675" s="312"/>
      <c r="H675" s="313"/>
      <c r="I675" s="313"/>
      <c r="J675" s="313"/>
      <c r="K675" s="313"/>
      <c r="L675" s="312"/>
      <c r="M675" s="313"/>
      <c r="N675" s="313"/>
      <c r="O675" s="311"/>
      <c r="P675" s="313"/>
      <c r="Q675" s="313"/>
      <c r="R675" s="313"/>
      <c r="S675" s="311"/>
      <c r="T675" s="312"/>
      <c r="U675" s="313"/>
      <c r="V675" s="313"/>
      <c r="W675" s="313"/>
    </row>
    <row r="676" ht="15.0" customHeight="1">
      <c r="A676" s="304"/>
      <c r="B676" s="313"/>
      <c r="C676" s="313"/>
      <c r="D676" s="313"/>
      <c r="E676" s="313"/>
      <c r="F676" s="310"/>
      <c r="G676" s="312"/>
      <c r="H676" s="313"/>
      <c r="I676" s="313"/>
      <c r="J676" s="313"/>
      <c r="K676" s="313"/>
      <c r="L676" s="312"/>
      <c r="M676" s="313"/>
      <c r="N676" s="313"/>
      <c r="O676" s="311"/>
      <c r="P676" s="313"/>
      <c r="Q676" s="313"/>
      <c r="R676" s="313"/>
      <c r="S676" s="311"/>
      <c r="T676" s="312"/>
      <c r="U676" s="313"/>
      <c r="V676" s="313"/>
      <c r="W676" s="313"/>
    </row>
    <row r="677" ht="15.0" customHeight="1">
      <c r="A677" s="304"/>
      <c r="B677" s="313"/>
      <c r="C677" s="313"/>
      <c r="D677" s="313"/>
      <c r="E677" s="313"/>
      <c r="F677" s="310"/>
      <c r="G677" s="312"/>
      <c r="H677" s="313"/>
      <c r="I677" s="313"/>
      <c r="J677" s="313"/>
      <c r="K677" s="313"/>
      <c r="L677" s="312"/>
      <c r="M677" s="313"/>
      <c r="N677" s="313"/>
      <c r="O677" s="311"/>
      <c r="P677" s="313"/>
      <c r="Q677" s="313"/>
      <c r="R677" s="313"/>
      <c r="S677" s="311"/>
      <c r="T677" s="312"/>
      <c r="U677" s="313"/>
      <c r="V677" s="313"/>
      <c r="W677" s="313"/>
    </row>
    <row r="678" ht="15.0" customHeight="1">
      <c r="A678" s="304"/>
      <c r="B678" s="313"/>
      <c r="C678" s="313"/>
      <c r="D678" s="313"/>
      <c r="E678" s="313"/>
      <c r="F678" s="310"/>
      <c r="G678" s="312"/>
      <c r="H678" s="313"/>
      <c r="I678" s="313"/>
      <c r="J678" s="313"/>
      <c r="K678" s="313"/>
      <c r="L678" s="312"/>
      <c r="M678" s="313"/>
      <c r="N678" s="313"/>
      <c r="O678" s="311"/>
      <c r="P678" s="313"/>
      <c r="Q678" s="313"/>
      <c r="R678" s="313"/>
      <c r="S678" s="311"/>
      <c r="T678" s="312"/>
      <c r="U678" s="313"/>
      <c r="V678" s="313"/>
      <c r="W678" s="313"/>
    </row>
    <row r="679" ht="15.0" customHeight="1">
      <c r="A679" s="304"/>
      <c r="B679" s="313"/>
      <c r="C679" s="313"/>
      <c r="D679" s="313"/>
      <c r="E679" s="313"/>
      <c r="F679" s="310"/>
      <c r="G679" s="312"/>
      <c r="H679" s="313"/>
      <c r="I679" s="313"/>
      <c r="J679" s="313"/>
      <c r="K679" s="313"/>
      <c r="L679" s="312"/>
      <c r="M679" s="313"/>
      <c r="N679" s="313"/>
      <c r="O679" s="311"/>
      <c r="P679" s="313"/>
      <c r="Q679" s="313"/>
      <c r="R679" s="313"/>
      <c r="S679" s="311"/>
      <c r="T679" s="312"/>
      <c r="U679" s="313"/>
      <c r="V679" s="313"/>
      <c r="W679" s="313"/>
    </row>
    <row r="680" ht="15.0" customHeight="1">
      <c r="A680" s="304"/>
      <c r="B680" s="313"/>
      <c r="C680" s="313"/>
      <c r="D680" s="313"/>
      <c r="E680" s="313"/>
      <c r="F680" s="310"/>
      <c r="G680" s="312"/>
      <c r="H680" s="313"/>
      <c r="I680" s="313"/>
      <c r="J680" s="313"/>
      <c r="K680" s="313"/>
      <c r="L680" s="312"/>
      <c r="M680" s="313"/>
      <c r="N680" s="313"/>
      <c r="O680" s="311"/>
      <c r="P680" s="313"/>
      <c r="Q680" s="313"/>
      <c r="R680" s="313"/>
      <c r="S680" s="311"/>
      <c r="T680" s="312"/>
      <c r="U680" s="313"/>
      <c r="V680" s="313"/>
      <c r="W680" s="313"/>
    </row>
    <row r="681" ht="15.0" customHeight="1">
      <c r="A681" s="304"/>
      <c r="B681" s="313"/>
      <c r="C681" s="313"/>
      <c r="D681" s="313"/>
      <c r="E681" s="313"/>
      <c r="F681" s="310"/>
      <c r="G681" s="312"/>
      <c r="H681" s="313"/>
      <c r="I681" s="313"/>
      <c r="J681" s="313"/>
      <c r="K681" s="313"/>
      <c r="L681" s="312"/>
      <c r="M681" s="313"/>
      <c r="N681" s="313"/>
      <c r="O681" s="311"/>
      <c r="P681" s="313"/>
      <c r="Q681" s="313"/>
      <c r="R681" s="313"/>
      <c r="S681" s="311"/>
      <c r="T681" s="312"/>
      <c r="U681" s="313"/>
      <c r="V681" s="313"/>
      <c r="W681" s="313"/>
    </row>
    <row r="682" ht="15.0" customHeight="1">
      <c r="A682" s="304"/>
      <c r="B682" s="313"/>
      <c r="C682" s="313"/>
      <c r="D682" s="313"/>
      <c r="E682" s="313"/>
      <c r="F682" s="310"/>
      <c r="G682" s="312"/>
      <c r="H682" s="313"/>
      <c r="I682" s="313"/>
      <c r="J682" s="313"/>
      <c r="K682" s="313"/>
      <c r="L682" s="312"/>
      <c r="M682" s="313"/>
      <c r="N682" s="313"/>
      <c r="O682" s="311"/>
      <c r="P682" s="313"/>
      <c r="Q682" s="313"/>
      <c r="R682" s="313"/>
      <c r="S682" s="311"/>
      <c r="T682" s="312"/>
      <c r="U682" s="313"/>
      <c r="V682" s="313"/>
      <c r="W682" s="313"/>
    </row>
    <row r="683" ht="15.0" customHeight="1">
      <c r="A683" s="304"/>
      <c r="B683" s="313"/>
      <c r="C683" s="313"/>
      <c r="D683" s="313"/>
      <c r="E683" s="313"/>
      <c r="F683" s="310"/>
      <c r="G683" s="312"/>
      <c r="H683" s="313"/>
      <c r="I683" s="313"/>
      <c r="J683" s="313"/>
      <c r="K683" s="313"/>
      <c r="L683" s="312"/>
      <c r="M683" s="313"/>
      <c r="N683" s="313"/>
      <c r="O683" s="311"/>
      <c r="P683" s="313"/>
      <c r="Q683" s="313"/>
      <c r="R683" s="313"/>
      <c r="S683" s="311"/>
      <c r="T683" s="312"/>
      <c r="U683" s="313"/>
      <c r="V683" s="313"/>
      <c r="W683" s="313"/>
    </row>
    <row r="684" ht="15.0" customHeight="1">
      <c r="A684" s="304"/>
      <c r="B684" s="313"/>
      <c r="C684" s="313"/>
      <c r="D684" s="313"/>
      <c r="E684" s="313"/>
      <c r="F684" s="310"/>
      <c r="G684" s="312"/>
      <c r="H684" s="313"/>
      <c r="I684" s="313"/>
      <c r="J684" s="313"/>
      <c r="K684" s="313"/>
      <c r="L684" s="312"/>
      <c r="M684" s="313"/>
      <c r="N684" s="313"/>
      <c r="O684" s="311"/>
      <c r="P684" s="313"/>
      <c r="Q684" s="313"/>
      <c r="R684" s="313"/>
      <c r="S684" s="311"/>
      <c r="T684" s="312"/>
      <c r="U684" s="313"/>
      <c r="V684" s="313"/>
      <c r="W684" s="313"/>
    </row>
    <row r="685" ht="15.0" customHeight="1">
      <c r="A685" s="304"/>
      <c r="B685" s="313"/>
      <c r="C685" s="313"/>
      <c r="D685" s="313"/>
      <c r="E685" s="313"/>
      <c r="F685" s="310"/>
      <c r="G685" s="312"/>
      <c r="H685" s="313"/>
      <c r="I685" s="313"/>
      <c r="J685" s="313"/>
      <c r="K685" s="313"/>
      <c r="L685" s="312"/>
      <c r="M685" s="313"/>
      <c r="N685" s="313"/>
      <c r="O685" s="311"/>
      <c r="P685" s="313"/>
      <c r="Q685" s="313"/>
      <c r="R685" s="313"/>
      <c r="S685" s="311"/>
      <c r="T685" s="312"/>
      <c r="U685" s="313"/>
      <c r="V685" s="313"/>
      <c r="W685" s="313"/>
    </row>
    <row r="686" ht="15.0" customHeight="1">
      <c r="A686" s="304"/>
      <c r="B686" s="313"/>
      <c r="C686" s="313"/>
      <c r="D686" s="313"/>
      <c r="E686" s="313"/>
      <c r="F686" s="310"/>
      <c r="G686" s="312"/>
      <c r="H686" s="313"/>
      <c r="I686" s="313"/>
      <c r="J686" s="313"/>
      <c r="K686" s="313"/>
      <c r="L686" s="312"/>
      <c r="M686" s="313"/>
      <c r="N686" s="313"/>
      <c r="O686" s="311"/>
      <c r="P686" s="313"/>
      <c r="Q686" s="313"/>
      <c r="R686" s="313"/>
      <c r="S686" s="311"/>
      <c r="T686" s="312"/>
      <c r="U686" s="313"/>
      <c r="V686" s="313"/>
      <c r="W686" s="313"/>
    </row>
    <row r="687" ht="15.0" customHeight="1">
      <c r="A687" s="304"/>
      <c r="B687" s="313"/>
      <c r="C687" s="313"/>
      <c r="D687" s="313"/>
      <c r="E687" s="313"/>
      <c r="F687" s="310"/>
      <c r="G687" s="312"/>
      <c r="H687" s="313"/>
      <c r="I687" s="313"/>
      <c r="J687" s="313"/>
      <c r="K687" s="313"/>
      <c r="L687" s="312"/>
      <c r="M687" s="313"/>
      <c r="N687" s="313"/>
      <c r="O687" s="311"/>
      <c r="P687" s="313"/>
      <c r="Q687" s="313"/>
      <c r="R687" s="313"/>
      <c r="S687" s="311"/>
      <c r="T687" s="312"/>
      <c r="U687" s="313"/>
      <c r="V687" s="313"/>
      <c r="W687" s="313"/>
    </row>
    <row r="688" ht="15.0" customHeight="1">
      <c r="A688" s="304"/>
      <c r="B688" s="313"/>
      <c r="C688" s="313"/>
      <c r="D688" s="313"/>
      <c r="E688" s="313"/>
      <c r="F688" s="310"/>
      <c r="G688" s="312"/>
      <c r="H688" s="313"/>
      <c r="I688" s="313"/>
      <c r="J688" s="313"/>
      <c r="K688" s="313"/>
      <c r="L688" s="312"/>
      <c r="M688" s="313"/>
      <c r="N688" s="313"/>
      <c r="O688" s="311"/>
      <c r="P688" s="313"/>
      <c r="Q688" s="313"/>
      <c r="R688" s="313"/>
      <c r="S688" s="311"/>
      <c r="T688" s="312"/>
      <c r="U688" s="313"/>
      <c r="V688" s="313"/>
      <c r="W688" s="313"/>
    </row>
    <row r="689" ht="15.0" customHeight="1">
      <c r="A689" s="304"/>
      <c r="B689" s="313"/>
      <c r="C689" s="313"/>
      <c r="D689" s="313"/>
      <c r="E689" s="313"/>
      <c r="F689" s="310"/>
      <c r="G689" s="312"/>
      <c r="H689" s="313"/>
      <c r="I689" s="313"/>
      <c r="J689" s="313"/>
      <c r="K689" s="313"/>
      <c r="L689" s="312"/>
      <c r="M689" s="313"/>
      <c r="N689" s="313"/>
      <c r="O689" s="311"/>
      <c r="P689" s="313"/>
      <c r="Q689" s="313"/>
      <c r="R689" s="313"/>
      <c r="S689" s="311"/>
      <c r="T689" s="312"/>
      <c r="U689" s="313"/>
      <c r="V689" s="313"/>
      <c r="W689" s="313"/>
    </row>
    <row r="690" ht="15.0" customHeight="1">
      <c r="A690" s="304"/>
      <c r="B690" s="313"/>
      <c r="C690" s="313"/>
      <c r="D690" s="313"/>
      <c r="E690" s="313"/>
      <c r="F690" s="310"/>
      <c r="G690" s="312"/>
      <c r="H690" s="313"/>
      <c r="I690" s="313"/>
      <c r="J690" s="313"/>
      <c r="K690" s="313"/>
      <c r="L690" s="312"/>
      <c r="M690" s="313"/>
      <c r="N690" s="313"/>
      <c r="O690" s="311"/>
      <c r="P690" s="313"/>
      <c r="Q690" s="313"/>
      <c r="R690" s="313"/>
      <c r="S690" s="311"/>
      <c r="T690" s="312"/>
      <c r="U690" s="313"/>
      <c r="V690" s="313"/>
      <c r="W690" s="313"/>
    </row>
    <row r="691" ht="15.0" customHeight="1">
      <c r="A691" s="304"/>
      <c r="B691" s="313"/>
      <c r="C691" s="313"/>
      <c r="D691" s="313"/>
      <c r="E691" s="313"/>
      <c r="F691" s="310"/>
      <c r="G691" s="312"/>
      <c r="H691" s="313"/>
      <c r="I691" s="313"/>
      <c r="J691" s="313"/>
      <c r="K691" s="313"/>
      <c r="L691" s="312"/>
      <c r="M691" s="313"/>
      <c r="N691" s="313"/>
      <c r="O691" s="311"/>
      <c r="P691" s="313"/>
      <c r="Q691" s="313"/>
      <c r="R691" s="313"/>
      <c r="S691" s="311"/>
      <c r="T691" s="312"/>
      <c r="U691" s="313"/>
      <c r="V691" s="313"/>
      <c r="W691" s="313"/>
    </row>
    <row r="692" ht="15.0" customHeight="1">
      <c r="A692" s="304"/>
      <c r="B692" s="313"/>
      <c r="C692" s="313"/>
      <c r="D692" s="313"/>
      <c r="E692" s="313"/>
      <c r="F692" s="310"/>
      <c r="G692" s="312"/>
      <c r="H692" s="313"/>
      <c r="I692" s="313"/>
      <c r="J692" s="313"/>
      <c r="K692" s="313"/>
      <c r="L692" s="312"/>
      <c r="M692" s="313"/>
      <c r="N692" s="313"/>
      <c r="O692" s="311"/>
      <c r="P692" s="313"/>
      <c r="Q692" s="313"/>
      <c r="R692" s="313"/>
      <c r="S692" s="311"/>
      <c r="T692" s="312"/>
      <c r="U692" s="313"/>
      <c r="V692" s="313"/>
      <c r="W692" s="313"/>
    </row>
    <row r="693" ht="15.0" customHeight="1">
      <c r="A693" s="304"/>
      <c r="B693" s="313"/>
      <c r="C693" s="313"/>
      <c r="D693" s="313"/>
      <c r="E693" s="313"/>
      <c r="F693" s="310"/>
      <c r="G693" s="312"/>
      <c r="H693" s="313"/>
      <c r="I693" s="313"/>
      <c r="J693" s="313"/>
      <c r="K693" s="313"/>
      <c r="L693" s="312"/>
      <c r="M693" s="313"/>
      <c r="N693" s="313"/>
      <c r="O693" s="311"/>
      <c r="P693" s="313"/>
      <c r="Q693" s="313"/>
      <c r="R693" s="313"/>
      <c r="S693" s="311"/>
      <c r="T693" s="312"/>
      <c r="U693" s="313"/>
      <c r="V693" s="313"/>
      <c r="W693" s="313"/>
    </row>
    <row r="694" ht="15.0" customHeight="1">
      <c r="A694" s="304"/>
      <c r="B694" s="313"/>
      <c r="C694" s="313"/>
      <c r="D694" s="313"/>
      <c r="E694" s="313"/>
      <c r="F694" s="310"/>
      <c r="G694" s="312"/>
      <c r="H694" s="313"/>
      <c r="I694" s="313"/>
      <c r="J694" s="313"/>
      <c r="K694" s="313"/>
      <c r="L694" s="312"/>
      <c r="M694" s="313"/>
      <c r="N694" s="313"/>
      <c r="O694" s="311"/>
      <c r="P694" s="313"/>
      <c r="Q694" s="313"/>
      <c r="R694" s="313"/>
      <c r="S694" s="311"/>
      <c r="T694" s="312"/>
      <c r="U694" s="313"/>
      <c r="V694" s="313"/>
      <c r="W694" s="313"/>
    </row>
    <row r="695" ht="15.0" customHeight="1">
      <c r="A695" s="304"/>
      <c r="B695" s="313"/>
      <c r="C695" s="313"/>
      <c r="D695" s="313"/>
      <c r="E695" s="313"/>
      <c r="F695" s="310"/>
      <c r="G695" s="312"/>
      <c r="H695" s="313"/>
      <c r="I695" s="313"/>
      <c r="J695" s="313"/>
      <c r="K695" s="313"/>
      <c r="L695" s="312"/>
      <c r="M695" s="313"/>
      <c r="N695" s="313"/>
      <c r="O695" s="311"/>
      <c r="P695" s="313"/>
      <c r="Q695" s="313"/>
      <c r="R695" s="313"/>
      <c r="S695" s="311"/>
      <c r="T695" s="312"/>
      <c r="U695" s="313"/>
      <c r="V695" s="313"/>
      <c r="W695" s="313"/>
    </row>
    <row r="696" ht="15.0" customHeight="1">
      <c r="A696" s="304"/>
      <c r="B696" s="313"/>
      <c r="C696" s="313"/>
      <c r="D696" s="313"/>
      <c r="E696" s="313"/>
      <c r="F696" s="310"/>
      <c r="G696" s="312"/>
      <c r="H696" s="313"/>
      <c r="I696" s="313"/>
      <c r="J696" s="313"/>
      <c r="K696" s="313"/>
      <c r="L696" s="312"/>
      <c r="M696" s="313"/>
      <c r="N696" s="313"/>
      <c r="O696" s="311"/>
      <c r="P696" s="313"/>
      <c r="Q696" s="313"/>
      <c r="R696" s="313"/>
      <c r="S696" s="311"/>
      <c r="T696" s="312"/>
      <c r="U696" s="313"/>
      <c r="V696" s="313"/>
      <c r="W696" s="313"/>
    </row>
    <row r="697" ht="15.0" customHeight="1">
      <c r="A697" s="304"/>
      <c r="B697" s="313"/>
      <c r="C697" s="313"/>
      <c r="D697" s="313"/>
      <c r="E697" s="313"/>
      <c r="F697" s="310"/>
      <c r="G697" s="312"/>
      <c r="H697" s="313"/>
      <c r="I697" s="313"/>
      <c r="J697" s="313"/>
      <c r="K697" s="313"/>
      <c r="L697" s="312"/>
      <c r="M697" s="313"/>
      <c r="N697" s="313"/>
      <c r="O697" s="311"/>
      <c r="P697" s="313"/>
      <c r="Q697" s="313"/>
      <c r="R697" s="313"/>
      <c r="S697" s="311"/>
      <c r="T697" s="312"/>
      <c r="U697" s="313"/>
      <c r="V697" s="313"/>
      <c r="W697" s="313"/>
    </row>
    <row r="698" ht="15.0" customHeight="1">
      <c r="A698" s="331"/>
      <c r="B698" s="338"/>
      <c r="C698" s="338"/>
      <c r="D698" s="338"/>
      <c r="E698" s="338"/>
      <c r="F698" s="334"/>
      <c r="G698" s="336"/>
      <c r="H698" s="338"/>
      <c r="I698" s="338"/>
      <c r="J698" s="338"/>
      <c r="K698" s="338"/>
      <c r="L698" s="336"/>
      <c r="M698" s="338"/>
      <c r="N698" s="338"/>
      <c r="O698" s="335"/>
      <c r="P698" s="338"/>
      <c r="Q698" s="338"/>
      <c r="R698" s="338"/>
      <c r="S698" s="335"/>
      <c r="T698" s="336"/>
      <c r="U698" s="338"/>
      <c r="V698" s="338"/>
      <c r="W698" s="338"/>
    </row>
  </sheetData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.29"/>
    <col customWidth="1" min="6" max="6" width="3.71"/>
  </cols>
  <sheetData>
    <row r="1">
      <c r="A1" s="347"/>
      <c r="B1" s="16"/>
      <c r="C1" s="16"/>
      <c r="D1" s="348" t="s">
        <v>66</v>
      </c>
      <c r="E1" s="348" t="s">
        <v>61</v>
      </c>
      <c r="F1" s="174"/>
      <c r="G1" s="349" t="s">
        <v>20</v>
      </c>
      <c r="H1" s="350" t="s">
        <v>39</v>
      </c>
      <c r="I1" s="351" t="s">
        <v>35</v>
      </c>
      <c r="J1" s="174"/>
    </row>
    <row r="2">
      <c r="A2" s="352"/>
      <c r="D2" s="353" t="str">
        <f>IF('Sheet 1'!E18=H1,H1,IF('Sheet 1'!E18=I1,I1,G1))</f>
        <v>Magic</v>
      </c>
      <c r="E2" s="353" t="str">
        <f>IF('Sheet 1'!E28=H1,H1,IF('Sheet 1'!E28=I1,I1,G1))</f>
        <v>Melee</v>
      </c>
      <c r="F2" s="174"/>
      <c r="G2" s="354" t="s">
        <v>897</v>
      </c>
      <c r="H2" s="283" t="s">
        <v>897</v>
      </c>
      <c r="I2" s="355" t="s">
        <v>897</v>
      </c>
      <c r="J2" s="174"/>
    </row>
    <row r="3">
      <c r="A3" s="352"/>
      <c r="C3" s="1" t="s">
        <v>898</v>
      </c>
      <c r="D3" s="174">
        <f t="shared" ref="D3:E3" si="1">SUM(D4:D41)</f>
        <v>36</v>
      </c>
      <c r="E3" s="356">
        <f t="shared" si="1"/>
        <v>36</v>
      </c>
      <c r="F3" s="282"/>
      <c r="G3" s="357" t="str">
        <f>'Sheet 1'!K6</f>
        <v>Piety</v>
      </c>
      <c r="H3" s="358"/>
      <c r="I3" s="359"/>
      <c r="J3" s="174"/>
    </row>
    <row r="4">
      <c r="A4" s="360" t="s">
        <v>899</v>
      </c>
      <c r="B4" s="282" t="s">
        <v>273</v>
      </c>
      <c r="C4" s="282">
        <v>0.0</v>
      </c>
      <c r="D4" s="174" t="str">
        <f t="shared" ref="D4:E4" si="2">IF(H$15=$B4,$C4,)</f>
        <v/>
      </c>
      <c r="E4" s="356" t="str">
        <f t="shared" si="2"/>
        <v/>
      </c>
      <c r="F4" s="282"/>
      <c r="G4" s="357" t="str">
        <f>IF(G3=$B$12,,IF(G3=$B$13,,'Sheet 1'!$K$7))</f>
        <v/>
      </c>
      <c r="H4" s="358"/>
      <c r="I4" s="359"/>
      <c r="J4" s="174"/>
    </row>
    <row r="5">
      <c r="A5" s="361"/>
      <c r="B5" s="157" t="s">
        <v>35</v>
      </c>
      <c r="C5" s="157">
        <v>12.0</v>
      </c>
      <c r="D5" s="174" t="str">
        <f t="shared" ref="D5:E5" si="3">IF(H$15=$B5,$C5,)</f>
        <v/>
      </c>
      <c r="E5" s="356" t="str">
        <f t="shared" si="3"/>
        <v/>
      </c>
      <c r="F5" s="282"/>
      <c r="G5" s="357"/>
      <c r="H5" s="358" t="str">
        <f>'Sheet 1'!$K$10</f>
        <v>Rigour</v>
      </c>
      <c r="I5" s="359"/>
      <c r="J5" s="174"/>
    </row>
    <row r="6">
      <c r="A6" s="361"/>
      <c r="B6" s="157" t="s">
        <v>39</v>
      </c>
      <c r="C6" s="157">
        <v>12.0</v>
      </c>
      <c r="D6" s="174" t="str">
        <f t="shared" ref="D6:E6" si="4">IF(H$15=$B6,$C6,)</f>
        <v/>
      </c>
      <c r="E6" s="356" t="str">
        <f t="shared" si="4"/>
        <v/>
      </c>
      <c r="F6" s="282"/>
      <c r="G6" s="357"/>
      <c r="H6" s="358"/>
      <c r="I6" s="359" t="str">
        <f>'Sheet 1'!$K$9</f>
        <v>Augury</v>
      </c>
      <c r="J6" s="174"/>
    </row>
    <row r="7">
      <c r="A7" s="361"/>
      <c r="B7" s="157" t="s">
        <v>20</v>
      </c>
      <c r="C7" s="157">
        <v>12.0</v>
      </c>
      <c r="D7" s="174">
        <f t="shared" ref="D7:E7" si="5">IF(H$15=$B7,$C7,)</f>
        <v>12</v>
      </c>
      <c r="E7" s="356">
        <f t="shared" si="5"/>
        <v>12</v>
      </c>
      <c r="F7" s="282"/>
      <c r="G7" s="362" t="str">
        <f>IF(G3=$B$12,,IF(G3=$B$13,,'Sheet 1'!$K$8))</f>
        <v/>
      </c>
      <c r="H7" s="363" t="str">
        <f>IF(H5=$B$24,,'Sheet 1'!$K$8)</f>
        <v/>
      </c>
      <c r="I7" s="364" t="str">
        <f>IF(I6=$B$29,,'Sheet 1'!$K$8)</f>
        <v/>
      </c>
      <c r="J7" s="174"/>
    </row>
    <row r="8">
      <c r="A8" s="361"/>
      <c r="B8" s="157" t="s">
        <v>900</v>
      </c>
      <c r="C8" s="157">
        <v>3.0</v>
      </c>
      <c r="D8" s="174" t="str">
        <f t="shared" ref="D8:E8" si="6">IF(H$15=$B8,$C8,)</f>
        <v/>
      </c>
      <c r="E8" s="356" t="str">
        <f t="shared" si="6"/>
        <v/>
      </c>
      <c r="G8" s="365" t="s">
        <v>901</v>
      </c>
      <c r="H8" s="22"/>
      <c r="I8" s="23"/>
      <c r="J8" s="174"/>
    </row>
    <row r="9">
      <c r="A9" s="361"/>
      <c r="B9" s="282" t="s">
        <v>902</v>
      </c>
      <c r="C9" s="157">
        <v>6.0</v>
      </c>
      <c r="D9" s="174" t="str">
        <f t="shared" ref="D9:E9" si="7">IF(H$15=$B9,$C9,)</f>
        <v/>
      </c>
      <c r="E9" s="356" t="str">
        <f t="shared" si="7"/>
        <v/>
      </c>
      <c r="F9" s="282"/>
      <c r="G9" s="361"/>
      <c r="H9" s="282" t="str">
        <f t="array" ref="H9:H14">IF('Prayer drain'!D2='Prayer drain'!G1,'Prayer drain'!G2:G7,IF('Prayer drain'!D2='Prayer drain'!H1,'Prayer drain'!H2:H7,IF('Prayer drain'!D2='Prayer drain'!I1,'Prayer drain'!I2:I7)))</f>
        <v>Set x</v>
      </c>
      <c r="I9" s="366" t="str">
        <f t="array" ref="I9:I14">IF('Prayer drain'!E2='Prayer drain'!G1,'Prayer drain'!G2:G7,IF('Prayer drain'!E2='Prayer drain'!H1,'Prayer drain'!H2:H7,IF('Prayer drain'!E2='Prayer drain'!I1,'Prayer drain'!I2:I7)))</f>
        <v>Set x</v>
      </c>
      <c r="J9" s="174"/>
    </row>
    <row r="10">
      <c r="A10" s="361"/>
      <c r="B10" s="157" t="s">
        <v>903</v>
      </c>
      <c r="C10" s="157">
        <v>18.0</v>
      </c>
      <c r="D10" s="174" t="str">
        <f t="shared" ref="D10:E10" si="8">IF(H$15=$B10,$C10,)</f>
        <v/>
      </c>
      <c r="E10" s="356" t="str">
        <f t="shared" si="8"/>
        <v/>
      </c>
      <c r="F10" s="282"/>
      <c r="G10" s="360" t="s">
        <v>21</v>
      </c>
      <c r="H10" s="282"/>
      <c r="I10" s="366" t="s">
        <v>23</v>
      </c>
      <c r="J10" s="174"/>
    </row>
    <row r="11">
      <c r="A11" s="360" t="s">
        <v>21</v>
      </c>
      <c r="B11" s="282" t="s">
        <v>273</v>
      </c>
      <c r="C11" s="282">
        <v>0.0</v>
      </c>
      <c r="D11" s="174" t="str">
        <f t="shared" ref="D11:E11" si="9">IF(H$10=$B11,$C11,)</f>
        <v/>
      </c>
      <c r="E11" s="356" t="str">
        <f t="shared" si="9"/>
        <v/>
      </c>
      <c r="F11" s="282"/>
      <c r="G11" s="360" t="s">
        <v>27</v>
      </c>
      <c r="H11" s="282"/>
      <c r="I11" s="366"/>
      <c r="J11" s="174"/>
    </row>
    <row r="12">
      <c r="A12" s="361"/>
      <c r="B12" s="157" t="s">
        <v>23</v>
      </c>
      <c r="C12" s="157">
        <v>24.0</v>
      </c>
      <c r="D12" s="174" t="str">
        <f t="shared" ref="D12:E12" si="10">IF(H$10=$B12,$C12,)</f>
        <v/>
      </c>
      <c r="E12" s="356">
        <f t="shared" si="10"/>
        <v>24</v>
      </c>
      <c r="F12" s="282"/>
      <c r="G12" s="360" t="s">
        <v>39</v>
      </c>
      <c r="H12" s="282"/>
      <c r="I12" s="366"/>
      <c r="J12" s="174"/>
    </row>
    <row r="13">
      <c r="A13" s="361"/>
      <c r="B13" s="157" t="s">
        <v>279</v>
      </c>
      <c r="C13" s="157">
        <v>24.0</v>
      </c>
      <c r="D13" s="174" t="str">
        <f t="shared" ref="D13:E13" si="11">IF(H$10=$B13,$C13,)</f>
        <v/>
      </c>
      <c r="E13" s="356" t="str">
        <f t="shared" si="11"/>
        <v/>
      </c>
      <c r="F13" s="282"/>
      <c r="G13" s="360" t="s">
        <v>35</v>
      </c>
      <c r="H13" s="282" t="s">
        <v>37</v>
      </c>
      <c r="I13" s="366"/>
      <c r="J13" s="174"/>
    </row>
    <row r="14">
      <c r="A14" s="361"/>
      <c r="B14" s="284">
        <v>0.15</v>
      </c>
      <c r="C14" s="282">
        <v>12.0</v>
      </c>
      <c r="D14" s="174" t="str">
        <f t="shared" ref="D14:E14" si="12">IF(H$10=$B14,$C14,)</f>
        <v/>
      </c>
      <c r="E14" s="356" t="str">
        <f t="shared" si="12"/>
        <v/>
      </c>
      <c r="G14" s="360" t="s">
        <v>31</v>
      </c>
      <c r="H14" s="282"/>
      <c r="I14" s="366"/>
      <c r="J14" s="174"/>
    </row>
    <row r="15">
      <c r="A15" s="361"/>
      <c r="B15" s="284">
        <v>0.1</v>
      </c>
      <c r="C15" s="282">
        <v>6.0</v>
      </c>
      <c r="D15" s="174" t="str">
        <f t="shared" ref="D15:E15" si="13">IF(H$10=$B15,$C15,)</f>
        <v/>
      </c>
      <c r="E15" s="356" t="str">
        <f t="shared" si="13"/>
        <v/>
      </c>
      <c r="F15" s="131"/>
      <c r="G15" s="360" t="s">
        <v>899</v>
      </c>
      <c r="H15" s="282" t="str">
        <f>Input!AN7</f>
        <v>Melee</v>
      </c>
      <c r="I15" s="366" t="str">
        <f>Input!AQ7</f>
        <v>Melee</v>
      </c>
      <c r="J15" s="174"/>
    </row>
    <row r="16">
      <c r="A16" s="361"/>
      <c r="B16" s="284">
        <v>0.05</v>
      </c>
      <c r="C16" s="282">
        <v>3.0</v>
      </c>
      <c r="D16" s="174" t="str">
        <f t="shared" ref="D16:E16" si="14">IF(H$10=$B16,$C16,)</f>
        <v/>
      </c>
      <c r="E16" s="356" t="str">
        <f t="shared" si="14"/>
        <v/>
      </c>
      <c r="F16" s="174"/>
      <c r="G16" s="367" t="s">
        <v>904</v>
      </c>
      <c r="H16" s="282" t="str">
        <f>Input!AN8</f>
        <v>Off</v>
      </c>
      <c r="I16" s="366" t="str">
        <f>Input!AQ8</f>
        <v/>
      </c>
      <c r="J16" s="174"/>
    </row>
    <row r="17">
      <c r="A17" s="368" t="s">
        <v>27</v>
      </c>
      <c r="B17" s="282" t="s">
        <v>273</v>
      </c>
      <c r="C17" s="282">
        <v>0.0</v>
      </c>
      <c r="D17" s="174" t="str">
        <f t="shared" ref="D17:E17" si="15">IF(H$11=$B17,$C17,)</f>
        <v/>
      </c>
      <c r="E17" s="356" t="str">
        <f t="shared" si="15"/>
        <v/>
      </c>
      <c r="F17" s="174"/>
      <c r="G17" s="367" t="s">
        <v>905</v>
      </c>
      <c r="H17" s="282" t="str">
        <f>Input!AN9</f>
        <v>Off</v>
      </c>
      <c r="I17" s="366" t="str">
        <f>Input!AQ9</f>
        <v/>
      </c>
      <c r="J17" s="174"/>
    </row>
    <row r="18">
      <c r="A18" s="352"/>
      <c r="B18" s="157" t="s">
        <v>23</v>
      </c>
      <c r="C18" s="157">
        <v>24.0</v>
      </c>
      <c r="D18" s="174" t="str">
        <f t="shared" ref="D18:E18" si="16">IF(H$11=$B18,$C18,)</f>
        <v/>
      </c>
      <c r="E18" s="356" t="str">
        <f t="shared" si="16"/>
        <v/>
      </c>
      <c r="F18" s="174"/>
      <c r="G18" s="367" t="s">
        <v>906</v>
      </c>
      <c r="H18" s="282" t="str">
        <f>Input!AN10</f>
        <v>Off</v>
      </c>
      <c r="I18" s="366" t="str">
        <f>Input!AQ10</f>
        <v/>
      </c>
      <c r="J18" s="174"/>
    </row>
    <row r="19">
      <c r="A19" s="352"/>
      <c r="B19" s="157" t="s">
        <v>279</v>
      </c>
      <c r="C19" s="157">
        <v>24.0</v>
      </c>
      <c r="D19" s="174" t="str">
        <f t="shared" ref="D19:E19" si="17">IF(H$11=$B19,$C19,)</f>
        <v/>
      </c>
      <c r="E19" s="356" t="str">
        <f t="shared" si="17"/>
        <v/>
      </c>
      <c r="F19" s="174"/>
      <c r="G19" s="369" t="s">
        <v>907</v>
      </c>
      <c r="H19" s="282" t="str">
        <f>Input!AN11</f>
        <v>Off</v>
      </c>
      <c r="I19" s="366" t="str">
        <f>Input!AQ11</f>
        <v/>
      </c>
      <c r="J19" s="174"/>
    </row>
    <row r="20">
      <c r="A20" s="361"/>
      <c r="B20" s="284">
        <v>0.15</v>
      </c>
      <c r="C20" s="282">
        <v>12.0</v>
      </c>
      <c r="D20" s="174" t="str">
        <f t="shared" ref="D20:E20" si="18">IF(H$11=$B20,$C20,)</f>
        <v/>
      </c>
      <c r="E20" s="356" t="str">
        <f t="shared" si="18"/>
        <v/>
      </c>
      <c r="F20" s="174"/>
      <c r="G20" s="370" t="s">
        <v>908</v>
      </c>
      <c r="H20" s="371">
        <f>'Sheet 1'!P51</f>
        <v>4</v>
      </c>
      <c r="I20" s="372">
        <f>'Sheet 1'!P71</f>
        <v>0</v>
      </c>
      <c r="J20" s="174"/>
    </row>
    <row r="21">
      <c r="A21" s="361"/>
      <c r="B21" s="284">
        <v>0.1</v>
      </c>
      <c r="C21" s="282">
        <v>6.0</v>
      </c>
      <c r="D21" s="174" t="str">
        <f t="shared" ref="D21:E21" si="19">IF(H$11=$B21,$C21,)</f>
        <v/>
      </c>
      <c r="E21" s="356" t="str">
        <f t="shared" si="19"/>
        <v/>
      </c>
      <c r="F21" s="174"/>
      <c r="G21" s="368" t="s">
        <v>16</v>
      </c>
      <c r="H21" s="174">
        <f t="shared" ref="H21:I21" si="20">D3</f>
        <v>36</v>
      </c>
      <c r="I21" s="356">
        <f t="shared" si="20"/>
        <v>36</v>
      </c>
      <c r="J21" s="174"/>
    </row>
    <row r="22">
      <c r="A22" s="361"/>
      <c r="B22" s="284">
        <v>0.05</v>
      </c>
      <c r="C22" s="282">
        <v>3.0</v>
      </c>
      <c r="D22" s="174" t="str">
        <f t="shared" ref="D22:E22" si="21">IF(H$11=$B22,$C22,)</f>
        <v/>
      </c>
      <c r="E22" s="356" t="str">
        <f t="shared" si="21"/>
        <v/>
      </c>
      <c r="F22" s="174"/>
      <c r="G22" s="361"/>
      <c r="H22" s="174"/>
      <c r="I22" s="356"/>
      <c r="J22" s="174"/>
    </row>
    <row r="23">
      <c r="A23" s="360" t="s">
        <v>39</v>
      </c>
      <c r="B23" s="282" t="s">
        <v>273</v>
      </c>
      <c r="C23" s="282">
        <v>0.0</v>
      </c>
      <c r="D23" s="174" t="str">
        <f t="shared" ref="D23:E23" si="22">IF(H$12=$B23,$C23,)</f>
        <v/>
      </c>
      <c r="E23" s="356" t="str">
        <f t="shared" si="22"/>
        <v/>
      </c>
      <c r="F23" s="174"/>
      <c r="G23" s="352"/>
      <c r="I23" s="43"/>
      <c r="J23" s="174"/>
    </row>
    <row r="24">
      <c r="A24" s="361"/>
      <c r="B24" s="157" t="s">
        <v>41</v>
      </c>
      <c r="C24" s="157">
        <v>24.0</v>
      </c>
      <c r="D24" s="174" t="str">
        <f t="shared" ref="D24:E24" si="23">IF(H$12=$B24,$C24,)</f>
        <v/>
      </c>
      <c r="E24" s="356" t="str">
        <f t="shared" si="23"/>
        <v/>
      </c>
      <c r="F24" s="174"/>
      <c r="G24" s="305" t="s">
        <v>909</v>
      </c>
      <c r="H24" s="174" t="str">
        <f t="shared" ref="H24:I24" si="24">IF(H21=0,,ROUND(60/((60+H20*2)/H21 * 0.6),2)&amp;" points")</f>
        <v>52.94 points</v>
      </c>
      <c r="I24" s="356" t="str">
        <f t="shared" si="24"/>
        <v>60 points</v>
      </c>
      <c r="J24" s="174"/>
    </row>
    <row r="25">
      <c r="A25" s="361"/>
      <c r="B25" s="284">
        <v>0.15</v>
      </c>
      <c r="C25" s="282">
        <v>12.0</v>
      </c>
      <c r="D25" s="174" t="str">
        <f t="shared" ref="D25:E25" si="25">IF(H$12=$B25,$C25,)</f>
        <v/>
      </c>
      <c r="E25" s="356" t="str">
        <f t="shared" si="25"/>
        <v/>
      </c>
      <c r="F25" s="174"/>
      <c r="G25" s="305" t="s">
        <v>910</v>
      </c>
      <c r="H25" s="373" t="str">
        <f t="shared" ref="H25:I25" si="26">IF(H21=0,,ROUND((60+H20*2)/H21 * 0.6,2)&amp;" sec")</f>
        <v>1.13 sec</v>
      </c>
      <c r="I25" s="356" t="str">
        <f t="shared" si="26"/>
        <v>1 sec</v>
      </c>
      <c r="J25" s="174"/>
    </row>
    <row r="26">
      <c r="A26" s="361"/>
      <c r="B26" s="284">
        <v>0.1</v>
      </c>
      <c r="C26" s="282">
        <v>6.0</v>
      </c>
      <c r="D26" s="174" t="str">
        <f t="shared" ref="D26:E26" si="27">IF(H$12=$B26,$C26,)</f>
        <v/>
      </c>
      <c r="E26" s="356" t="str">
        <f t="shared" si="27"/>
        <v/>
      </c>
      <c r="F26" s="174"/>
      <c r="G26" s="374" t="str">
        <f>'Sheet 1'!D13&amp;" pp used in:"</f>
        <v>99 pp used in:</v>
      </c>
      <c r="H26" s="375">
        <f>IF(H21=0,,TIME(0,0,(60+H20*2)/H21 * 0.6 *'Sheet 1'!$D13))</f>
        <v>0.001296296296</v>
      </c>
      <c r="I26" s="376">
        <f>IF(I21=0,,TIME(0,0,(60+I20*2)/I21 * 0.6 *'Sheet 1'!$D13))</f>
        <v>0.001145833333</v>
      </c>
      <c r="J26" s="174"/>
    </row>
    <row r="27">
      <c r="A27" s="361"/>
      <c r="B27" s="284">
        <v>0.05</v>
      </c>
      <c r="C27" s="282">
        <v>3.0</v>
      </c>
      <c r="D27" s="174" t="str">
        <f t="shared" ref="D27:E27" si="28">IF(H$12=$B27,$C27,)</f>
        <v/>
      </c>
      <c r="E27" s="356" t="str">
        <f t="shared" si="28"/>
        <v/>
      </c>
      <c r="F27" s="174"/>
      <c r="J27" s="174"/>
    </row>
    <row r="28">
      <c r="A28" s="360" t="s">
        <v>35</v>
      </c>
      <c r="B28" s="282" t="s">
        <v>273</v>
      </c>
      <c r="C28" s="282">
        <v>0.0</v>
      </c>
      <c r="D28" s="174" t="str">
        <f t="shared" ref="D28:E28" si="29">IF(H$13=$B28,$C28,)</f>
        <v/>
      </c>
      <c r="E28" s="356" t="str">
        <f t="shared" si="29"/>
        <v/>
      </c>
      <c r="F28" s="174"/>
      <c r="G28" s="373"/>
      <c r="H28" s="373"/>
      <c r="I28" s="373"/>
      <c r="J28" s="174"/>
    </row>
    <row r="29">
      <c r="A29" s="361"/>
      <c r="B29" s="157" t="s">
        <v>37</v>
      </c>
      <c r="C29" s="157">
        <v>24.0</v>
      </c>
      <c r="D29" s="174">
        <f t="shared" ref="D29:E29" si="30">IF(H$13=$B29,$C29,)</f>
        <v>24</v>
      </c>
      <c r="E29" s="356" t="str">
        <f t="shared" si="30"/>
        <v/>
      </c>
      <c r="F29" s="174"/>
      <c r="G29" s="162"/>
      <c r="H29" s="1"/>
      <c r="I29" s="162"/>
      <c r="J29" s="174"/>
    </row>
    <row r="30">
      <c r="A30" s="361"/>
      <c r="B30" s="284">
        <v>0.15</v>
      </c>
      <c r="C30" s="282">
        <v>12.0</v>
      </c>
      <c r="D30" s="174" t="str">
        <f t="shared" ref="D30:E30" si="31">IF(H$13=$B30,$C30,)</f>
        <v/>
      </c>
      <c r="E30" s="356" t="str">
        <f t="shared" si="31"/>
        <v/>
      </c>
      <c r="G30" s="162"/>
      <c r="H30" s="162"/>
      <c r="I30" s="162"/>
      <c r="J30" s="174"/>
    </row>
    <row r="31">
      <c r="A31" s="361"/>
      <c r="B31" s="284">
        <v>0.1</v>
      </c>
      <c r="C31" s="282">
        <v>6.0</v>
      </c>
      <c r="D31" s="174" t="str">
        <f t="shared" ref="D31:E31" si="32">IF(H$13=$B31,$C31,)</f>
        <v/>
      </c>
      <c r="E31" s="356" t="str">
        <f t="shared" si="32"/>
        <v/>
      </c>
      <c r="G31" s="162"/>
      <c r="H31" s="162"/>
      <c r="I31" s="162"/>
      <c r="J31" s="174"/>
    </row>
    <row r="32">
      <c r="A32" s="361"/>
      <c r="B32" s="284">
        <v>0.05</v>
      </c>
      <c r="C32" s="282">
        <v>3.0</v>
      </c>
      <c r="D32" s="174" t="str">
        <f t="shared" ref="D32:E32" si="33">IF(H$13=$B32,$C32,)</f>
        <v/>
      </c>
      <c r="E32" s="356" t="str">
        <f t="shared" si="33"/>
        <v/>
      </c>
      <c r="F32" s="174"/>
      <c r="G32" s="162"/>
      <c r="H32" s="162"/>
      <c r="I32" s="162"/>
      <c r="J32" s="174"/>
    </row>
    <row r="33">
      <c r="A33" s="360" t="s">
        <v>31</v>
      </c>
      <c r="B33" s="282" t="s">
        <v>273</v>
      </c>
      <c r="C33" s="282">
        <v>0.0</v>
      </c>
      <c r="D33" s="174" t="str">
        <f t="shared" ref="D33:E33" si="34">IF(H$14=$B33,$C33,)</f>
        <v/>
      </c>
      <c r="E33" s="356" t="str">
        <f t="shared" si="34"/>
        <v/>
      </c>
      <c r="F33" s="174"/>
      <c r="J33" s="282"/>
    </row>
    <row r="34">
      <c r="A34" s="361"/>
      <c r="B34" s="284">
        <v>0.15</v>
      </c>
      <c r="C34" s="282">
        <v>12.0</v>
      </c>
      <c r="D34" s="174" t="str">
        <f t="shared" ref="D34:E34" si="35">IF(H$14=$B34,$C34,)</f>
        <v/>
      </c>
      <c r="E34" s="356" t="str">
        <f t="shared" si="35"/>
        <v/>
      </c>
      <c r="F34" s="174"/>
      <c r="J34" s="174"/>
    </row>
    <row r="35">
      <c r="A35" s="361"/>
      <c r="B35" s="284">
        <v>0.1</v>
      </c>
      <c r="C35" s="282">
        <v>6.0</v>
      </c>
      <c r="D35" s="174" t="str">
        <f t="shared" ref="D35:E35" si="36">IF(H$14=$B35,$C35,)</f>
        <v/>
      </c>
      <c r="E35" s="356" t="str">
        <f t="shared" si="36"/>
        <v/>
      </c>
      <c r="F35" s="174"/>
      <c r="J35" s="174"/>
    </row>
    <row r="36">
      <c r="A36" s="361"/>
      <c r="B36" s="284">
        <v>0.05</v>
      </c>
      <c r="C36" s="282">
        <v>3.0</v>
      </c>
      <c r="D36" s="174" t="str">
        <f t="shared" ref="D36:E36" si="37">IF(H$14=$B36,$C36,)</f>
        <v/>
      </c>
      <c r="E36" s="356" t="str">
        <f t="shared" si="37"/>
        <v/>
      </c>
      <c r="F36" s="174"/>
      <c r="J36" s="174"/>
    </row>
    <row r="37">
      <c r="A37" s="361"/>
      <c r="B37" s="157" t="s">
        <v>904</v>
      </c>
      <c r="C37" s="157">
        <v>1.0</v>
      </c>
      <c r="D37" s="174" t="str">
        <f t="shared" ref="D37:E37" si="38">IF(H16="ON",$C37,)</f>
        <v/>
      </c>
      <c r="E37" s="356" t="str">
        <f t="shared" si="38"/>
        <v/>
      </c>
      <c r="F37" s="174"/>
      <c r="G37" s="174"/>
      <c r="H37" s="174"/>
      <c r="I37" s="174"/>
      <c r="J37" s="174"/>
    </row>
    <row r="38">
      <c r="A38" s="361"/>
      <c r="B38" s="157" t="s">
        <v>905</v>
      </c>
      <c r="C38" s="157">
        <v>2.0</v>
      </c>
      <c r="D38" s="174" t="str">
        <f t="shared" ref="D38:E38" si="39">IF(H17="ON",$C38,)</f>
        <v/>
      </c>
      <c r="E38" s="356" t="str">
        <f t="shared" si="39"/>
        <v/>
      </c>
      <c r="F38" s="174"/>
      <c r="G38" s="174"/>
      <c r="H38" s="174"/>
      <c r="I38" s="174"/>
      <c r="J38" s="174"/>
    </row>
    <row r="39">
      <c r="A39" s="361"/>
      <c r="B39" s="157" t="s">
        <v>906</v>
      </c>
      <c r="C39" s="157">
        <v>2.0</v>
      </c>
      <c r="D39" s="174" t="str">
        <f t="shared" ref="D39:E39" si="40">IF(H18="ON",$C39,)</f>
        <v/>
      </c>
      <c r="E39" s="356" t="str">
        <f t="shared" si="40"/>
        <v/>
      </c>
      <c r="F39" s="174"/>
      <c r="G39" s="174"/>
      <c r="H39" s="174"/>
      <c r="I39" s="174"/>
      <c r="J39" s="174"/>
    </row>
    <row r="40">
      <c r="A40" s="361"/>
      <c r="B40" s="157" t="s">
        <v>907</v>
      </c>
      <c r="C40" s="157">
        <v>2.0</v>
      </c>
      <c r="D40" s="174" t="str">
        <f t="shared" ref="D40:E40" si="41">IF(H19="ON",$C40,)</f>
        <v/>
      </c>
      <c r="E40" s="356" t="str">
        <f t="shared" si="41"/>
        <v/>
      </c>
      <c r="F40" s="174"/>
      <c r="G40" s="174"/>
      <c r="H40" s="174"/>
      <c r="I40" s="174"/>
      <c r="J40" s="174"/>
    </row>
    <row r="41">
      <c r="A41" s="377"/>
      <c r="B41" s="25"/>
      <c r="C41" s="25"/>
      <c r="D41" s="378"/>
      <c r="E41" s="379"/>
      <c r="F41" s="174"/>
      <c r="G41" s="174"/>
      <c r="H41" s="174"/>
      <c r="I41" s="174"/>
      <c r="J41" s="174"/>
    </row>
  </sheetData>
  <mergeCells count="1">
    <mergeCell ref="G8:I8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8.71"/>
    <col customWidth="1" min="2" max="2" width="13.57"/>
    <col customWidth="1" min="3" max="3" width="6.14"/>
    <col customWidth="1" min="4" max="12" width="4.71"/>
    <col customWidth="1" hidden="1" min="13" max="15" width="4.71"/>
    <col customWidth="1" min="16" max="29" width="4.71"/>
  </cols>
  <sheetData>
    <row r="1" ht="15.0" customHeight="1">
      <c r="A1" s="380"/>
      <c r="B1" s="380"/>
      <c r="C1" s="381"/>
      <c r="D1" s="382" t="s">
        <v>911</v>
      </c>
      <c r="L1" s="382" t="s">
        <v>912</v>
      </c>
      <c r="V1" s="382" t="s">
        <v>913</v>
      </c>
      <c r="Z1" s="43"/>
      <c r="AA1" s="382"/>
      <c r="AB1" s="380"/>
      <c r="AC1" s="380"/>
    </row>
    <row r="2" ht="22.5" customHeight="1">
      <c r="A2" s="383" t="s">
        <v>133</v>
      </c>
      <c r="B2" s="383" t="s">
        <v>914</v>
      </c>
      <c r="C2" s="383" t="s">
        <v>915</v>
      </c>
      <c r="D2" s="384" t="s">
        <v>916</v>
      </c>
      <c r="E2" s="383" t="s">
        <v>45</v>
      </c>
      <c r="F2" s="383" t="s">
        <v>917</v>
      </c>
      <c r="G2" s="383" t="s">
        <v>918</v>
      </c>
      <c r="H2" s="383" t="s">
        <v>919</v>
      </c>
      <c r="I2" s="383" t="s">
        <v>920</v>
      </c>
      <c r="J2" s="383" t="s">
        <v>921</v>
      </c>
      <c r="K2" s="385" t="s">
        <v>922</v>
      </c>
      <c r="L2" s="384" t="s">
        <v>343</v>
      </c>
      <c r="M2" s="383" t="s">
        <v>328</v>
      </c>
      <c r="N2" s="383" t="s">
        <v>329</v>
      </c>
      <c r="O2" s="383" t="s">
        <v>330</v>
      </c>
      <c r="P2" s="383" t="s">
        <v>923</v>
      </c>
      <c r="Q2" s="383" t="s">
        <v>337</v>
      </c>
      <c r="R2" s="383" t="s">
        <v>331</v>
      </c>
      <c r="S2" s="383" t="s">
        <v>924</v>
      </c>
      <c r="T2" s="383" t="s">
        <v>123</v>
      </c>
      <c r="U2" s="385" t="s">
        <v>124</v>
      </c>
      <c r="V2" s="384" t="s">
        <v>332</v>
      </c>
      <c r="W2" s="383" t="s">
        <v>333</v>
      </c>
      <c r="X2" s="383" t="s">
        <v>334</v>
      </c>
      <c r="Y2" s="383" t="s">
        <v>335</v>
      </c>
      <c r="Z2" s="385" t="s">
        <v>336</v>
      </c>
      <c r="AA2" s="384" t="s">
        <v>925</v>
      </c>
      <c r="AB2" s="383" t="s">
        <v>47</v>
      </c>
      <c r="AC2" s="383"/>
    </row>
    <row r="3">
      <c r="A3" s="306"/>
      <c r="B3" s="306"/>
      <c r="C3" s="386">
        <f>MAX(0,FLOOR(FLOOR((F3+G3+H3+E3)/4)*(FLOOR((V3+W3+X3)/3)+Q3+P3)/5120)/40)</f>
        <v>0</v>
      </c>
      <c r="D3" s="387">
        <v>0.0</v>
      </c>
      <c r="E3" s="388">
        <v>0.0</v>
      </c>
      <c r="F3" s="388">
        <v>0.0</v>
      </c>
      <c r="G3" s="388">
        <v>0.0</v>
      </c>
      <c r="H3" s="388">
        <v>0.0</v>
      </c>
      <c r="I3" s="388">
        <v>0.0</v>
      </c>
      <c r="J3" s="388">
        <v>0.0</v>
      </c>
      <c r="K3" s="389"/>
      <c r="L3" s="387"/>
      <c r="M3" s="388">
        <v>0.0</v>
      </c>
      <c r="N3" s="388">
        <v>0.0</v>
      </c>
      <c r="O3" s="388">
        <v>0.0</v>
      </c>
      <c r="P3" s="388">
        <v>0.0</v>
      </c>
      <c r="Q3" s="388">
        <v>0.0</v>
      </c>
      <c r="R3" s="388">
        <v>0.0</v>
      </c>
      <c r="S3" s="388"/>
      <c r="T3" s="388">
        <v>0.0</v>
      </c>
      <c r="U3" s="389"/>
      <c r="V3" s="387">
        <v>0.0</v>
      </c>
      <c r="W3" s="388">
        <v>0.0</v>
      </c>
      <c r="X3" s="388">
        <v>0.0</v>
      </c>
      <c r="Y3" s="388">
        <v>0.0</v>
      </c>
      <c r="Z3" s="389">
        <v>0.0</v>
      </c>
      <c r="AA3" s="305"/>
      <c r="AB3" s="306"/>
      <c r="AC3" s="306"/>
    </row>
    <row r="4">
      <c r="A4" s="306"/>
      <c r="B4" s="306"/>
      <c r="C4" s="390"/>
      <c r="D4" s="387"/>
      <c r="E4" s="388"/>
      <c r="F4" s="388"/>
      <c r="G4" s="391"/>
      <c r="H4" s="388"/>
      <c r="I4" s="391"/>
      <c r="J4" s="391"/>
      <c r="K4" s="392"/>
      <c r="L4" s="387"/>
      <c r="M4" s="388"/>
      <c r="N4" s="388"/>
      <c r="O4" s="388"/>
      <c r="P4" s="388"/>
      <c r="Q4" s="388"/>
      <c r="R4" s="388"/>
      <c r="S4" s="388"/>
      <c r="T4" s="388"/>
      <c r="U4" s="389"/>
      <c r="V4" s="393"/>
      <c r="W4" s="391"/>
      <c r="X4" s="391"/>
      <c r="Y4" s="391"/>
      <c r="Z4" s="392"/>
      <c r="AA4" s="394"/>
      <c r="AB4" s="395"/>
      <c r="AC4" s="395"/>
    </row>
    <row r="5">
      <c r="A5" s="396" t="s">
        <v>926</v>
      </c>
      <c r="B5" s="396"/>
      <c r="C5" s="386">
        <f t="shared" ref="C5:C482" si="1">MAX(0,FLOOR(FLOOR((F5+G5+H5+E5)/4)*(FLOOR((V5+W5+X5)/3)+Q5+P5)/5120)/40)</f>
        <v>0</v>
      </c>
      <c r="D5" s="397"/>
      <c r="E5" s="398"/>
      <c r="F5" s="398"/>
      <c r="G5" s="399"/>
      <c r="H5" s="398"/>
      <c r="I5" s="399"/>
      <c r="J5" s="399"/>
      <c r="K5" s="400"/>
      <c r="L5" s="397"/>
      <c r="M5" s="398"/>
      <c r="N5" s="398"/>
      <c r="O5" s="398"/>
      <c r="P5" s="398"/>
      <c r="Q5" s="398"/>
      <c r="R5" s="398"/>
      <c r="S5" s="398"/>
      <c r="T5" s="398"/>
      <c r="U5" s="401"/>
      <c r="V5" s="402"/>
      <c r="W5" s="399"/>
      <c r="X5" s="399"/>
      <c r="Y5" s="399"/>
      <c r="Z5" s="400"/>
      <c r="AA5" s="403"/>
      <c r="AB5" s="404"/>
      <c r="AC5" s="404"/>
    </row>
    <row r="6">
      <c r="A6" s="306" t="s">
        <v>927</v>
      </c>
      <c r="B6" s="306" t="s">
        <v>928</v>
      </c>
      <c r="C6" s="390">
        <f t="shared" si="1"/>
        <v>0</v>
      </c>
      <c r="D6" s="387">
        <v>96.0</v>
      </c>
      <c r="E6" s="388">
        <v>90.0</v>
      </c>
      <c r="F6" s="388">
        <v>1.0</v>
      </c>
      <c r="G6" s="388">
        <v>1.0</v>
      </c>
      <c r="H6" s="388">
        <v>90.0</v>
      </c>
      <c r="I6" s="388">
        <v>105.0</v>
      </c>
      <c r="J6" s="388">
        <v>1.0</v>
      </c>
      <c r="K6" s="389" t="s">
        <v>305</v>
      </c>
      <c r="L6" s="387">
        <v>4.0</v>
      </c>
      <c r="M6" s="388">
        <v>0.0</v>
      </c>
      <c r="N6" s="388">
        <v>0.0</v>
      </c>
      <c r="O6" s="388">
        <v>0.0</v>
      </c>
      <c r="P6" s="388">
        <v>0.0</v>
      </c>
      <c r="Q6" s="388">
        <v>0.0</v>
      </c>
      <c r="R6" s="388">
        <v>0.0</v>
      </c>
      <c r="S6" s="388"/>
      <c r="T6" s="388">
        <v>0.0</v>
      </c>
      <c r="U6" s="389">
        <v>0.0</v>
      </c>
      <c r="V6" s="387">
        <v>20.0</v>
      </c>
      <c r="W6" s="388">
        <v>20.0</v>
      </c>
      <c r="X6" s="388">
        <v>20.0</v>
      </c>
      <c r="Y6" s="388">
        <v>0.0</v>
      </c>
      <c r="Z6" s="389">
        <v>15.0</v>
      </c>
      <c r="AA6" s="305"/>
      <c r="AB6" s="306" t="s">
        <v>929</v>
      </c>
      <c r="AC6" s="306"/>
    </row>
    <row r="7">
      <c r="A7" s="306" t="s">
        <v>930</v>
      </c>
      <c r="B7" s="306" t="s">
        <v>928</v>
      </c>
      <c r="C7" s="390">
        <f t="shared" si="1"/>
        <v>0</v>
      </c>
      <c r="D7" s="387">
        <v>124.0</v>
      </c>
      <c r="E7" s="388">
        <v>150.0</v>
      </c>
      <c r="F7" s="388">
        <v>97.0</v>
      </c>
      <c r="G7" s="388">
        <v>67.0</v>
      </c>
      <c r="H7" s="388">
        <v>135.0</v>
      </c>
      <c r="I7" s="388">
        <v>1.0</v>
      </c>
      <c r="J7" s="388">
        <v>1.0</v>
      </c>
      <c r="K7" s="389" t="s">
        <v>300</v>
      </c>
      <c r="L7" s="387">
        <v>4.0</v>
      </c>
      <c r="M7" s="388">
        <v>0.0</v>
      </c>
      <c r="N7" s="388">
        <v>0.0</v>
      </c>
      <c r="O7" s="388">
        <v>0.0</v>
      </c>
      <c r="P7" s="388">
        <v>0.0</v>
      </c>
      <c r="Q7" s="388">
        <v>0.0</v>
      </c>
      <c r="R7" s="388">
        <v>0.0</v>
      </c>
      <c r="S7" s="388"/>
      <c r="T7" s="388">
        <v>0.0</v>
      </c>
      <c r="U7" s="389">
        <v>0.0</v>
      </c>
      <c r="V7" s="387">
        <v>20.0</v>
      </c>
      <c r="W7" s="388">
        <v>20.0</v>
      </c>
      <c r="X7" s="388">
        <v>20.0</v>
      </c>
      <c r="Y7" s="388">
        <v>0.0</v>
      </c>
      <c r="Z7" s="389">
        <v>20.0</v>
      </c>
      <c r="AA7" s="305"/>
      <c r="AB7" s="306" t="s">
        <v>931</v>
      </c>
      <c r="AC7" s="306"/>
    </row>
    <row r="8">
      <c r="A8" s="405" t="s">
        <v>932</v>
      </c>
      <c r="B8" s="405"/>
      <c r="C8" s="406">
        <f t="shared" si="1"/>
        <v>0.125</v>
      </c>
      <c r="D8" s="407">
        <v>350.0</v>
      </c>
      <c r="E8" s="408">
        <v>400.0</v>
      </c>
      <c r="F8" s="408">
        <v>180.0</v>
      </c>
      <c r="G8" s="408">
        <v>136.0</v>
      </c>
      <c r="H8" s="408">
        <v>250.0</v>
      </c>
      <c r="I8" s="408">
        <v>200.0</v>
      </c>
      <c r="J8" s="408">
        <v>1.0</v>
      </c>
      <c r="K8" s="409"/>
      <c r="L8" s="407"/>
      <c r="M8" s="408">
        <v>0.0</v>
      </c>
      <c r="N8" s="408">
        <v>0.0</v>
      </c>
      <c r="O8" s="408">
        <v>0.0</v>
      </c>
      <c r="P8" s="408">
        <v>65.0</v>
      </c>
      <c r="Q8" s="408">
        <v>0.0</v>
      </c>
      <c r="R8" s="408">
        <v>0.0</v>
      </c>
      <c r="S8" s="408"/>
      <c r="T8" s="408">
        <v>0.0</v>
      </c>
      <c r="U8" s="409"/>
      <c r="V8" s="407">
        <v>40.0</v>
      </c>
      <c r="W8" s="408">
        <v>60.0</v>
      </c>
      <c r="X8" s="408">
        <v>50.0</v>
      </c>
      <c r="Y8" s="408">
        <v>20.0</v>
      </c>
      <c r="Z8" s="409">
        <v>60.0</v>
      </c>
      <c r="AA8" s="410"/>
      <c r="AB8" s="405" t="s">
        <v>931</v>
      </c>
      <c r="AC8" s="405"/>
    </row>
    <row r="9">
      <c r="A9" s="405" t="s">
        <v>933</v>
      </c>
      <c r="B9" s="405"/>
      <c r="C9" s="406">
        <f t="shared" si="1"/>
        <v>0.1</v>
      </c>
      <c r="D9" s="407">
        <v>350.0</v>
      </c>
      <c r="E9" s="408">
        <v>400.0</v>
      </c>
      <c r="F9" s="408">
        <v>180.0</v>
      </c>
      <c r="G9" s="408">
        <v>136.0</v>
      </c>
      <c r="H9" s="408">
        <v>250.0</v>
      </c>
      <c r="I9" s="408">
        <v>200.0</v>
      </c>
      <c r="J9" s="408">
        <v>1.0</v>
      </c>
      <c r="K9" s="409"/>
      <c r="L9" s="407"/>
      <c r="M9" s="408">
        <v>0.0</v>
      </c>
      <c r="N9" s="408">
        <v>0.0</v>
      </c>
      <c r="O9" s="408">
        <v>0.0</v>
      </c>
      <c r="P9" s="408">
        <v>65.0</v>
      </c>
      <c r="Q9" s="408">
        <v>0.0</v>
      </c>
      <c r="R9" s="408">
        <v>0.0</v>
      </c>
      <c r="S9" s="408"/>
      <c r="T9" s="408">
        <v>0.0</v>
      </c>
      <c r="U9" s="409"/>
      <c r="V9" s="407">
        <v>20.0</v>
      </c>
      <c r="W9" s="408">
        <v>30.0</v>
      </c>
      <c r="X9" s="408">
        <v>25.0</v>
      </c>
      <c r="Y9" s="408">
        <v>-40.0</v>
      </c>
      <c r="Z9" s="409">
        <v>30.0</v>
      </c>
      <c r="AA9" s="410"/>
      <c r="AB9" s="405" t="s">
        <v>931</v>
      </c>
      <c r="AC9" s="405"/>
    </row>
    <row r="10">
      <c r="A10" s="405" t="s">
        <v>934</v>
      </c>
      <c r="B10" s="405"/>
      <c r="C10" s="406">
        <f t="shared" si="1"/>
        <v>0</v>
      </c>
      <c r="D10" s="407"/>
      <c r="E10" s="408">
        <v>50.0</v>
      </c>
      <c r="F10" s="408">
        <v>0.0</v>
      </c>
      <c r="G10" s="408">
        <v>0.0</v>
      </c>
      <c r="H10" s="408">
        <v>80.0</v>
      </c>
      <c r="I10" s="408">
        <v>0.0</v>
      </c>
      <c r="J10" s="408">
        <v>0.0</v>
      </c>
      <c r="K10" s="409"/>
      <c r="L10" s="407"/>
      <c r="M10" s="408">
        <v>0.0</v>
      </c>
      <c r="N10" s="408">
        <v>0.0</v>
      </c>
      <c r="O10" s="408">
        <v>0.0</v>
      </c>
      <c r="P10" s="408">
        <v>0.0</v>
      </c>
      <c r="Q10" s="408">
        <v>0.0</v>
      </c>
      <c r="R10" s="408">
        <v>0.0</v>
      </c>
      <c r="S10" s="408"/>
      <c r="T10" s="408">
        <v>0.0</v>
      </c>
      <c r="U10" s="409"/>
      <c r="V10" s="407">
        <v>0.0</v>
      </c>
      <c r="W10" s="408">
        <v>0.0</v>
      </c>
      <c r="X10" s="408">
        <v>0.0</v>
      </c>
      <c r="Y10" s="408">
        <v>0.0</v>
      </c>
      <c r="Z10" s="409">
        <v>0.0</v>
      </c>
      <c r="AA10" s="410"/>
      <c r="AB10" s="405" t="s">
        <v>931</v>
      </c>
      <c r="AC10" s="405"/>
    </row>
    <row r="11">
      <c r="A11" s="405" t="s">
        <v>935</v>
      </c>
      <c r="B11" s="405"/>
      <c r="C11" s="406">
        <f t="shared" si="1"/>
        <v>0.1</v>
      </c>
      <c r="D11" s="407">
        <v>338.0</v>
      </c>
      <c r="E11" s="408">
        <v>295.0</v>
      </c>
      <c r="F11" s="408">
        <v>280.0</v>
      </c>
      <c r="G11" s="408">
        <v>272.0</v>
      </c>
      <c r="H11" s="408">
        <v>280.0</v>
      </c>
      <c r="I11" s="408">
        <v>186.0</v>
      </c>
      <c r="J11" s="408">
        <v>186.0</v>
      </c>
      <c r="K11" s="409"/>
      <c r="L11" s="407"/>
      <c r="M11" s="408"/>
      <c r="N11" s="408"/>
      <c r="O11" s="408"/>
      <c r="P11" s="408"/>
      <c r="Q11" s="408"/>
      <c r="R11" s="408"/>
      <c r="S11" s="408"/>
      <c r="T11" s="408"/>
      <c r="U11" s="409"/>
      <c r="V11" s="407">
        <v>30.0</v>
      </c>
      <c r="W11" s="408">
        <v>110.0</v>
      </c>
      <c r="X11" s="408">
        <v>85.0</v>
      </c>
      <c r="Y11" s="408">
        <v>30.0</v>
      </c>
      <c r="Z11" s="409">
        <v>95.0</v>
      </c>
      <c r="AA11" s="410"/>
      <c r="AB11" s="405" t="s">
        <v>936</v>
      </c>
      <c r="AC11" s="405"/>
    </row>
    <row r="12">
      <c r="A12" s="405" t="s">
        <v>185</v>
      </c>
      <c r="B12" s="405"/>
      <c r="C12" s="406">
        <f t="shared" si="1"/>
        <v>0.025</v>
      </c>
      <c r="D12" s="407">
        <v>98.0</v>
      </c>
      <c r="E12" s="408">
        <v>100.0</v>
      </c>
      <c r="F12" s="408">
        <v>1.0</v>
      </c>
      <c r="G12" s="408">
        <v>1.0</v>
      </c>
      <c r="H12" s="408">
        <v>100.0</v>
      </c>
      <c r="I12" s="408">
        <v>100.0</v>
      </c>
      <c r="J12" s="408">
        <v>1.0</v>
      </c>
      <c r="K12" s="409"/>
      <c r="L12" s="407"/>
      <c r="M12" s="408">
        <v>12.0</v>
      </c>
      <c r="N12" s="408">
        <v>0.0</v>
      </c>
      <c r="O12" s="408">
        <v>65.0</v>
      </c>
      <c r="P12" s="408">
        <v>0.0</v>
      </c>
      <c r="Q12" s="408">
        <v>68.0</v>
      </c>
      <c r="R12" s="408">
        <v>73.0</v>
      </c>
      <c r="S12" s="408"/>
      <c r="T12" s="408">
        <v>0.0</v>
      </c>
      <c r="U12" s="409"/>
      <c r="V12" s="407">
        <v>103.0</v>
      </c>
      <c r="W12" s="408">
        <v>85.0</v>
      </c>
      <c r="X12" s="408">
        <v>117.0</v>
      </c>
      <c r="Y12" s="408">
        <v>73.0</v>
      </c>
      <c r="Z12" s="409">
        <v>0.0</v>
      </c>
      <c r="AA12" s="410"/>
      <c r="AB12" s="405"/>
      <c r="AC12" s="405"/>
    </row>
    <row r="13">
      <c r="A13" s="306" t="s">
        <v>937</v>
      </c>
      <c r="B13" s="306" t="s">
        <v>938</v>
      </c>
      <c r="C13" s="390">
        <f t="shared" si="1"/>
        <v>0.2</v>
      </c>
      <c r="D13" s="387">
        <v>426.0</v>
      </c>
      <c r="E13" s="388">
        <v>1100.0</v>
      </c>
      <c r="F13" s="388">
        <v>100.0</v>
      </c>
      <c r="G13" s="388">
        <v>100.0</v>
      </c>
      <c r="H13" s="388">
        <v>100.0</v>
      </c>
      <c r="I13" s="388">
        <v>260.0</v>
      </c>
      <c r="J13" s="388">
        <v>260.0</v>
      </c>
      <c r="K13" s="389" t="s">
        <v>939</v>
      </c>
      <c r="L13" s="387"/>
      <c r="M13" s="388"/>
      <c r="N13" s="388"/>
      <c r="O13" s="388"/>
      <c r="P13" s="388"/>
      <c r="Q13" s="388"/>
      <c r="R13" s="388">
        <v>45.0</v>
      </c>
      <c r="S13" s="388"/>
      <c r="T13" s="388">
        <v>45.0</v>
      </c>
      <c r="U13" s="389">
        <v>20.0</v>
      </c>
      <c r="V13" s="387">
        <v>75.0</v>
      </c>
      <c r="W13" s="388">
        <v>150.0</v>
      </c>
      <c r="X13" s="388">
        <v>150.0</v>
      </c>
      <c r="Y13" s="388">
        <v>150.0</v>
      </c>
      <c r="Z13" s="389">
        <v>45.0</v>
      </c>
      <c r="AA13" s="305"/>
      <c r="AB13" s="306" t="s">
        <v>936</v>
      </c>
      <c r="AC13" s="306"/>
    </row>
    <row r="14">
      <c r="A14" s="306" t="s">
        <v>940</v>
      </c>
      <c r="B14" s="306" t="s">
        <v>941</v>
      </c>
      <c r="C14" s="390">
        <f t="shared" si="1"/>
        <v>0</v>
      </c>
      <c r="D14" s="387">
        <v>9.0</v>
      </c>
      <c r="E14" s="388">
        <v>19.0</v>
      </c>
      <c r="F14" s="388">
        <v>7.0</v>
      </c>
      <c r="G14" s="388">
        <v>5.0</v>
      </c>
      <c r="H14" s="388">
        <v>4.0</v>
      </c>
      <c r="I14" s="388">
        <v>1.0</v>
      </c>
      <c r="J14" s="388">
        <v>1.0</v>
      </c>
      <c r="K14" s="389" t="s">
        <v>301</v>
      </c>
      <c r="L14" s="387">
        <v>4.0</v>
      </c>
      <c r="M14" s="388">
        <v>0.0</v>
      </c>
      <c r="N14" s="388">
        <v>0.0</v>
      </c>
      <c r="O14" s="388">
        <v>0.0</v>
      </c>
      <c r="P14" s="388">
        <v>10.0</v>
      </c>
      <c r="Q14" s="388">
        <v>9.0</v>
      </c>
      <c r="R14" s="388">
        <v>0.0</v>
      </c>
      <c r="S14" s="388"/>
      <c r="T14" s="388">
        <v>0.0</v>
      </c>
      <c r="U14" s="389">
        <v>0.0</v>
      </c>
      <c r="V14" s="387">
        <v>12.0</v>
      </c>
      <c r="W14" s="388">
        <v>15.0</v>
      </c>
      <c r="X14" s="388">
        <v>10.0</v>
      </c>
      <c r="Y14" s="388">
        <v>-1.0</v>
      </c>
      <c r="Z14" s="389">
        <v>12.0</v>
      </c>
      <c r="AA14" s="305"/>
      <c r="AB14" s="306"/>
      <c r="AC14" s="306"/>
    </row>
    <row r="15">
      <c r="A15" s="306" t="s">
        <v>942</v>
      </c>
      <c r="B15" s="306" t="s">
        <v>943</v>
      </c>
      <c r="C15" s="390">
        <f t="shared" si="1"/>
        <v>0</v>
      </c>
      <c r="D15" s="387">
        <v>25.0</v>
      </c>
      <c r="E15" s="388">
        <v>100.0</v>
      </c>
      <c r="F15" s="388">
        <v>1.0</v>
      </c>
      <c r="G15" s="388">
        <v>1.0</v>
      </c>
      <c r="H15" s="388">
        <v>1.0</v>
      </c>
      <c r="I15" s="388">
        <v>1.0</v>
      </c>
      <c r="J15" s="388">
        <v>1.0</v>
      </c>
      <c r="K15" s="389" t="s">
        <v>299</v>
      </c>
      <c r="L15" s="387">
        <v>4.0</v>
      </c>
      <c r="M15" s="388"/>
      <c r="N15" s="388"/>
      <c r="O15" s="388"/>
      <c r="P15" s="388"/>
      <c r="Q15" s="388"/>
      <c r="R15" s="388"/>
      <c r="S15" s="388"/>
      <c r="T15" s="388"/>
      <c r="U15" s="389"/>
      <c r="V15" s="387">
        <v>0.0</v>
      </c>
      <c r="W15" s="388">
        <v>0.0</v>
      </c>
      <c r="X15" s="388">
        <v>0.0</v>
      </c>
      <c r="Y15" s="388">
        <v>0.0</v>
      </c>
      <c r="Z15" s="389">
        <v>0.0</v>
      </c>
      <c r="AA15" s="305"/>
      <c r="AB15" s="306"/>
      <c r="AC15" s="306"/>
    </row>
    <row r="16">
      <c r="A16" s="306" t="s">
        <v>944</v>
      </c>
      <c r="B16" s="306" t="s">
        <v>943</v>
      </c>
      <c r="C16" s="390">
        <f t="shared" si="1"/>
        <v>0.05</v>
      </c>
      <c r="D16" s="387">
        <v>227.0</v>
      </c>
      <c r="E16" s="388">
        <v>300.0</v>
      </c>
      <c r="F16" s="388">
        <v>150.0</v>
      </c>
      <c r="G16" s="388">
        <v>150.0</v>
      </c>
      <c r="H16" s="388">
        <v>150.0</v>
      </c>
      <c r="I16" s="388">
        <v>90.0</v>
      </c>
      <c r="J16" s="388">
        <v>90.0</v>
      </c>
      <c r="K16" s="389" t="s">
        <v>301</v>
      </c>
      <c r="L16" s="387">
        <v>5.0</v>
      </c>
      <c r="M16" s="388"/>
      <c r="N16" s="388"/>
      <c r="O16" s="388"/>
      <c r="P16" s="388"/>
      <c r="Q16" s="388"/>
      <c r="R16" s="388"/>
      <c r="S16" s="388"/>
      <c r="T16" s="388"/>
      <c r="U16" s="389"/>
      <c r="V16" s="387">
        <v>70.0</v>
      </c>
      <c r="W16" s="388">
        <v>70.0</v>
      </c>
      <c r="X16" s="388">
        <v>70.0</v>
      </c>
      <c r="Y16" s="388">
        <v>170.0</v>
      </c>
      <c r="Z16" s="389">
        <v>120.0</v>
      </c>
      <c r="AA16" s="305"/>
      <c r="AB16" s="306" t="s">
        <v>936</v>
      </c>
      <c r="AC16" s="306"/>
    </row>
    <row r="17">
      <c r="A17" s="306" t="s">
        <v>945</v>
      </c>
      <c r="B17" s="306" t="s">
        <v>943</v>
      </c>
      <c r="C17" s="390">
        <f t="shared" si="1"/>
        <v>0.025</v>
      </c>
      <c r="D17" s="387">
        <v>109.0</v>
      </c>
      <c r="E17" s="388">
        <v>150.0</v>
      </c>
      <c r="F17" s="388">
        <v>80.0</v>
      </c>
      <c r="G17" s="388">
        <v>80.0</v>
      </c>
      <c r="H17" s="388">
        <v>80.0</v>
      </c>
      <c r="I17" s="388">
        <v>80.0</v>
      </c>
      <c r="J17" s="388">
        <v>80.0</v>
      </c>
      <c r="K17" s="389" t="s">
        <v>300</v>
      </c>
      <c r="L17" s="387">
        <v>4.0</v>
      </c>
      <c r="M17" s="388"/>
      <c r="N17" s="388"/>
      <c r="O17" s="388"/>
      <c r="P17" s="388">
        <v>50.0</v>
      </c>
      <c r="Q17" s="388"/>
      <c r="R17" s="388"/>
      <c r="S17" s="388"/>
      <c r="T17" s="388"/>
      <c r="U17" s="389"/>
      <c r="V17" s="387">
        <v>20.0</v>
      </c>
      <c r="W17" s="388">
        <v>20.0</v>
      </c>
      <c r="X17" s="388">
        <v>20.0</v>
      </c>
      <c r="Y17" s="388">
        <v>30.0</v>
      </c>
      <c r="Z17" s="389">
        <v>30.0</v>
      </c>
      <c r="AA17" s="305"/>
      <c r="AB17" s="306"/>
      <c r="AC17" s="306"/>
    </row>
    <row r="18">
      <c r="A18" s="306" t="s">
        <v>946</v>
      </c>
      <c r="B18" s="306" t="s">
        <v>947</v>
      </c>
      <c r="C18" s="390">
        <f t="shared" si="1"/>
        <v>0</v>
      </c>
      <c r="D18" s="387">
        <v>75.0</v>
      </c>
      <c r="E18" s="388">
        <v>60.0</v>
      </c>
      <c r="F18" s="388">
        <v>70.0</v>
      </c>
      <c r="G18" s="388">
        <v>70.0</v>
      </c>
      <c r="H18" s="388">
        <v>60.0</v>
      </c>
      <c r="I18" s="388">
        <v>1.0</v>
      </c>
      <c r="J18" s="388">
        <v>1.0</v>
      </c>
      <c r="K18" s="389" t="s">
        <v>299</v>
      </c>
      <c r="L18" s="387">
        <v>4.0</v>
      </c>
      <c r="M18" s="388">
        <v>0.0</v>
      </c>
      <c r="N18" s="388">
        <v>0.0</v>
      </c>
      <c r="O18" s="388">
        <v>0.0</v>
      </c>
      <c r="P18" s="388">
        <v>0.0</v>
      </c>
      <c r="Q18" s="388">
        <v>0.0</v>
      </c>
      <c r="R18" s="388">
        <v>0.0</v>
      </c>
      <c r="S18" s="388"/>
      <c r="T18" s="388">
        <v>0.0</v>
      </c>
      <c r="U18" s="389">
        <v>0.0</v>
      </c>
      <c r="V18" s="387">
        <v>0.0</v>
      </c>
      <c r="W18" s="388">
        <v>0.0</v>
      </c>
      <c r="X18" s="388">
        <v>0.0</v>
      </c>
      <c r="Y18" s="388">
        <v>0.0</v>
      </c>
      <c r="Z18" s="389">
        <v>0.0</v>
      </c>
      <c r="AA18" s="305"/>
      <c r="AB18" s="306" t="s">
        <v>929</v>
      </c>
      <c r="AC18" s="306"/>
    </row>
    <row r="19">
      <c r="A19" s="306" t="s">
        <v>948</v>
      </c>
      <c r="B19" s="306" t="s">
        <v>947</v>
      </c>
      <c r="C19" s="390">
        <f t="shared" si="1"/>
        <v>0</v>
      </c>
      <c r="D19" s="387">
        <v>82.0</v>
      </c>
      <c r="E19" s="388">
        <v>65.0</v>
      </c>
      <c r="F19" s="388">
        <v>80.0</v>
      </c>
      <c r="G19" s="388">
        <v>70.0</v>
      </c>
      <c r="H19" s="388">
        <v>70.0</v>
      </c>
      <c r="I19" s="388">
        <v>1.0</v>
      </c>
      <c r="J19" s="388">
        <v>1.0</v>
      </c>
      <c r="K19" s="389" t="s">
        <v>299</v>
      </c>
      <c r="L19" s="387">
        <v>4.0</v>
      </c>
      <c r="M19" s="388">
        <v>0.0</v>
      </c>
      <c r="N19" s="388">
        <v>0.0</v>
      </c>
      <c r="O19" s="388">
        <v>0.0</v>
      </c>
      <c r="P19" s="388">
        <v>0.0</v>
      </c>
      <c r="Q19" s="388">
        <v>0.0</v>
      </c>
      <c r="R19" s="388">
        <v>0.0</v>
      </c>
      <c r="S19" s="388"/>
      <c r="T19" s="388">
        <v>0.0</v>
      </c>
      <c r="U19" s="389">
        <v>0.0</v>
      </c>
      <c r="V19" s="387">
        <v>0.0</v>
      </c>
      <c r="W19" s="388">
        <v>0.0</v>
      </c>
      <c r="X19" s="388">
        <v>0.0</v>
      </c>
      <c r="Y19" s="388">
        <v>0.0</v>
      </c>
      <c r="Z19" s="389">
        <v>0.0</v>
      </c>
      <c r="AA19" s="305"/>
      <c r="AB19" s="306" t="s">
        <v>929</v>
      </c>
      <c r="AC19" s="306"/>
    </row>
    <row r="20">
      <c r="A20" s="306" t="s">
        <v>949</v>
      </c>
      <c r="B20" s="306" t="s">
        <v>950</v>
      </c>
      <c r="C20" s="390">
        <f t="shared" si="1"/>
        <v>0</v>
      </c>
      <c r="D20" s="387">
        <v>86.0</v>
      </c>
      <c r="E20" s="388">
        <v>70.0</v>
      </c>
      <c r="F20" s="388">
        <v>75.0</v>
      </c>
      <c r="G20" s="388">
        <v>75.0</v>
      </c>
      <c r="H20" s="388">
        <v>80.0</v>
      </c>
      <c r="I20" s="388">
        <v>1.0</v>
      </c>
      <c r="J20" s="388">
        <v>1.0</v>
      </c>
      <c r="K20" s="389" t="s">
        <v>299</v>
      </c>
      <c r="L20" s="387">
        <v>4.0</v>
      </c>
      <c r="M20" s="388">
        <v>0.0</v>
      </c>
      <c r="N20" s="388">
        <v>0.0</v>
      </c>
      <c r="O20" s="388">
        <v>0.0</v>
      </c>
      <c r="P20" s="388">
        <v>0.0</v>
      </c>
      <c r="Q20" s="388">
        <v>0.0</v>
      </c>
      <c r="R20" s="388">
        <v>0.0</v>
      </c>
      <c r="S20" s="388"/>
      <c r="T20" s="388">
        <v>0.0</v>
      </c>
      <c r="U20" s="389">
        <v>0.0</v>
      </c>
      <c r="V20" s="387">
        <v>0.0</v>
      </c>
      <c r="W20" s="388">
        <v>0.0</v>
      </c>
      <c r="X20" s="388">
        <v>0.0</v>
      </c>
      <c r="Y20" s="388">
        <v>0.0</v>
      </c>
      <c r="Z20" s="389">
        <v>0.0</v>
      </c>
      <c r="AA20" s="305"/>
      <c r="AB20" s="306" t="s">
        <v>929</v>
      </c>
      <c r="AC20" s="306"/>
    </row>
    <row r="21">
      <c r="A21" s="319" t="s">
        <v>951</v>
      </c>
      <c r="B21" s="411" t="s">
        <v>952</v>
      </c>
      <c r="C21" s="412">
        <f t="shared" si="1"/>
        <v>0</v>
      </c>
      <c r="D21" s="413">
        <v>98.0</v>
      </c>
      <c r="E21" s="414">
        <v>100.0</v>
      </c>
      <c r="F21" s="414">
        <v>75.0</v>
      </c>
      <c r="G21" s="414">
        <v>90.0</v>
      </c>
      <c r="H21" s="414">
        <v>80.0</v>
      </c>
      <c r="I21" s="414">
        <v>1.0</v>
      </c>
      <c r="J21" s="414">
        <v>1.0</v>
      </c>
      <c r="K21" s="415" t="s">
        <v>299</v>
      </c>
      <c r="L21" s="413">
        <v>4.0</v>
      </c>
      <c r="M21" s="178"/>
      <c r="N21" s="178"/>
      <c r="O21" s="178"/>
      <c r="P21" s="178"/>
      <c r="Q21" s="178"/>
      <c r="R21" s="178"/>
      <c r="S21" s="178"/>
      <c r="T21" s="178"/>
      <c r="U21" s="416"/>
      <c r="V21" s="413">
        <v>0.0</v>
      </c>
      <c r="W21" s="414">
        <v>0.0</v>
      </c>
      <c r="X21" s="414">
        <v>0.0</v>
      </c>
      <c r="Y21" s="414">
        <v>0.0</v>
      </c>
      <c r="Z21" s="415">
        <v>0.0</v>
      </c>
      <c r="AA21" s="394"/>
      <c r="AB21" s="306" t="s">
        <v>929</v>
      </c>
      <c r="AC21" s="395"/>
    </row>
    <row r="22">
      <c r="A22" s="306" t="s">
        <v>953</v>
      </c>
      <c r="B22" s="417" t="s">
        <v>954</v>
      </c>
      <c r="C22" s="390">
        <f t="shared" si="1"/>
        <v>0</v>
      </c>
      <c r="D22" s="387">
        <v>95.0</v>
      </c>
      <c r="E22" s="388">
        <v>60.0</v>
      </c>
      <c r="F22" s="388">
        <v>100.0</v>
      </c>
      <c r="G22" s="388">
        <v>70.0</v>
      </c>
      <c r="H22" s="388">
        <v>100.0</v>
      </c>
      <c r="I22" s="388">
        <v>1.0</v>
      </c>
      <c r="J22" s="388">
        <v>1.0</v>
      </c>
      <c r="K22" s="389" t="s">
        <v>299</v>
      </c>
      <c r="L22" s="387">
        <v>4.0</v>
      </c>
      <c r="M22" s="388">
        <v>0.0</v>
      </c>
      <c r="N22" s="388">
        <v>0.0</v>
      </c>
      <c r="O22" s="388">
        <v>0.0</v>
      </c>
      <c r="P22" s="388">
        <v>0.0</v>
      </c>
      <c r="Q22" s="388">
        <v>0.0</v>
      </c>
      <c r="R22" s="388">
        <v>0.0</v>
      </c>
      <c r="S22" s="388"/>
      <c r="T22" s="388">
        <v>0.0</v>
      </c>
      <c r="U22" s="389">
        <v>0.0</v>
      </c>
      <c r="V22" s="387">
        <v>0.0</v>
      </c>
      <c r="W22" s="388">
        <v>0.0</v>
      </c>
      <c r="X22" s="388">
        <v>0.0</v>
      </c>
      <c r="Y22" s="388">
        <v>0.0</v>
      </c>
      <c r="Z22" s="389">
        <v>0.0</v>
      </c>
      <c r="AA22" s="305"/>
      <c r="AB22" s="306" t="s">
        <v>929</v>
      </c>
      <c r="AC22" s="306"/>
    </row>
    <row r="23">
      <c r="A23" s="306" t="s">
        <v>778</v>
      </c>
      <c r="B23" s="306" t="s">
        <v>955</v>
      </c>
      <c r="C23" s="390">
        <f t="shared" si="1"/>
        <v>0</v>
      </c>
      <c r="D23" s="387">
        <v>37.0</v>
      </c>
      <c r="E23" s="388">
        <v>50.0</v>
      </c>
      <c r="F23" s="388">
        <v>20.0</v>
      </c>
      <c r="G23" s="388">
        <v>20.0</v>
      </c>
      <c r="H23" s="388">
        <v>20.0</v>
      </c>
      <c r="I23" s="388">
        <v>1.0</v>
      </c>
      <c r="J23" s="388">
        <v>40.0</v>
      </c>
      <c r="K23" s="389" t="s">
        <v>299</v>
      </c>
      <c r="L23" s="387">
        <v>6.0</v>
      </c>
      <c r="M23" s="388">
        <v>0.0</v>
      </c>
      <c r="N23" s="388">
        <v>0.0</v>
      </c>
      <c r="O23" s="388">
        <v>0.0</v>
      </c>
      <c r="P23" s="388">
        <v>19.0</v>
      </c>
      <c r="Q23" s="388">
        <v>8.0</v>
      </c>
      <c r="R23" s="388">
        <v>0.0</v>
      </c>
      <c r="S23" s="388"/>
      <c r="T23" s="388">
        <v>0.0</v>
      </c>
      <c r="U23" s="389">
        <v>8.0</v>
      </c>
      <c r="V23" s="387">
        <v>18.0</v>
      </c>
      <c r="W23" s="388">
        <v>23.0</v>
      </c>
      <c r="X23" s="388">
        <v>27.0</v>
      </c>
      <c r="Y23" s="388">
        <v>10.0</v>
      </c>
      <c r="Z23" s="389">
        <v>19.0</v>
      </c>
      <c r="AA23" s="305"/>
      <c r="AB23" s="306"/>
      <c r="AC23" s="306"/>
    </row>
    <row r="24">
      <c r="A24" s="405" t="s">
        <v>956</v>
      </c>
      <c r="B24" s="405"/>
      <c r="C24" s="406">
        <f t="shared" si="1"/>
        <v>0.075</v>
      </c>
      <c r="D24" s="407">
        <v>113.0</v>
      </c>
      <c r="E24" s="408">
        <v>140.0</v>
      </c>
      <c r="F24" s="408">
        <v>70.0</v>
      </c>
      <c r="G24" s="408">
        <v>140.0</v>
      </c>
      <c r="H24" s="408">
        <v>40.0</v>
      </c>
      <c r="I24" s="408">
        <v>1.0</v>
      </c>
      <c r="J24" s="408">
        <v>70.0</v>
      </c>
      <c r="K24" s="409"/>
      <c r="L24" s="407"/>
      <c r="M24" s="408">
        <v>0.0</v>
      </c>
      <c r="N24" s="408">
        <v>0.0</v>
      </c>
      <c r="O24" s="408">
        <v>0.0</v>
      </c>
      <c r="P24" s="408">
        <v>60.0</v>
      </c>
      <c r="Q24" s="408">
        <v>100.0</v>
      </c>
      <c r="R24" s="408">
        <v>0.0</v>
      </c>
      <c r="S24" s="408"/>
      <c r="T24" s="408">
        <v>0.0</v>
      </c>
      <c r="U24" s="409"/>
      <c r="V24" s="407">
        <v>35.0</v>
      </c>
      <c r="W24" s="408">
        <v>60.0</v>
      </c>
      <c r="X24" s="408">
        <v>35.0</v>
      </c>
      <c r="Y24" s="408">
        <v>200.0</v>
      </c>
      <c r="Z24" s="409">
        <v>200.0</v>
      </c>
      <c r="AA24" s="410"/>
      <c r="AB24" s="405"/>
      <c r="AC24" s="405"/>
    </row>
    <row r="25">
      <c r="A25" s="405" t="s">
        <v>957</v>
      </c>
      <c r="B25" s="405"/>
      <c r="C25" s="406">
        <f t="shared" si="1"/>
        <v>0.175</v>
      </c>
      <c r="D25" s="407">
        <v>210.0</v>
      </c>
      <c r="E25" s="408">
        <v>255.0</v>
      </c>
      <c r="F25" s="408">
        <v>140.0</v>
      </c>
      <c r="G25" s="408">
        <v>280.0</v>
      </c>
      <c r="H25" s="408">
        <v>40.0</v>
      </c>
      <c r="I25" s="408">
        <v>0.0</v>
      </c>
      <c r="J25" s="408">
        <v>140.0</v>
      </c>
      <c r="K25" s="409"/>
      <c r="L25" s="407"/>
      <c r="M25" s="408">
        <v>0.0</v>
      </c>
      <c r="N25" s="408">
        <v>0.0</v>
      </c>
      <c r="O25" s="408">
        <v>0.0</v>
      </c>
      <c r="P25" s="408">
        <v>60.0</v>
      </c>
      <c r="Q25" s="408">
        <v>100.0</v>
      </c>
      <c r="R25" s="408">
        <v>0.0</v>
      </c>
      <c r="S25" s="408"/>
      <c r="T25" s="408">
        <v>0.0</v>
      </c>
      <c r="U25" s="409"/>
      <c r="V25" s="407">
        <v>35.0</v>
      </c>
      <c r="W25" s="408">
        <v>60.0</v>
      </c>
      <c r="X25" s="408">
        <v>35.0</v>
      </c>
      <c r="Y25" s="408">
        <v>200.0</v>
      </c>
      <c r="Z25" s="409">
        <v>200.0</v>
      </c>
      <c r="AA25" s="410"/>
      <c r="AB25" s="405"/>
      <c r="AC25" s="405"/>
    </row>
    <row r="26">
      <c r="A26" s="405" t="s">
        <v>958</v>
      </c>
      <c r="B26" s="405"/>
      <c r="C26" s="406">
        <f t="shared" si="1"/>
        <v>0</v>
      </c>
      <c r="D26" s="407">
        <v>73.0</v>
      </c>
      <c r="E26" s="408">
        <v>67.0</v>
      </c>
      <c r="F26" s="408">
        <v>1.0</v>
      </c>
      <c r="G26" s="408">
        <v>1.0</v>
      </c>
      <c r="H26" s="408">
        <v>55.0</v>
      </c>
      <c r="I26" s="408">
        <v>1.0</v>
      </c>
      <c r="J26" s="408">
        <v>89.0</v>
      </c>
      <c r="K26" s="409"/>
      <c r="L26" s="407"/>
      <c r="M26" s="408">
        <v>0.0</v>
      </c>
      <c r="N26" s="408">
        <v>0.0</v>
      </c>
      <c r="O26" s="408">
        <v>0.0</v>
      </c>
      <c r="P26" s="408">
        <v>0.0</v>
      </c>
      <c r="Q26" s="408">
        <v>0.0</v>
      </c>
      <c r="R26" s="408">
        <v>0.0</v>
      </c>
      <c r="S26" s="408"/>
      <c r="T26" s="408">
        <v>0.0</v>
      </c>
      <c r="U26" s="409">
        <v>0.0</v>
      </c>
      <c r="V26" s="407">
        <v>0.0</v>
      </c>
      <c r="W26" s="408">
        <v>0.0</v>
      </c>
      <c r="X26" s="408">
        <v>0.0</v>
      </c>
      <c r="Y26" s="408">
        <v>0.0</v>
      </c>
      <c r="Z26" s="409">
        <v>0.0</v>
      </c>
      <c r="AA26" s="410"/>
      <c r="AB26" s="405"/>
      <c r="AC26" s="405"/>
    </row>
    <row r="27">
      <c r="A27" s="405" t="s">
        <v>959</v>
      </c>
      <c r="B27" s="405"/>
      <c r="C27" s="406">
        <f t="shared" si="1"/>
        <v>0</v>
      </c>
      <c r="D27" s="407">
        <v>79.0</v>
      </c>
      <c r="E27" s="408">
        <v>83.0</v>
      </c>
      <c r="F27" s="408">
        <v>1.0</v>
      </c>
      <c r="G27" s="408">
        <v>1.0</v>
      </c>
      <c r="H27" s="408">
        <v>70.0</v>
      </c>
      <c r="I27" s="408">
        <v>1.0</v>
      </c>
      <c r="J27" s="408">
        <v>85.0</v>
      </c>
      <c r="K27" s="409"/>
      <c r="L27" s="407"/>
      <c r="M27" s="408">
        <v>0.0</v>
      </c>
      <c r="N27" s="408">
        <v>0.0</v>
      </c>
      <c r="O27" s="408">
        <v>0.0</v>
      </c>
      <c r="P27" s="408">
        <v>0.0</v>
      </c>
      <c r="Q27" s="408">
        <v>0.0</v>
      </c>
      <c r="R27" s="408">
        <v>0.0</v>
      </c>
      <c r="S27" s="408"/>
      <c r="T27" s="408">
        <v>0.0</v>
      </c>
      <c r="U27" s="409">
        <v>0.0</v>
      </c>
      <c r="V27" s="407">
        <v>0.0</v>
      </c>
      <c r="W27" s="408">
        <v>0.0</v>
      </c>
      <c r="X27" s="408">
        <v>0.0</v>
      </c>
      <c r="Y27" s="408">
        <v>0.0</v>
      </c>
      <c r="Z27" s="409">
        <v>0.0</v>
      </c>
      <c r="AA27" s="410"/>
      <c r="AB27" s="405"/>
      <c r="AC27" s="405"/>
    </row>
    <row r="28">
      <c r="A28" s="405" t="s">
        <v>960</v>
      </c>
      <c r="B28" s="405"/>
      <c r="C28" s="406">
        <f t="shared" si="1"/>
        <v>0</v>
      </c>
      <c r="D28" s="407">
        <v>79.0</v>
      </c>
      <c r="E28" s="408">
        <v>77.0</v>
      </c>
      <c r="F28" s="408">
        <v>1.0</v>
      </c>
      <c r="G28" s="408">
        <v>1.0</v>
      </c>
      <c r="H28" s="408">
        <v>55.0</v>
      </c>
      <c r="I28" s="408">
        <v>1.0</v>
      </c>
      <c r="J28" s="408">
        <v>96.0</v>
      </c>
      <c r="K28" s="409"/>
      <c r="L28" s="407"/>
      <c r="M28" s="408">
        <v>0.0</v>
      </c>
      <c r="N28" s="408">
        <v>0.0</v>
      </c>
      <c r="O28" s="408">
        <v>0.0</v>
      </c>
      <c r="P28" s="408">
        <v>0.0</v>
      </c>
      <c r="Q28" s="408">
        <v>0.0</v>
      </c>
      <c r="R28" s="408">
        <v>0.0</v>
      </c>
      <c r="S28" s="408"/>
      <c r="T28" s="408">
        <v>0.0</v>
      </c>
      <c r="U28" s="409">
        <v>0.0</v>
      </c>
      <c r="V28" s="407">
        <v>0.0</v>
      </c>
      <c r="W28" s="408">
        <v>0.0</v>
      </c>
      <c r="X28" s="408">
        <v>0.0</v>
      </c>
      <c r="Y28" s="408">
        <v>0.0</v>
      </c>
      <c r="Z28" s="409">
        <v>0.0</v>
      </c>
      <c r="AA28" s="410"/>
      <c r="AB28" s="405"/>
      <c r="AC28" s="405"/>
    </row>
    <row r="29">
      <c r="A29" s="405" t="s">
        <v>961</v>
      </c>
      <c r="B29" s="405"/>
      <c r="C29" s="406">
        <f t="shared" si="1"/>
        <v>0</v>
      </c>
      <c r="D29" s="407">
        <v>84.0</v>
      </c>
      <c r="E29" s="408">
        <v>86.0</v>
      </c>
      <c r="F29" s="408">
        <v>1.0</v>
      </c>
      <c r="G29" s="408">
        <v>1.0</v>
      </c>
      <c r="H29" s="408">
        <v>70.0</v>
      </c>
      <c r="I29" s="408">
        <v>1.0</v>
      </c>
      <c r="J29" s="408">
        <v>93.0</v>
      </c>
      <c r="K29" s="409"/>
      <c r="L29" s="407"/>
      <c r="M29" s="408">
        <v>0.0</v>
      </c>
      <c r="N29" s="408">
        <v>0.0</v>
      </c>
      <c r="O29" s="408">
        <v>0.0</v>
      </c>
      <c r="P29" s="408">
        <v>0.0</v>
      </c>
      <c r="Q29" s="408">
        <v>0.0</v>
      </c>
      <c r="R29" s="408">
        <v>0.0</v>
      </c>
      <c r="S29" s="408"/>
      <c r="T29" s="408">
        <v>0.0</v>
      </c>
      <c r="U29" s="409">
        <v>0.0</v>
      </c>
      <c r="V29" s="407">
        <v>0.0</v>
      </c>
      <c r="W29" s="408">
        <v>0.0</v>
      </c>
      <c r="X29" s="408">
        <v>0.0</v>
      </c>
      <c r="Y29" s="408">
        <v>0.0</v>
      </c>
      <c r="Z29" s="409">
        <v>0.0</v>
      </c>
      <c r="AA29" s="410"/>
      <c r="AB29" s="405"/>
      <c r="AC29" s="405"/>
    </row>
    <row r="30">
      <c r="A30" s="405" t="s">
        <v>962</v>
      </c>
      <c r="B30" s="405"/>
      <c r="C30" s="406">
        <f t="shared" si="1"/>
        <v>0</v>
      </c>
      <c r="D30" s="407">
        <v>92.0</v>
      </c>
      <c r="E30" s="408">
        <v>95.0</v>
      </c>
      <c r="F30" s="408">
        <v>1.0</v>
      </c>
      <c r="G30" s="408">
        <v>1.0</v>
      </c>
      <c r="H30" s="408">
        <v>100.0</v>
      </c>
      <c r="I30" s="408">
        <v>1.0</v>
      </c>
      <c r="J30" s="408">
        <v>90.0</v>
      </c>
      <c r="K30" s="409"/>
      <c r="L30" s="407"/>
      <c r="M30" s="408">
        <v>0.0</v>
      </c>
      <c r="N30" s="408">
        <v>0.0</v>
      </c>
      <c r="O30" s="408">
        <v>0.0</v>
      </c>
      <c r="P30" s="408">
        <v>0.0</v>
      </c>
      <c r="Q30" s="408">
        <v>0.0</v>
      </c>
      <c r="R30" s="408">
        <v>0.0</v>
      </c>
      <c r="S30" s="408"/>
      <c r="T30" s="408">
        <v>0.0</v>
      </c>
      <c r="U30" s="409">
        <v>0.0</v>
      </c>
      <c r="V30" s="407">
        <v>0.0</v>
      </c>
      <c r="W30" s="408">
        <v>0.0</v>
      </c>
      <c r="X30" s="408">
        <v>0.0</v>
      </c>
      <c r="Y30" s="408">
        <v>0.0</v>
      </c>
      <c r="Z30" s="409">
        <v>0.0</v>
      </c>
      <c r="AA30" s="410"/>
      <c r="AB30" s="405"/>
      <c r="AC30" s="405"/>
    </row>
    <row r="31">
      <c r="A31" s="405" t="s">
        <v>963</v>
      </c>
      <c r="B31" s="405"/>
      <c r="C31" s="406">
        <f t="shared" si="1"/>
        <v>0</v>
      </c>
      <c r="D31" s="407">
        <v>94.0</v>
      </c>
      <c r="E31" s="408">
        <v>75.0</v>
      </c>
      <c r="F31" s="408">
        <v>1.0</v>
      </c>
      <c r="G31" s="408">
        <v>1.0</v>
      </c>
      <c r="H31" s="408">
        <v>115.0</v>
      </c>
      <c r="I31" s="408">
        <v>1.0</v>
      </c>
      <c r="J31" s="408">
        <v>96.0</v>
      </c>
      <c r="K31" s="409"/>
      <c r="L31" s="407"/>
      <c r="M31" s="408">
        <v>0.0</v>
      </c>
      <c r="N31" s="408">
        <v>0.0</v>
      </c>
      <c r="O31" s="408">
        <v>0.0</v>
      </c>
      <c r="P31" s="408">
        <v>0.0</v>
      </c>
      <c r="Q31" s="408">
        <v>0.0</v>
      </c>
      <c r="R31" s="408">
        <v>0.0</v>
      </c>
      <c r="S31" s="408"/>
      <c r="T31" s="408">
        <v>0.0</v>
      </c>
      <c r="U31" s="409">
        <v>0.0</v>
      </c>
      <c r="V31" s="407">
        <v>0.0</v>
      </c>
      <c r="W31" s="408">
        <v>0.0</v>
      </c>
      <c r="X31" s="408">
        <v>0.0</v>
      </c>
      <c r="Y31" s="408">
        <v>0.0</v>
      </c>
      <c r="Z31" s="409">
        <v>0.0</v>
      </c>
      <c r="AA31" s="410"/>
      <c r="AB31" s="405"/>
      <c r="AC31" s="405"/>
    </row>
    <row r="32">
      <c r="A32" s="405" t="s">
        <v>964</v>
      </c>
      <c r="B32" s="405"/>
      <c r="C32" s="406">
        <f t="shared" si="1"/>
        <v>0</v>
      </c>
      <c r="D32" s="407">
        <v>97.0</v>
      </c>
      <c r="E32" s="408">
        <v>98.0</v>
      </c>
      <c r="F32" s="408">
        <v>1.0</v>
      </c>
      <c r="G32" s="408">
        <v>1.0</v>
      </c>
      <c r="H32" s="408">
        <v>100.0</v>
      </c>
      <c r="I32" s="408">
        <v>1.0</v>
      </c>
      <c r="J32" s="408">
        <v>99.0</v>
      </c>
      <c r="K32" s="409"/>
      <c r="L32" s="407"/>
      <c r="M32" s="408">
        <v>0.0</v>
      </c>
      <c r="N32" s="408">
        <v>0.0</v>
      </c>
      <c r="O32" s="408">
        <v>0.0</v>
      </c>
      <c r="P32" s="408">
        <v>0.0</v>
      </c>
      <c r="Q32" s="408">
        <v>0.0</v>
      </c>
      <c r="R32" s="408">
        <v>0.0</v>
      </c>
      <c r="S32" s="408"/>
      <c r="T32" s="408">
        <v>0.0</v>
      </c>
      <c r="U32" s="409">
        <v>0.0</v>
      </c>
      <c r="V32" s="407">
        <v>0.0</v>
      </c>
      <c r="W32" s="408">
        <v>0.0</v>
      </c>
      <c r="X32" s="408">
        <v>0.0</v>
      </c>
      <c r="Y32" s="408">
        <v>0.0</v>
      </c>
      <c r="Z32" s="409">
        <v>0.0</v>
      </c>
      <c r="AA32" s="410"/>
      <c r="AB32" s="405"/>
      <c r="AC32" s="405"/>
    </row>
    <row r="33">
      <c r="A33" s="405" t="s">
        <v>965</v>
      </c>
      <c r="B33" s="405"/>
      <c r="C33" s="406">
        <f t="shared" si="1"/>
        <v>0</v>
      </c>
      <c r="D33" s="407">
        <v>97.0</v>
      </c>
      <c r="E33" s="408">
        <v>79.0</v>
      </c>
      <c r="F33" s="408">
        <v>1.0</v>
      </c>
      <c r="G33" s="408">
        <v>1.0</v>
      </c>
      <c r="H33" s="408">
        <v>115.0</v>
      </c>
      <c r="I33" s="408">
        <v>1.0</v>
      </c>
      <c r="J33" s="408">
        <v>101.0</v>
      </c>
      <c r="K33" s="409"/>
      <c r="L33" s="407"/>
      <c r="M33" s="408">
        <v>0.0</v>
      </c>
      <c r="N33" s="408">
        <v>0.0</v>
      </c>
      <c r="O33" s="408">
        <v>0.0</v>
      </c>
      <c r="P33" s="408">
        <v>0.0</v>
      </c>
      <c r="Q33" s="408">
        <v>0.0</v>
      </c>
      <c r="R33" s="408">
        <v>0.0</v>
      </c>
      <c r="S33" s="408"/>
      <c r="T33" s="408">
        <v>0.0</v>
      </c>
      <c r="U33" s="409">
        <v>0.0</v>
      </c>
      <c r="V33" s="407">
        <v>0.0</v>
      </c>
      <c r="W33" s="408">
        <v>0.0</v>
      </c>
      <c r="X33" s="408">
        <v>0.0</v>
      </c>
      <c r="Y33" s="408">
        <v>0.0</v>
      </c>
      <c r="Z33" s="409">
        <v>0.0</v>
      </c>
      <c r="AA33" s="410"/>
      <c r="AB33" s="405"/>
      <c r="AC33" s="405"/>
    </row>
    <row r="34">
      <c r="A34" s="405" t="s">
        <v>966</v>
      </c>
      <c r="B34" s="405"/>
      <c r="C34" s="406">
        <f t="shared" si="1"/>
        <v>0</v>
      </c>
      <c r="D34" s="407">
        <v>137.0</v>
      </c>
      <c r="E34" s="408">
        <v>124.0</v>
      </c>
      <c r="F34" s="408">
        <v>1.0</v>
      </c>
      <c r="G34" s="408">
        <v>1.0</v>
      </c>
      <c r="H34" s="408">
        <v>160.0</v>
      </c>
      <c r="I34" s="408">
        <v>1.0</v>
      </c>
      <c r="J34" s="408">
        <v>136.0</v>
      </c>
      <c r="K34" s="409"/>
      <c r="L34" s="407"/>
      <c r="M34" s="408">
        <v>0.0</v>
      </c>
      <c r="N34" s="408">
        <v>0.0</v>
      </c>
      <c r="O34" s="408">
        <v>0.0</v>
      </c>
      <c r="P34" s="408">
        <v>0.0</v>
      </c>
      <c r="Q34" s="408">
        <v>0.0</v>
      </c>
      <c r="R34" s="408">
        <v>0.0</v>
      </c>
      <c r="S34" s="408"/>
      <c r="T34" s="408">
        <v>0.0</v>
      </c>
      <c r="U34" s="409">
        <v>0.0</v>
      </c>
      <c r="V34" s="407">
        <v>0.0</v>
      </c>
      <c r="W34" s="408">
        <v>0.0</v>
      </c>
      <c r="X34" s="408">
        <v>0.0</v>
      </c>
      <c r="Y34" s="408">
        <v>0.0</v>
      </c>
      <c r="Z34" s="409">
        <v>0.0</v>
      </c>
      <c r="AA34" s="410"/>
      <c r="AB34" s="405"/>
      <c r="AC34" s="405"/>
    </row>
    <row r="35">
      <c r="A35" s="405" t="s">
        <v>967</v>
      </c>
      <c r="B35" s="405"/>
      <c r="C35" s="406">
        <f t="shared" si="1"/>
        <v>0</v>
      </c>
      <c r="D35" s="407">
        <v>148.0</v>
      </c>
      <c r="E35" s="408">
        <v>139.0</v>
      </c>
      <c r="F35" s="408">
        <v>1.0</v>
      </c>
      <c r="G35" s="408">
        <v>1.0</v>
      </c>
      <c r="H35" s="408">
        <v>160.0</v>
      </c>
      <c r="I35" s="408">
        <v>1.0</v>
      </c>
      <c r="J35" s="408">
        <v>151.0</v>
      </c>
      <c r="K35" s="409"/>
      <c r="L35" s="407"/>
      <c r="M35" s="408">
        <v>0.0</v>
      </c>
      <c r="N35" s="408">
        <v>0.0</v>
      </c>
      <c r="O35" s="408">
        <v>0.0</v>
      </c>
      <c r="P35" s="408">
        <v>0.0</v>
      </c>
      <c r="Q35" s="408">
        <v>0.0</v>
      </c>
      <c r="R35" s="408">
        <v>0.0</v>
      </c>
      <c r="S35" s="408"/>
      <c r="T35" s="408">
        <v>0.0</v>
      </c>
      <c r="U35" s="409">
        <v>0.0</v>
      </c>
      <c r="V35" s="407">
        <v>0.0</v>
      </c>
      <c r="W35" s="408">
        <v>0.0</v>
      </c>
      <c r="X35" s="408">
        <v>0.0</v>
      </c>
      <c r="Y35" s="408">
        <v>0.0</v>
      </c>
      <c r="Z35" s="409">
        <v>0.0</v>
      </c>
      <c r="AA35" s="410"/>
      <c r="AB35" s="405"/>
      <c r="AC35" s="405"/>
    </row>
    <row r="36">
      <c r="A36" s="306" t="s">
        <v>968</v>
      </c>
      <c r="B36" s="306" t="s">
        <v>969</v>
      </c>
      <c r="C36" s="390">
        <f t="shared" si="1"/>
        <v>0</v>
      </c>
      <c r="D36" s="387">
        <v>83.0</v>
      </c>
      <c r="E36" s="388">
        <v>80.0</v>
      </c>
      <c r="F36" s="388">
        <v>70.0</v>
      </c>
      <c r="G36" s="388">
        <v>70.0</v>
      </c>
      <c r="H36" s="388">
        <v>70.0</v>
      </c>
      <c r="I36" s="388">
        <v>1.0</v>
      </c>
      <c r="J36" s="388">
        <v>1.0</v>
      </c>
      <c r="K36" s="389" t="s">
        <v>301</v>
      </c>
      <c r="L36" s="387">
        <v>4.0</v>
      </c>
      <c r="M36" s="388">
        <v>0.0</v>
      </c>
      <c r="N36" s="388">
        <v>0.0</v>
      </c>
      <c r="O36" s="388">
        <v>0.0</v>
      </c>
      <c r="P36" s="388">
        <v>0.0</v>
      </c>
      <c r="Q36" s="388">
        <v>0.0</v>
      </c>
      <c r="R36" s="388">
        <v>0.0</v>
      </c>
      <c r="S36" s="388"/>
      <c r="T36" s="388">
        <v>0.0</v>
      </c>
      <c r="U36" s="389">
        <v>0.0</v>
      </c>
      <c r="V36" s="387">
        <v>30.0</v>
      </c>
      <c r="W36" s="388">
        <v>50.0</v>
      </c>
      <c r="X36" s="388">
        <v>50.0</v>
      </c>
      <c r="Y36" s="388">
        <v>40.0</v>
      </c>
      <c r="Z36" s="389">
        <v>30.0</v>
      </c>
      <c r="AA36" s="305"/>
      <c r="AB36" s="306" t="s">
        <v>936</v>
      </c>
      <c r="AC36" s="306"/>
    </row>
    <row r="37">
      <c r="A37" s="306" t="s">
        <v>970</v>
      </c>
      <c r="B37" s="306" t="s">
        <v>971</v>
      </c>
      <c r="C37" s="390">
        <f t="shared" si="1"/>
        <v>0</v>
      </c>
      <c r="D37" s="387">
        <v>48.0</v>
      </c>
      <c r="E37" s="388">
        <v>50.0</v>
      </c>
      <c r="F37" s="388">
        <v>40.0</v>
      </c>
      <c r="G37" s="388">
        <v>40.0</v>
      </c>
      <c r="H37" s="388">
        <v>40.0</v>
      </c>
      <c r="I37" s="388">
        <v>1.0</v>
      </c>
      <c r="J37" s="388">
        <v>1.0</v>
      </c>
      <c r="K37" s="389" t="s">
        <v>301</v>
      </c>
      <c r="L37" s="387">
        <v>4.0</v>
      </c>
      <c r="M37" s="388">
        <v>0.0</v>
      </c>
      <c r="N37" s="388">
        <v>0.0</v>
      </c>
      <c r="O37" s="388">
        <v>0.0</v>
      </c>
      <c r="P37" s="388">
        <v>0.0</v>
      </c>
      <c r="Q37" s="388">
        <v>0.0</v>
      </c>
      <c r="R37" s="388">
        <v>0.0</v>
      </c>
      <c r="S37" s="388"/>
      <c r="T37" s="388">
        <v>0.0</v>
      </c>
      <c r="U37" s="389">
        <v>0.0</v>
      </c>
      <c r="V37" s="387">
        <v>30.0</v>
      </c>
      <c r="W37" s="388">
        <v>50.0</v>
      </c>
      <c r="X37" s="388">
        <v>50.0</v>
      </c>
      <c r="Y37" s="388">
        <v>40.0</v>
      </c>
      <c r="Z37" s="389">
        <v>30.0</v>
      </c>
      <c r="AA37" s="305"/>
      <c r="AB37" s="306" t="s">
        <v>936</v>
      </c>
      <c r="AC37" s="306"/>
    </row>
    <row r="38">
      <c r="A38" s="405" t="s">
        <v>972</v>
      </c>
      <c r="B38" s="405"/>
      <c r="C38" s="406">
        <f t="shared" si="1"/>
        <v>0</v>
      </c>
      <c r="D38" s="407">
        <v>151.0</v>
      </c>
      <c r="E38" s="408">
        <v>161.0</v>
      </c>
      <c r="F38" s="408">
        <v>115.0</v>
      </c>
      <c r="G38" s="408">
        <v>60.0</v>
      </c>
      <c r="H38" s="408">
        <v>153.0</v>
      </c>
      <c r="I38" s="408">
        <v>150.0</v>
      </c>
      <c r="J38" s="408">
        <v>1.0</v>
      </c>
      <c r="K38" s="409"/>
      <c r="L38" s="407"/>
      <c r="M38" s="408">
        <v>0.0</v>
      </c>
      <c r="N38" s="408">
        <v>0.0</v>
      </c>
      <c r="O38" s="408">
        <v>0.0</v>
      </c>
      <c r="P38" s="408">
        <v>0.0</v>
      </c>
      <c r="Q38" s="408">
        <v>0.0</v>
      </c>
      <c r="R38" s="408">
        <v>0.0</v>
      </c>
      <c r="S38" s="408"/>
      <c r="T38" s="408">
        <v>0.0</v>
      </c>
      <c r="U38" s="409"/>
      <c r="V38" s="407">
        <v>0.0</v>
      </c>
      <c r="W38" s="408">
        <v>0.0</v>
      </c>
      <c r="X38" s="408">
        <v>0.0</v>
      </c>
      <c r="Y38" s="408">
        <v>10.0</v>
      </c>
      <c r="Z38" s="409">
        <v>0.0</v>
      </c>
      <c r="AA38" s="410"/>
      <c r="AB38" s="405" t="s">
        <v>931</v>
      </c>
      <c r="AC38" s="405"/>
    </row>
    <row r="39">
      <c r="A39" s="319" t="s">
        <v>973</v>
      </c>
      <c r="B39" s="319" t="s">
        <v>974</v>
      </c>
      <c r="C39" s="412">
        <f t="shared" si="1"/>
        <v>0</v>
      </c>
      <c r="D39" s="418">
        <v>57.0</v>
      </c>
      <c r="E39" s="419">
        <v>50.0</v>
      </c>
      <c r="F39" s="419">
        <v>50.0</v>
      </c>
      <c r="G39" s="419">
        <v>50.0</v>
      </c>
      <c r="H39" s="419">
        <v>50.0</v>
      </c>
      <c r="I39" s="419">
        <v>1.0</v>
      </c>
      <c r="J39" s="419">
        <v>1.0</v>
      </c>
      <c r="K39" s="420" t="s">
        <v>299</v>
      </c>
      <c r="L39" s="418">
        <v>4.0</v>
      </c>
      <c r="M39" s="325"/>
      <c r="N39" s="325"/>
      <c r="O39" s="325"/>
      <c r="P39" s="421"/>
      <c r="Q39" s="421"/>
      <c r="R39" s="325"/>
      <c r="S39" s="325"/>
      <c r="T39" s="325"/>
      <c r="U39" s="326"/>
      <c r="V39" s="418">
        <v>0.0</v>
      </c>
      <c r="W39" s="419">
        <v>0.0</v>
      </c>
      <c r="X39" s="419">
        <v>0.0</v>
      </c>
      <c r="Y39" s="419">
        <v>0.0</v>
      </c>
      <c r="Z39" s="420">
        <v>0.0</v>
      </c>
      <c r="AA39" s="305"/>
      <c r="AB39" s="306"/>
      <c r="AC39" s="306"/>
    </row>
    <row r="40">
      <c r="A40" s="319" t="s">
        <v>975</v>
      </c>
      <c r="B40" s="319" t="s">
        <v>974</v>
      </c>
      <c r="C40" s="412">
        <f t="shared" si="1"/>
        <v>0</v>
      </c>
      <c r="D40" s="418">
        <v>74.0</v>
      </c>
      <c r="E40" s="419">
        <v>65.0</v>
      </c>
      <c r="F40" s="419">
        <v>65.0</v>
      </c>
      <c r="G40" s="419">
        <v>65.0</v>
      </c>
      <c r="H40" s="419">
        <v>65.0</v>
      </c>
      <c r="I40" s="419">
        <v>1.0</v>
      </c>
      <c r="J40" s="419">
        <v>1.0</v>
      </c>
      <c r="K40" s="420" t="s">
        <v>299</v>
      </c>
      <c r="L40" s="418">
        <v>4.0</v>
      </c>
      <c r="M40" s="325"/>
      <c r="N40" s="325"/>
      <c r="O40" s="325"/>
      <c r="P40" s="421"/>
      <c r="Q40" s="421"/>
      <c r="R40" s="325"/>
      <c r="S40" s="325"/>
      <c r="T40" s="325"/>
      <c r="U40" s="326"/>
      <c r="V40" s="418">
        <v>0.0</v>
      </c>
      <c r="W40" s="419">
        <v>0.0</v>
      </c>
      <c r="X40" s="419">
        <v>0.0</v>
      </c>
      <c r="Y40" s="419">
        <v>0.0</v>
      </c>
      <c r="Z40" s="420">
        <v>0.0</v>
      </c>
      <c r="AA40" s="305"/>
      <c r="AB40" s="306"/>
      <c r="AC40" s="306"/>
    </row>
    <row r="41">
      <c r="A41" s="319" t="s">
        <v>976</v>
      </c>
      <c r="B41" s="316" t="s">
        <v>977</v>
      </c>
      <c r="C41" s="412">
        <f t="shared" si="1"/>
        <v>0.025</v>
      </c>
      <c r="D41" s="422">
        <v>130.0</v>
      </c>
      <c r="E41" s="421">
        <v>155.0</v>
      </c>
      <c r="F41" s="421">
        <v>57.0</v>
      </c>
      <c r="G41" s="421">
        <v>57.0</v>
      </c>
      <c r="H41" s="421">
        <v>57.0</v>
      </c>
      <c r="I41" s="421">
        <v>1.0</v>
      </c>
      <c r="J41" s="421">
        <v>1.0</v>
      </c>
      <c r="K41" s="423" t="s">
        <v>300</v>
      </c>
      <c r="L41" s="422">
        <v>4.0</v>
      </c>
      <c r="M41" s="325"/>
      <c r="N41" s="325"/>
      <c r="O41" s="325"/>
      <c r="P41" s="421">
        <v>57.0</v>
      </c>
      <c r="Q41" s="421">
        <v>52.0</v>
      </c>
      <c r="R41" s="325"/>
      <c r="S41" s="325"/>
      <c r="T41" s="325"/>
      <c r="U41" s="326"/>
      <c r="V41" s="422">
        <v>0.0</v>
      </c>
      <c r="W41" s="421">
        <v>23.0</v>
      </c>
      <c r="X41" s="421">
        <v>22.0</v>
      </c>
      <c r="Y41" s="421">
        <v>0.0</v>
      </c>
      <c r="Z41" s="423">
        <v>0.0</v>
      </c>
      <c r="AA41" s="305"/>
      <c r="AB41" s="306"/>
      <c r="AC41" s="306"/>
    </row>
    <row r="42">
      <c r="A42" s="306" t="s">
        <v>978</v>
      </c>
      <c r="B42" s="306" t="s">
        <v>979</v>
      </c>
      <c r="C42" s="390">
        <f t="shared" si="1"/>
        <v>0</v>
      </c>
      <c r="D42" s="387">
        <v>23.0</v>
      </c>
      <c r="E42" s="388">
        <v>22.0</v>
      </c>
      <c r="F42" s="388">
        <v>22.0</v>
      </c>
      <c r="G42" s="388">
        <v>15.0</v>
      </c>
      <c r="H42" s="388">
        <v>22.0</v>
      </c>
      <c r="I42" s="388">
        <v>1.0</v>
      </c>
      <c r="J42" s="388">
        <v>1.0</v>
      </c>
      <c r="K42" s="389" t="s">
        <v>305</v>
      </c>
      <c r="L42" s="387">
        <v>4.0</v>
      </c>
      <c r="M42" s="388">
        <v>0.0</v>
      </c>
      <c r="N42" s="388">
        <v>0.0</v>
      </c>
      <c r="O42" s="388">
        <v>0.0</v>
      </c>
      <c r="P42" s="388">
        <v>0.0</v>
      </c>
      <c r="Q42" s="388">
        <v>0.0</v>
      </c>
      <c r="R42" s="388">
        <v>0.0</v>
      </c>
      <c r="S42" s="388"/>
      <c r="T42" s="388">
        <v>0.0</v>
      </c>
      <c r="U42" s="389">
        <v>0.0</v>
      </c>
      <c r="V42" s="387">
        <v>5.0</v>
      </c>
      <c r="W42" s="388">
        <v>5.0</v>
      </c>
      <c r="X42" s="388">
        <v>5.0</v>
      </c>
      <c r="Y42" s="388">
        <v>0.0</v>
      </c>
      <c r="Z42" s="389">
        <v>5.0</v>
      </c>
      <c r="AA42" s="305"/>
      <c r="AB42" s="306" t="s">
        <v>929</v>
      </c>
      <c r="AC42" s="306"/>
    </row>
    <row r="43">
      <c r="A43" s="306" t="s">
        <v>980</v>
      </c>
      <c r="B43" s="306" t="s">
        <v>981</v>
      </c>
      <c r="C43" s="390">
        <f t="shared" si="1"/>
        <v>0</v>
      </c>
      <c r="D43" s="387">
        <v>9.0</v>
      </c>
      <c r="E43" s="388">
        <v>20.0</v>
      </c>
      <c r="F43" s="388">
        <v>6.0</v>
      </c>
      <c r="G43" s="388">
        <v>7.0</v>
      </c>
      <c r="H43" s="388">
        <v>3.0</v>
      </c>
      <c r="I43" s="388">
        <v>1.0</v>
      </c>
      <c r="J43" s="388">
        <v>1.0</v>
      </c>
      <c r="K43" s="389" t="s">
        <v>299</v>
      </c>
      <c r="L43" s="387">
        <v>4.0</v>
      </c>
      <c r="M43" s="388">
        <v>0.0</v>
      </c>
      <c r="N43" s="388">
        <v>0.0</v>
      </c>
      <c r="O43" s="388">
        <v>0.0</v>
      </c>
      <c r="P43" s="388">
        <v>9.0</v>
      </c>
      <c r="Q43" s="388">
        <v>16.0</v>
      </c>
      <c r="R43" s="388">
        <v>0.0</v>
      </c>
      <c r="S43" s="388"/>
      <c r="T43" s="388">
        <v>0.0</v>
      </c>
      <c r="U43" s="389">
        <v>0.0</v>
      </c>
      <c r="V43" s="387">
        <v>0.0</v>
      </c>
      <c r="W43" s="388">
        <v>10.0</v>
      </c>
      <c r="X43" s="388">
        <v>10.0</v>
      </c>
      <c r="Y43" s="388">
        <v>-3.0</v>
      </c>
      <c r="Z43" s="389">
        <v>5.0</v>
      </c>
      <c r="AA43" s="305"/>
      <c r="AB43" s="306"/>
      <c r="AC43" s="306"/>
    </row>
    <row r="44">
      <c r="A44" s="306" t="s">
        <v>982</v>
      </c>
      <c r="B44" s="306" t="s">
        <v>981</v>
      </c>
      <c r="C44" s="390">
        <f t="shared" si="1"/>
        <v>0</v>
      </c>
      <c r="D44" s="387">
        <v>10.0</v>
      </c>
      <c r="E44" s="388">
        <v>18.0</v>
      </c>
      <c r="F44" s="388">
        <v>8.0</v>
      </c>
      <c r="G44" s="388">
        <v>7.0</v>
      </c>
      <c r="H44" s="388">
        <v>3.0</v>
      </c>
      <c r="I44" s="388">
        <v>1.0</v>
      </c>
      <c r="J44" s="388">
        <v>1.0</v>
      </c>
      <c r="K44" s="389" t="s">
        <v>299</v>
      </c>
      <c r="L44" s="387">
        <v>4.0</v>
      </c>
      <c r="M44" s="388">
        <v>0.0</v>
      </c>
      <c r="N44" s="388">
        <v>0.0</v>
      </c>
      <c r="O44" s="388">
        <v>0.0</v>
      </c>
      <c r="P44" s="388">
        <v>9.0</v>
      </c>
      <c r="Q44" s="388">
        <v>15.0</v>
      </c>
      <c r="R44" s="388">
        <v>0.0</v>
      </c>
      <c r="S44" s="388"/>
      <c r="T44" s="388">
        <v>0.0</v>
      </c>
      <c r="U44" s="389">
        <v>0.0</v>
      </c>
      <c r="V44" s="387">
        <v>0.0</v>
      </c>
      <c r="W44" s="388">
        <v>3.0</v>
      </c>
      <c r="X44" s="388">
        <v>2.0</v>
      </c>
      <c r="Y44" s="388">
        <v>-3.0</v>
      </c>
      <c r="Z44" s="389">
        <v>2.0</v>
      </c>
      <c r="AA44" s="305"/>
      <c r="AB44" s="306"/>
      <c r="AC44" s="306"/>
    </row>
    <row r="45">
      <c r="A45" s="306" t="s">
        <v>983</v>
      </c>
      <c r="B45" s="306" t="s">
        <v>981</v>
      </c>
      <c r="C45" s="390">
        <f t="shared" si="1"/>
        <v>0</v>
      </c>
      <c r="D45" s="387">
        <v>15.0</v>
      </c>
      <c r="E45" s="388">
        <v>24.0</v>
      </c>
      <c r="F45" s="388">
        <v>15.0</v>
      </c>
      <c r="G45" s="388">
        <v>3.0</v>
      </c>
      <c r="H45" s="388">
        <v>10.0</v>
      </c>
      <c r="I45" s="388">
        <v>1.0</v>
      </c>
      <c r="J45" s="388">
        <v>15.0</v>
      </c>
      <c r="K45" s="389" t="s">
        <v>299</v>
      </c>
      <c r="L45" s="387">
        <v>4.0</v>
      </c>
      <c r="M45" s="388">
        <v>0.0</v>
      </c>
      <c r="N45" s="388">
        <v>0.0</v>
      </c>
      <c r="O45" s="388">
        <v>0.0</v>
      </c>
      <c r="P45" s="388">
        <v>9.0</v>
      </c>
      <c r="Q45" s="388">
        <v>15.0</v>
      </c>
      <c r="R45" s="388">
        <v>0.0</v>
      </c>
      <c r="S45" s="388"/>
      <c r="T45" s="388">
        <v>0.0</v>
      </c>
      <c r="U45" s="389">
        <v>0.0</v>
      </c>
      <c r="V45" s="387">
        <v>0.0</v>
      </c>
      <c r="W45" s="388">
        <v>3.0</v>
      </c>
      <c r="X45" s="388">
        <v>2.0</v>
      </c>
      <c r="Y45" s="388">
        <v>-3.0</v>
      </c>
      <c r="Z45" s="389">
        <v>2.0</v>
      </c>
      <c r="AA45" s="305"/>
      <c r="AB45" s="306"/>
      <c r="AC45" s="306"/>
    </row>
    <row r="46">
      <c r="A46" s="306" t="s">
        <v>984</v>
      </c>
      <c r="B46" s="306" t="s">
        <v>981</v>
      </c>
      <c r="C46" s="390">
        <f t="shared" si="1"/>
        <v>0</v>
      </c>
      <c r="D46" s="387">
        <v>17.0</v>
      </c>
      <c r="E46" s="388">
        <v>24.0</v>
      </c>
      <c r="F46" s="388">
        <v>15.0</v>
      </c>
      <c r="G46" s="388">
        <v>14.0</v>
      </c>
      <c r="H46" s="388">
        <v>10.0</v>
      </c>
      <c r="I46" s="388">
        <v>1.0</v>
      </c>
      <c r="J46" s="388">
        <v>1.0</v>
      </c>
      <c r="K46" s="389" t="s">
        <v>299</v>
      </c>
      <c r="L46" s="387">
        <v>4.0</v>
      </c>
      <c r="M46" s="388">
        <v>0.0</v>
      </c>
      <c r="N46" s="388">
        <v>0.0</v>
      </c>
      <c r="O46" s="388">
        <v>0.0</v>
      </c>
      <c r="P46" s="388">
        <v>9.0</v>
      </c>
      <c r="Q46" s="388">
        <v>15.0</v>
      </c>
      <c r="R46" s="388">
        <v>0.0</v>
      </c>
      <c r="S46" s="388"/>
      <c r="T46" s="388">
        <v>0.0</v>
      </c>
      <c r="U46" s="389">
        <v>0.0</v>
      </c>
      <c r="V46" s="387">
        <v>0.0</v>
      </c>
      <c r="W46" s="388">
        <v>3.0</v>
      </c>
      <c r="X46" s="388">
        <v>2.0</v>
      </c>
      <c r="Y46" s="388">
        <v>-3.0</v>
      </c>
      <c r="Z46" s="389">
        <v>2.0</v>
      </c>
      <c r="AA46" s="305"/>
      <c r="AB46" s="306"/>
      <c r="AC46" s="306"/>
    </row>
    <row r="47">
      <c r="A47" s="306" t="s">
        <v>985</v>
      </c>
      <c r="B47" s="417" t="s">
        <v>986</v>
      </c>
      <c r="C47" s="390">
        <f t="shared" si="1"/>
        <v>0</v>
      </c>
      <c r="D47" s="387">
        <v>61.0</v>
      </c>
      <c r="E47" s="388">
        <v>75.0</v>
      </c>
      <c r="F47" s="388">
        <v>30.0</v>
      </c>
      <c r="G47" s="388">
        <v>45.0</v>
      </c>
      <c r="H47" s="388">
        <v>75.0</v>
      </c>
      <c r="I47" s="388">
        <v>1.0</v>
      </c>
      <c r="J47" s="388">
        <v>1.0</v>
      </c>
      <c r="K47" s="389" t="s">
        <v>301</v>
      </c>
      <c r="L47" s="387">
        <v>4.0</v>
      </c>
      <c r="M47" s="388">
        <v>0.0</v>
      </c>
      <c r="N47" s="388">
        <v>0.0</v>
      </c>
      <c r="O47" s="388">
        <v>0.0</v>
      </c>
      <c r="P47" s="388">
        <v>0.0</v>
      </c>
      <c r="Q47" s="388">
        <v>0.0</v>
      </c>
      <c r="R47" s="388">
        <v>0.0</v>
      </c>
      <c r="S47" s="388"/>
      <c r="T47" s="388">
        <v>0.0</v>
      </c>
      <c r="U47" s="389">
        <v>0.0</v>
      </c>
      <c r="V47" s="387">
        <v>20.0</v>
      </c>
      <c r="W47" s="388">
        <v>20.0</v>
      </c>
      <c r="X47" s="388">
        <v>0.0</v>
      </c>
      <c r="Y47" s="388">
        <v>20.0</v>
      </c>
      <c r="Z47" s="389">
        <v>0.0</v>
      </c>
      <c r="AA47" s="305"/>
      <c r="AB47" s="306"/>
      <c r="AC47" s="306"/>
    </row>
    <row r="48">
      <c r="A48" s="306" t="s">
        <v>987</v>
      </c>
      <c r="B48" s="417"/>
      <c r="C48" s="390">
        <f t="shared" si="1"/>
        <v>0</v>
      </c>
      <c r="D48" s="387">
        <v>6.0</v>
      </c>
      <c r="E48" s="388">
        <v>8.0</v>
      </c>
      <c r="F48" s="388">
        <v>5.0</v>
      </c>
      <c r="G48" s="388">
        <v>5.0</v>
      </c>
      <c r="H48" s="388">
        <v>5.0</v>
      </c>
      <c r="I48" s="388">
        <v>1.0</v>
      </c>
      <c r="J48" s="388">
        <v>1.0</v>
      </c>
      <c r="K48" s="389" t="s">
        <v>300</v>
      </c>
      <c r="L48" s="387">
        <v>4.0</v>
      </c>
      <c r="M48" s="388">
        <v>0.0</v>
      </c>
      <c r="N48" s="388">
        <v>0.0</v>
      </c>
      <c r="O48" s="388">
        <v>0.0</v>
      </c>
      <c r="P48" s="388">
        <v>0.0</v>
      </c>
      <c r="Q48" s="388">
        <v>0.0</v>
      </c>
      <c r="R48" s="388">
        <v>0.0</v>
      </c>
      <c r="S48" s="388"/>
      <c r="T48" s="388">
        <v>0.0</v>
      </c>
      <c r="U48" s="389">
        <v>0.0</v>
      </c>
      <c r="V48" s="387">
        <v>2.0</v>
      </c>
      <c r="W48" s="388">
        <v>2.0</v>
      </c>
      <c r="X48" s="388">
        <v>5.0</v>
      </c>
      <c r="Y48" s="388">
        <v>2.0</v>
      </c>
      <c r="Z48" s="389">
        <v>0.0</v>
      </c>
      <c r="AA48" s="305"/>
      <c r="AB48" s="306"/>
      <c r="AC48" s="306"/>
    </row>
    <row r="49">
      <c r="A49" s="306" t="s">
        <v>988</v>
      </c>
      <c r="B49" s="417" t="s">
        <v>989</v>
      </c>
      <c r="C49" s="390">
        <f t="shared" si="1"/>
        <v>0</v>
      </c>
      <c r="D49" s="387">
        <v>15.0</v>
      </c>
      <c r="E49" s="388">
        <v>20.0</v>
      </c>
      <c r="F49" s="388">
        <v>10.0</v>
      </c>
      <c r="G49" s="388">
        <v>15.0</v>
      </c>
      <c r="H49" s="388">
        <v>10.0</v>
      </c>
      <c r="I49" s="388">
        <v>1.0</v>
      </c>
      <c r="J49" s="388">
        <v>1.0</v>
      </c>
      <c r="K49" s="389" t="s">
        <v>301</v>
      </c>
      <c r="L49" s="387">
        <v>4.0</v>
      </c>
      <c r="M49" s="388">
        <v>0.0</v>
      </c>
      <c r="N49" s="388">
        <v>0.0</v>
      </c>
      <c r="O49" s="388">
        <v>0.0</v>
      </c>
      <c r="P49" s="388">
        <v>0.0</v>
      </c>
      <c r="Q49" s="388">
        <v>0.0</v>
      </c>
      <c r="R49" s="388">
        <v>0.0</v>
      </c>
      <c r="S49" s="388"/>
      <c r="T49" s="388">
        <v>0.0</v>
      </c>
      <c r="U49" s="389">
        <v>0.0</v>
      </c>
      <c r="V49" s="387">
        <v>0.0</v>
      </c>
      <c r="W49" s="388">
        <v>0.0</v>
      </c>
      <c r="X49" s="388">
        <v>0.0</v>
      </c>
      <c r="Y49" s="388">
        <v>0.0</v>
      </c>
      <c r="Z49" s="389">
        <v>0.0</v>
      </c>
      <c r="AA49" s="305"/>
      <c r="AB49" s="306"/>
      <c r="AC49" s="306"/>
    </row>
    <row r="50">
      <c r="A50" s="306" t="s">
        <v>990</v>
      </c>
      <c r="B50" s="417" t="s">
        <v>991</v>
      </c>
      <c r="C50" s="390">
        <f t="shared" si="1"/>
        <v>0</v>
      </c>
      <c r="D50" s="387">
        <v>56.0</v>
      </c>
      <c r="E50" s="388">
        <v>50.0</v>
      </c>
      <c r="F50" s="388">
        <v>40.0</v>
      </c>
      <c r="G50" s="388">
        <v>50.0</v>
      </c>
      <c r="H50" s="388">
        <v>60.0</v>
      </c>
      <c r="I50" s="388">
        <v>0.0</v>
      </c>
      <c r="J50" s="388">
        <v>0.0</v>
      </c>
      <c r="K50" s="389" t="s">
        <v>301</v>
      </c>
      <c r="L50" s="387">
        <v>4.0</v>
      </c>
      <c r="M50" s="388"/>
      <c r="N50" s="388"/>
      <c r="O50" s="388"/>
      <c r="P50" s="388">
        <v>9.0</v>
      </c>
      <c r="Q50" s="388">
        <v>14.0</v>
      </c>
      <c r="R50" s="388"/>
      <c r="S50" s="388"/>
      <c r="T50" s="388"/>
      <c r="U50" s="389"/>
      <c r="V50" s="387">
        <v>0.0</v>
      </c>
      <c r="W50" s="388">
        <v>0.0</v>
      </c>
      <c r="X50" s="388">
        <v>0.0</v>
      </c>
      <c r="Y50" s="388">
        <v>0.0</v>
      </c>
      <c r="Z50" s="389">
        <v>0.0</v>
      </c>
      <c r="AA50" s="305"/>
      <c r="AB50" s="306"/>
      <c r="AC50" s="306"/>
    </row>
    <row r="51">
      <c r="A51" s="306" t="s">
        <v>992</v>
      </c>
      <c r="B51" s="417" t="s">
        <v>993</v>
      </c>
      <c r="C51" s="390">
        <f t="shared" si="1"/>
        <v>0</v>
      </c>
      <c r="D51" s="387">
        <v>73.0</v>
      </c>
      <c r="E51" s="388">
        <v>74.0</v>
      </c>
      <c r="F51" s="388">
        <v>60.0</v>
      </c>
      <c r="G51" s="388">
        <v>61.0</v>
      </c>
      <c r="H51" s="388">
        <v>62.0</v>
      </c>
      <c r="I51" s="388">
        <v>1.0</v>
      </c>
      <c r="J51" s="388">
        <v>1.0</v>
      </c>
      <c r="K51" s="389" t="s">
        <v>300</v>
      </c>
      <c r="L51" s="387">
        <v>4.0</v>
      </c>
      <c r="M51" s="388">
        <v>0.0</v>
      </c>
      <c r="N51" s="388">
        <v>0.0</v>
      </c>
      <c r="O51" s="388">
        <v>0.0</v>
      </c>
      <c r="P51" s="388">
        <v>0.0</v>
      </c>
      <c r="Q51" s="388">
        <v>0.0</v>
      </c>
      <c r="R51" s="388">
        <v>0.0</v>
      </c>
      <c r="S51" s="388"/>
      <c r="T51" s="388">
        <v>0.0</v>
      </c>
      <c r="U51" s="389">
        <v>0.0</v>
      </c>
      <c r="V51" s="387">
        <v>0.0</v>
      </c>
      <c r="W51" s="388">
        <v>0.0</v>
      </c>
      <c r="X51" s="388">
        <v>0.0</v>
      </c>
      <c r="Y51" s="388">
        <v>0.0</v>
      </c>
      <c r="Z51" s="389">
        <v>0.0</v>
      </c>
      <c r="AA51" s="305"/>
      <c r="AB51" s="306"/>
      <c r="AC51" s="306"/>
    </row>
    <row r="52">
      <c r="A52" s="306" t="s">
        <v>994</v>
      </c>
      <c r="B52" s="306" t="s">
        <v>995</v>
      </c>
      <c r="C52" s="390">
        <f t="shared" si="1"/>
        <v>0</v>
      </c>
      <c r="D52" s="387">
        <v>19.0</v>
      </c>
      <c r="E52" s="388">
        <v>25.0</v>
      </c>
      <c r="F52" s="388">
        <v>15.0</v>
      </c>
      <c r="G52" s="388">
        <v>16.0</v>
      </c>
      <c r="H52" s="388">
        <v>13.0</v>
      </c>
      <c r="I52" s="388">
        <v>1.0</v>
      </c>
      <c r="J52" s="388">
        <v>1.0</v>
      </c>
      <c r="K52" s="389" t="s">
        <v>301</v>
      </c>
      <c r="L52" s="387">
        <v>4.0</v>
      </c>
      <c r="M52" s="388">
        <v>0.0</v>
      </c>
      <c r="N52" s="388">
        <v>0.0</v>
      </c>
      <c r="O52" s="388">
        <v>0.0</v>
      </c>
      <c r="P52" s="388">
        <v>0.0</v>
      </c>
      <c r="Q52" s="388">
        <v>0.0</v>
      </c>
      <c r="R52" s="388">
        <v>0.0</v>
      </c>
      <c r="S52" s="388"/>
      <c r="T52" s="388">
        <v>0.0</v>
      </c>
      <c r="U52" s="389">
        <v>0.0</v>
      </c>
      <c r="V52" s="387">
        <v>0.0</v>
      </c>
      <c r="W52" s="388">
        <v>0.0</v>
      </c>
      <c r="X52" s="388">
        <v>0.0</v>
      </c>
      <c r="Y52" s="388">
        <v>0.0</v>
      </c>
      <c r="Z52" s="389">
        <v>0.0</v>
      </c>
      <c r="AA52" s="305"/>
      <c r="AB52" s="306"/>
      <c r="AC52" s="306"/>
    </row>
    <row r="53">
      <c r="A53" s="306" t="s">
        <v>996</v>
      </c>
      <c r="B53" s="306" t="s">
        <v>997</v>
      </c>
      <c r="C53" s="390">
        <f t="shared" si="1"/>
        <v>0</v>
      </c>
      <c r="D53" s="387">
        <v>172.0</v>
      </c>
      <c r="E53" s="388">
        <v>157.0</v>
      </c>
      <c r="F53" s="388">
        <v>145.0</v>
      </c>
      <c r="G53" s="388">
        <v>148.0</v>
      </c>
      <c r="H53" s="388">
        <v>152.0</v>
      </c>
      <c r="I53" s="388">
        <v>1.0</v>
      </c>
      <c r="J53" s="388">
        <v>1.0</v>
      </c>
      <c r="K53" s="389" t="s">
        <v>301</v>
      </c>
      <c r="L53" s="387">
        <v>4.0</v>
      </c>
      <c r="M53" s="388">
        <v>0.0</v>
      </c>
      <c r="N53" s="388">
        <v>0.0</v>
      </c>
      <c r="O53" s="388">
        <v>0.0</v>
      </c>
      <c r="P53" s="388">
        <v>0.0</v>
      </c>
      <c r="Q53" s="388">
        <v>0.0</v>
      </c>
      <c r="R53" s="388">
        <v>0.0</v>
      </c>
      <c r="S53" s="388"/>
      <c r="T53" s="388">
        <v>0.0</v>
      </c>
      <c r="U53" s="389">
        <v>0.0</v>
      </c>
      <c r="V53" s="387">
        <v>0.0</v>
      </c>
      <c r="W53" s="388">
        <v>0.0</v>
      </c>
      <c r="X53" s="388">
        <v>0.0</v>
      </c>
      <c r="Y53" s="388">
        <v>-10.0</v>
      </c>
      <c r="Z53" s="389">
        <v>0.0</v>
      </c>
      <c r="AA53" s="305"/>
      <c r="AB53" s="306" t="s">
        <v>931</v>
      </c>
      <c r="AC53" s="306"/>
    </row>
    <row r="54">
      <c r="A54" s="306" t="s">
        <v>998</v>
      </c>
      <c r="B54" s="417" t="s">
        <v>954</v>
      </c>
      <c r="C54" s="390">
        <f t="shared" si="1"/>
        <v>0</v>
      </c>
      <c r="D54" s="387">
        <v>178.0</v>
      </c>
      <c r="E54" s="388">
        <v>160.0</v>
      </c>
      <c r="F54" s="388">
        <v>145.0</v>
      </c>
      <c r="G54" s="388">
        <v>148.0</v>
      </c>
      <c r="H54" s="388">
        <v>175.0</v>
      </c>
      <c r="I54" s="388">
        <v>1.0</v>
      </c>
      <c r="J54" s="388">
        <v>1.0</v>
      </c>
      <c r="K54" s="389" t="s">
        <v>301</v>
      </c>
      <c r="L54" s="387">
        <v>4.0</v>
      </c>
      <c r="M54" s="388">
        <v>0.0</v>
      </c>
      <c r="N54" s="388">
        <v>0.0</v>
      </c>
      <c r="O54" s="388">
        <v>0.0</v>
      </c>
      <c r="P54" s="388">
        <v>0.0</v>
      </c>
      <c r="Q54" s="388">
        <v>0.0</v>
      </c>
      <c r="R54" s="388">
        <v>0.0</v>
      </c>
      <c r="S54" s="388"/>
      <c r="T54" s="388">
        <v>0.0</v>
      </c>
      <c r="U54" s="389">
        <v>0.0</v>
      </c>
      <c r="V54" s="387">
        <v>0.0</v>
      </c>
      <c r="W54" s="388">
        <v>0.0</v>
      </c>
      <c r="X54" s="388">
        <v>0.0</v>
      </c>
      <c r="Y54" s="388">
        <v>-10.0</v>
      </c>
      <c r="Z54" s="389">
        <v>0.0</v>
      </c>
      <c r="AA54" s="305"/>
      <c r="AB54" s="306" t="s">
        <v>931</v>
      </c>
      <c r="AC54" s="306"/>
    </row>
    <row r="55">
      <c r="A55" s="306" t="s">
        <v>999</v>
      </c>
      <c r="B55" s="417" t="s">
        <v>954</v>
      </c>
      <c r="C55" s="390">
        <f t="shared" si="1"/>
        <v>0</v>
      </c>
      <c r="D55" s="387">
        <v>184.0</v>
      </c>
      <c r="E55" s="388">
        <v>170.0</v>
      </c>
      <c r="F55" s="388">
        <v>155.0</v>
      </c>
      <c r="G55" s="388">
        <v>158.0</v>
      </c>
      <c r="H55" s="388">
        <v>162.0</v>
      </c>
      <c r="I55" s="388">
        <v>1.0</v>
      </c>
      <c r="J55" s="388">
        <v>1.0</v>
      </c>
      <c r="K55" s="389" t="s">
        <v>301</v>
      </c>
      <c r="L55" s="387">
        <v>4.0</v>
      </c>
      <c r="M55" s="388">
        <v>0.0</v>
      </c>
      <c r="N55" s="388">
        <v>0.0</v>
      </c>
      <c r="O55" s="388">
        <v>0.0</v>
      </c>
      <c r="P55" s="388">
        <v>0.0</v>
      </c>
      <c r="Q55" s="388">
        <v>0.0</v>
      </c>
      <c r="R55" s="388">
        <v>0.0</v>
      </c>
      <c r="S55" s="388"/>
      <c r="T55" s="388">
        <v>0.0</v>
      </c>
      <c r="U55" s="389">
        <v>0.0</v>
      </c>
      <c r="V55" s="387">
        <v>0.0</v>
      </c>
      <c r="W55" s="388">
        <v>0.0</v>
      </c>
      <c r="X55" s="388">
        <v>0.0</v>
      </c>
      <c r="Y55" s="388">
        <v>-10.0</v>
      </c>
      <c r="Z55" s="389">
        <v>0.0</v>
      </c>
      <c r="AA55" s="305"/>
      <c r="AB55" s="306" t="s">
        <v>931</v>
      </c>
      <c r="AC55" s="306"/>
    </row>
    <row r="56">
      <c r="A56" s="319" t="s">
        <v>1000</v>
      </c>
      <c r="B56" s="411" t="s">
        <v>952</v>
      </c>
      <c r="C56" s="412">
        <f t="shared" si="1"/>
        <v>0</v>
      </c>
      <c r="D56" s="413">
        <v>188.0</v>
      </c>
      <c r="E56" s="414">
        <v>200.0</v>
      </c>
      <c r="F56" s="414">
        <v>145.0</v>
      </c>
      <c r="G56" s="414">
        <v>165.0</v>
      </c>
      <c r="H56" s="414">
        <v>152.0</v>
      </c>
      <c r="I56" s="414">
        <v>1.0</v>
      </c>
      <c r="J56" s="414">
        <v>1.0</v>
      </c>
      <c r="K56" s="415" t="s">
        <v>301</v>
      </c>
      <c r="L56" s="413">
        <v>4.0</v>
      </c>
      <c r="M56" s="178"/>
      <c r="N56" s="178"/>
      <c r="O56" s="178"/>
      <c r="P56" s="178"/>
      <c r="Q56" s="178"/>
      <c r="R56" s="178"/>
      <c r="S56" s="178"/>
      <c r="T56" s="178"/>
      <c r="U56" s="416"/>
      <c r="V56" s="413">
        <v>0.0</v>
      </c>
      <c r="W56" s="414">
        <v>0.0</v>
      </c>
      <c r="X56" s="414">
        <v>0.0</v>
      </c>
      <c r="Y56" s="414">
        <v>-10.0</v>
      </c>
      <c r="Z56" s="415">
        <v>0.0</v>
      </c>
      <c r="AA56" s="394"/>
      <c r="AB56" s="306" t="s">
        <v>931</v>
      </c>
      <c r="AC56" s="395"/>
    </row>
    <row r="57">
      <c r="A57" s="405" t="s">
        <v>1001</v>
      </c>
      <c r="B57" s="405"/>
      <c r="C57" s="406">
        <f t="shared" si="1"/>
        <v>0</v>
      </c>
      <c r="D57" s="407">
        <v>172.0</v>
      </c>
      <c r="E57" s="408">
        <v>157.0</v>
      </c>
      <c r="F57" s="408">
        <v>145.0</v>
      </c>
      <c r="G57" s="408">
        <v>148.0</v>
      </c>
      <c r="H57" s="408">
        <v>152.0</v>
      </c>
      <c r="I57" s="408">
        <v>1.0</v>
      </c>
      <c r="J57" s="408">
        <v>1.0</v>
      </c>
      <c r="K57" s="409"/>
      <c r="L57" s="407"/>
      <c r="M57" s="408">
        <v>0.0</v>
      </c>
      <c r="N57" s="408">
        <v>0.0</v>
      </c>
      <c r="O57" s="408">
        <v>0.0</v>
      </c>
      <c r="P57" s="408">
        <v>0.0</v>
      </c>
      <c r="Q57" s="408">
        <v>0.0</v>
      </c>
      <c r="R57" s="408">
        <v>0.0</v>
      </c>
      <c r="S57" s="408"/>
      <c r="T57" s="408">
        <v>0.0</v>
      </c>
      <c r="U57" s="409"/>
      <c r="V57" s="407">
        <v>0.0</v>
      </c>
      <c r="W57" s="408">
        <v>0.0</v>
      </c>
      <c r="X57" s="408">
        <v>0.0</v>
      </c>
      <c r="Y57" s="408">
        <v>-10.0</v>
      </c>
      <c r="Z57" s="409">
        <v>0.0</v>
      </c>
      <c r="AA57" s="410"/>
      <c r="AB57" s="405" t="s">
        <v>931</v>
      </c>
      <c r="AC57" s="405"/>
    </row>
    <row r="58">
      <c r="A58" s="405" t="s">
        <v>1002</v>
      </c>
      <c r="B58" s="405"/>
      <c r="C58" s="406">
        <f t="shared" si="1"/>
        <v>0</v>
      </c>
      <c r="D58" s="407">
        <v>292.0</v>
      </c>
      <c r="E58" s="408">
        <v>157.0</v>
      </c>
      <c r="F58" s="408">
        <v>290.0</v>
      </c>
      <c r="G58" s="408">
        <v>296.0</v>
      </c>
      <c r="H58" s="408">
        <v>152.0</v>
      </c>
      <c r="I58" s="408">
        <v>1.0</v>
      </c>
      <c r="J58" s="408">
        <v>1.0</v>
      </c>
      <c r="K58" s="409"/>
      <c r="L58" s="407"/>
      <c r="M58" s="408">
        <v>0.0</v>
      </c>
      <c r="N58" s="408">
        <v>0.0</v>
      </c>
      <c r="O58" s="408">
        <v>0.0</v>
      </c>
      <c r="P58" s="408">
        <v>0.0</v>
      </c>
      <c r="Q58" s="408">
        <v>0.0</v>
      </c>
      <c r="R58" s="408">
        <v>0.0</v>
      </c>
      <c r="S58" s="408"/>
      <c r="T58" s="408">
        <v>0.0</v>
      </c>
      <c r="U58" s="409"/>
      <c r="V58" s="407">
        <v>0.0</v>
      </c>
      <c r="W58" s="408">
        <v>0.0</v>
      </c>
      <c r="X58" s="408">
        <v>0.0</v>
      </c>
      <c r="Y58" s="408">
        <v>-10.0</v>
      </c>
      <c r="Z58" s="409">
        <v>0.0</v>
      </c>
      <c r="AA58" s="410"/>
      <c r="AB58" s="405" t="s">
        <v>931</v>
      </c>
      <c r="AC58" s="405"/>
    </row>
    <row r="59">
      <c r="A59" s="306" t="s">
        <v>1003</v>
      </c>
      <c r="B59" s="306" t="s">
        <v>997</v>
      </c>
      <c r="C59" s="390">
        <f t="shared" si="1"/>
        <v>0.05</v>
      </c>
      <c r="D59" s="387">
        <v>227.0</v>
      </c>
      <c r="E59" s="388">
        <v>190.0</v>
      </c>
      <c r="F59" s="388">
        <v>200.0</v>
      </c>
      <c r="G59" s="388">
        <v>200.0</v>
      </c>
      <c r="H59" s="388">
        <v>200.0</v>
      </c>
      <c r="I59" s="388">
        <v>100.0</v>
      </c>
      <c r="J59" s="388">
        <v>1.0</v>
      </c>
      <c r="K59" s="389" t="s">
        <v>301</v>
      </c>
      <c r="L59" s="387">
        <v>4.0</v>
      </c>
      <c r="M59" s="388">
        <v>0.0</v>
      </c>
      <c r="N59" s="388">
        <v>0.0</v>
      </c>
      <c r="O59" s="388">
        <v>0.0</v>
      </c>
      <c r="P59" s="388">
        <v>0.0</v>
      </c>
      <c r="Q59" s="388">
        <v>0.0</v>
      </c>
      <c r="R59" s="388">
        <v>0.0</v>
      </c>
      <c r="S59" s="388"/>
      <c r="T59" s="388">
        <v>0.0</v>
      </c>
      <c r="U59" s="389">
        <v>0.0</v>
      </c>
      <c r="V59" s="387">
        <v>50.0</v>
      </c>
      <c r="W59" s="388">
        <v>70.0</v>
      </c>
      <c r="X59" s="388">
        <v>70.0</v>
      </c>
      <c r="Y59" s="388">
        <v>60.0</v>
      </c>
      <c r="Z59" s="389">
        <v>50.0</v>
      </c>
      <c r="AA59" s="305"/>
      <c r="AB59" s="306" t="s">
        <v>936</v>
      </c>
      <c r="AC59" s="306"/>
    </row>
    <row r="60">
      <c r="A60" s="319" t="s">
        <v>1004</v>
      </c>
      <c r="B60" s="411" t="s">
        <v>952</v>
      </c>
      <c r="C60" s="412">
        <f t="shared" si="1"/>
        <v>0.05</v>
      </c>
      <c r="D60" s="413">
        <v>247.0</v>
      </c>
      <c r="E60" s="414">
        <v>250.0</v>
      </c>
      <c r="F60" s="414">
        <v>200.0</v>
      </c>
      <c r="G60" s="414">
        <v>215.0</v>
      </c>
      <c r="H60" s="414">
        <v>200.0</v>
      </c>
      <c r="I60" s="414">
        <v>150.0</v>
      </c>
      <c r="J60" s="414">
        <v>1.0</v>
      </c>
      <c r="K60" s="415" t="s">
        <v>301</v>
      </c>
      <c r="L60" s="413">
        <v>4.0</v>
      </c>
      <c r="M60" s="178"/>
      <c r="N60" s="178"/>
      <c r="O60" s="178"/>
      <c r="P60" s="178"/>
      <c r="Q60" s="178"/>
      <c r="R60" s="178"/>
      <c r="S60" s="178"/>
      <c r="T60" s="178"/>
      <c r="U60" s="416"/>
      <c r="V60" s="413">
        <v>50.0</v>
      </c>
      <c r="W60" s="414">
        <v>70.0</v>
      </c>
      <c r="X60" s="414">
        <v>70.0</v>
      </c>
      <c r="Y60" s="414">
        <v>60.0</v>
      </c>
      <c r="Z60" s="415">
        <v>50.0</v>
      </c>
      <c r="AA60" s="394"/>
      <c r="AB60" s="306" t="s">
        <v>936</v>
      </c>
      <c r="AC60" s="395"/>
    </row>
    <row r="61">
      <c r="A61" s="306" t="s">
        <v>1005</v>
      </c>
      <c r="B61" s="306" t="s">
        <v>1006</v>
      </c>
      <c r="C61" s="390">
        <f t="shared" si="1"/>
        <v>0</v>
      </c>
      <c r="D61" s="387">
        <v>25.0</v>
      </c>
      <c r="E61" s="388">
        <v>30.0</v>
      </c>
      <c r="F61" s="388">
        <v>20.0</v>
      </c>
      <c r="G61" s="388">
        <v>20.0</v>
      </c>
      <c r="H61" s="388">
        <v>20.0</v>
      </c>
      <c r="I61" s="388">
        <v>1.0</v>
      </c>
      <c r="J61" s="388">
        <v>1.0</v>
      </c>
      <c r="K61" s="389" t="s">
        <v>300</v>
      </c>
      <c r="L61" s="387">
        <v>4.0</v>
      </c>
      <c r="M61" s="388">
        <v>0.0</v>
      </c>
      <c r="N61" s="388">
        <v>0.0</v>
      </c>
      <c r="O61" s="388">
        <v>0.0</v>
      </c>
      <c r="P61" s="388">
        <v>5.0</v>
      </c>
      <c r="Q61" s="388">
        <v>7.0</v>
      </c>
      <c r="R61" s="388">
        <v>0.0</v>
      </c>
      <c r="S61" s="388"/>
      <c r="T61" s="388">
        <v>0.0</v>
      </c>
      <c r="U61" s="389">
        <v>0.0</v>
      </c>
      <c r="V61" s="387">
        <v>3.0</v>
      </c>
      <c r="W61" s="388">
        <v>4.0</v>
      </c>
      <c r="X61" s="388">
        <v>4.0</v>
      </c>
      <c r="Y61" s="388">
        <v>2.0</v>
      </c>
      <c r="Z61" s="389">
        <v>3.0</v>
      </c>
      <c r="AA61" s="305"/>
      <c r="AB61" s="306"/>
      <c r="AC61" s="306"/>
    </row>
    <row r="62">
      <c r="A62" s="306" t="s">
        <v>1007</v>
      </c>
      <c r="B62" s="417" t="s">
        <v>1008</v>
      </c>
      <c r="C62" s="390">
        <f t="shared" si="1"/>
        <v>0</v>
      </c>
      <c r="D62" s="387">
        <v>33.0</v>
      </c>
      <c r="E62" s="388">
        <v>42.0</v>
      </c>
      <c r="F62" s="388">
        <v>25.0</v>
      </c>
      <c r="G62" s="388">
        <v>25.0</v>
      </c>
      <c r="H62" s="388">
        <v>25.0</v>
      </c>
      <c r="I62" s="388">
        <v>1.0</v>
      </c>
      <c r="J62" s="388">
        <v>1.0</v>
      </c>
      <c r="K62" s="389" t="s">
        <v>301</v>
      </c>
      <c r="L62" s="387">
        <v>4.0</v>
      </c>
      <c r="M62" s="388">
        <v>0.0</v>
      </c>
      <c r="N62" s="388">
        <v>0.0</v>
      </c>
      <c r="O62" s="388">
        <v>0.0</v>
      </c>
      <c r="P62" s="388">
        <v>18.0</v>
      </c>
      <c r="Q62" s="388">
        <v>16.0</v>
      </c>
      <c r="R62" s="388">
        <v>0.0</v>
      </c>
      <c r="S62" s="388"/>
      <c r="T62" s="388">
        <v>0.0</v>
      </c>
      <c r="U62" s="389">
        <v>0.0</v>
      </c>
      <c r="V62" s="387">
        <v>73.0</v>
      </c>
      <c r="W62" s="388">
        <v>76.0</v>
      </c>
      <c r="X62" s="388">
        <v>70.0</v>
      </c>
      <c r="Y62" s="388">
        <v>-11.0</v>
      </c>
      <c r="Z62" s="389">
        <v>72.0</v>
      </c>
      <c r="AA62" s="305"/>
      <c r="AB62" s="306"/>
      <c r="AC62" s="306"/>
    </row>
    <row r="63">
      <c r="A63" s="405" t="s">
        <v>1009</v>
      </c>
      <c r="B63" s="405"/>
      <c r="C63" s="406">
        <f t="shared" si="1"/>
        <v>0.025</v>
      </c>
      <c r="D63" s="407">
        <v>120.0</v>
      </c>
      <c r="E63" s="408">
        <v>142.0</v>
      </c>
      <c r="F63" s="408">
        <v>91.0</v>
      </c>
      <c r="G63" s="408">
        <v>100.0</v>
      </c>
      <c r="H63" s="408">
        <v>91.0</v>
      </c>
      <c r="I63" s="408">
        <v>1.0</v>
      </c>
      <c r="J63" s="408">
        <v>1.0</v>
      </c>
      <c r="K63" s="409"/>
      <c r="L63" s="407"/>
      <c r="M63" s="408">
        <v>0.0</v>
      </c>
      <c r="N63" s="408">
        <v>0.0</v>
      </c>
      <c r="O63" s="408">
        <v>0.0</v>
      </c>
      <c r="P63" s="408">
        <v>27.0</v>
      </c>
      <c r="Q63" s="408">
        <v>22.0</v>
      </c>
      <c r="R63" s="408">
        <v>0.0</v>
      </c>
      <c r="S63" s="408"/>
      <c r="T63" s="408">
        <v>0.0</v>
      </c>
      <c r="U63" s="409"/>
      <c r="V63" s="407">
        <v>18.0</v>
      </c>
      <c r="W63" s="408">
        <v>27.0</v>
      </c>
      <c r="X63" s="408">
        <v>18.0</v>
      </c>
      <c r="Y63" s="408">
        <v>1000.0</v>
      </c>
      <c r="Z63" s="409">
        <v>1000.0</v>
      </c>
      <c r="AA63" s="410"/>
      <c r="AB63" s="405"/>
      <c r="AC63" s="405"/>
    </row>
    <row r="64">
      <c r="A64" s="405" t="s">
        <v>1010</v>
      </c>
      <c r="B64" s="405"/>
      <c r="C64" s="406">
        <f t="shared" si="1"/>
        <v>0.05</v>
      </c>
      <c r="D64" s="407">
        <v>210.0</v>
      </c>
      <c r="E64" s="408">
        <v>255.0</v>
      </c>
      <c r="F64" s="408">
        <v>182.0</v>
      </c>
      <c r="G64" s="408">
        <v>200.0</v>
      </c>
      <c r="H64" s="408">
        <v>91.0</v>
      </c>
      <c r="I64" s="408">
        <v>1.0</v>
      </c>
      <c r="J64" s="408">
        <v>1.0</v>
      </c>
      <c r="K64" s="409"/>
      <c r="L64" s="407"/>
      <c r="M64" s="408">
        <v>0.0</v>
      </c>
      <c r="N64" s="408">
        <v>0.0</v>
      </c>
      <c r="O64" s="408">
        <v>0.0</v>
      </c>
      <c r="P64" s="408">
        <v>27.0</v>
      </c>
      <c r="Q64" s="408">
        <v>22.0</v>
      </c>
      <c r="R64" s="408">
        <v>0.0</v>
      </c>
      <c r="S64" s="408"/>
      <c r="T64" s="408">
        <v>0.0</v>
      </c>
      <c r="U64" s="409"/>
      <c r="V64" s="407">
        <v>18.0</v>
      </c>
      <c r="W64" s="408">
        <v>27.0</v>
      </c>
      <c r="X64" s="408">
        <v>18.0</v>
      </c>
      <c r="Y64" s="408">
        <v>1000.0</v>
      </c>
      <c r="Z64" s="409">
        <v>1000.0</v>
      </c>
      <c r="AA64" s="410"/>
      <c r="AB64" s="405"/>
      <c r="AC64" s="405"/>
    </row>
    <row r="65">
      <c r="A65" s="316" t="s">
        <v>1011</v>
      </c>
      <c r="B65" s="316" t="s">
        <v>1012</v>
      </c>
      <c r="C65" s="412">
        <f t="shared" si="1"/>
        <v>0</v>
      </c>
      <c r="D65" s="422">
        <v>27.0</v>
      </c>
      <c r="E65" s="421">
        <v>29.0</v>
      </c>
      <c r="F65" s="421">
        <v>21.0</v>
      </c>
      <c r="G65" s="421">
        <v>23.0</v>
      </c>
      <c r="H65" s="421">
        <v>23.0</v>
      </c>
      <c r="I65" s="421">
        <v>1.0</v>
      </c>
      <c r="J65" s="421">
        <v>1.0</v>
      </c>
      <c r="K65" s="423" t="s">
        <v>300</v>
      </c>
      <c r="L65" s="422">
        <v>4.0</v>
      </c>
      <c r="M65" s="325"/>
      <c r="N65" s="325"/>
      <c r="O65" s="325"/>
      <c r="P65" s="325"/>
      <c r="Q65" s="325"/>
      <c r="R65" s="325"/>
      <c r="S65" s="325"/>
      <c r="T65" s="325"/>
      <c r="U65" s="326"/>
      <c r="V65" s="422">
        <v>0.0</v>
      </c>
      <c r="W65" s="421">
        <v>0.0</v>
      </c>
      <c r="X65" s="421">
        <v>0.0</v>
      </c>
      <c r="Y65" s="421">
        <v>0.0</v>
      </c>
      <c r="Z65" s="423">
        <v>0.0</v>
      </c>
      <c r="AA65" s="305"/>
      <c r="AB65" s="306"/>
      <c r="AC65" s="306"/>
    </row>
    <row r="66">
      <c r="A66" s="306" t="s">
        <v>1013</v>
      </c>
      <c r="B66" s="306" t="s">
        <v>928</v>
      </c>
      <c r="C66" s="390">
        <f t="shared" si="1"/>
        <v>0</v>
      </c>
      <c r="D66" s="387">
        <v>76.0</v>
      </c>
      <c r="E66" s="388">
        <v>120.0</v>
      </c>
      <c r="F66" s="388">
        <v>75.0</v>
      </c>
      <c r="G66" s="388">
        <v>45.0</v>
      </c>
      <c r="H66" s="388">
        <v>30.0</v>
      </c>
      <c r="I66" s="388">
        <v>1.0</v>
      </c>
      <c r="J66" s="388">
        <v>1.0</v>
      </c>
      <c r="K66" s="389" t="s">
        <v>305</v>
      </c>
      <c r="L66" s="387">
        <v>4.0</v>
      </c>
      <c r="M66" s="388">
        <v>0.0</v>
      </c>
      <c r="N66" s="388">
        <v>0.0</v>
      </c>
      <c r="O66" s="388">
        <v>0.0</v>
      </c>
      <c r="P66" s="388">
        <v>0.0</v>
      </c>
      <c r="Q66" s="388">
        <v>0.0</v>
      </c>
      <c r="R66" s="388">
        <v>0.0</v>
      </c>
      <c r="S66" s="388"/>
      <c r="T66" s="388">
        <v>0.0</v>
      </c>
      <c r="U66" s="389">
        <v>0.0</v>
      </c>
      <c r="V66" s="387">
        <v>0.0</v>
      </c>
      <c r="W66" s="388">
        <v>0.0</v>
      </c>
      <c r="X66" s="388">
        <v>0.0</v>
      </c>
      <c r="Y66" s="388">
        <v>0.0</v>
      </c>
      <c r="Z66" s="389">
        <v>0.0</v>
      </c>
      <c r="AA66" s="305"/>
      <c r="AB66" s="306"/>
      <c r="AC66" s="306"/>
    </row>
    <row r="67">
      <c r="A67" s="405" t="s">
        <v>1014</v>
      </c>
      <c r="B67" s="405"/>
      <c r="C67" s="406">
        <f t="shared" si="1"/>
        <v>0</v>
      </c>
      <c r="D67" s="407">
        <v>81.0</v>
      </c>
      <c r="E67" s="408">
        <v>134.0</v>
      </c>
      <c r="F67" s="408">
        <v>80.0</v>
      </c>
      <c r="G67" s="408">
        <v>46.0</v>
      </c>
      <c r="H67" s="408">
        <v>30.0</v>
      </c>
      <c r="I67" s="408">
        <v>1.0</v>
      </c>
      <c r="J67" s="408">
        <v>1.0</v>
      </c>
      <c r="K67" s="409"/>
      <c r="L67" s="407"/>
      <c r="M67" s="408">
        <v>0.0</v>
      </c>
      <c r="N67" s="408">
        <v>0.0</v>
      </c>
      <c r="O67" s="408">
        <v>0.0</v>
      </c>
      <c r="P67" s="408">
        <v>0.0</v>
      </c>
      <c r="Q67" s="408">
        <v>0.0</v>
      </c>
      <c r="R67" s="408">
        <v>0.0</v>
      </c>
      <c r="S67" s="408"/>
      <c r="T67" s="408">
        <v>0.0</v>
      </c>
      <c r="U67" s="409"/>
      <c r="V67" s="407">
        <v>0.0</v>
      </c>
      <c r="W67" s="408">
        <v>0.0</v>
      </c>
      <c r="X67" s="408">
        <v>0.0</v>
      </c>
      <c r="Y67" s="408">
        <v>0.0</v>
      </c>
      <c r="Z67" s="409">
        <v>0.0</v>
      </c>
      <c r="AA67" s="410"/>
      <c r="AB67" s="405"/>
      <c r="AC67" s="405"/>
    </row>
    <row r="68">
      <c r="A68" s="306" t="s">
        <v>1015</v>
      </c>
      <c r="B68" s="306" t="s">
        <v>997</v>
      </c>
      <c r="C68" s="390">
        <f t="shared" si="1"/>
        <v>0.025</v>
      </c>
      <c r="D68" s="387">
        <v>111.0</v>
      </c>
      <c r="E68" s="388">
        <v>105.0</v>
      </c>
      <c r="F68" s="388">
        <v>95.0</v>
      </c>
      <c r="G68" s="388">
        <v>95.0</v>
      </c>
      <c r="H68" s="388">
        <v>95.0</v>
      </c>
      <c r="I68" s="388">
        <v>1.0</v>
      </c>
      <c r="J68" s="388">
        <v>1.0</v>
      </c>
      <c r="K68" s="389" t="s">
        <v>301</v>
      </c>
      <c r="L68" s="387">
        <v>4.0</v>
      </c>
      <c r="M68" s="388">
        <v>0.0</v>
      </c>
      <c r="N68" s="388">
        <v>0.0</v>
      </c>
      <c r="O68" s="388">
        <v>0.0</v>
      </c>
      <c r="P68" s="388">
        <v>0.0</v>
      </c>
      <c r="Q68" s="388">
        <v>0.0</v>
      </c>
      <c r="R68" s="388">
        <v>0.0</v>
      </c>
      <c r="S68" s="388"/>
      <c r="T68" s="388">
        <v>0.0</v>
      </c>
      <c r="U68" s="389">
        <v>0.0</v>
      </c>
      <c r="V68" s="387">
        <v>50.0</v>
      </c>
      <c r="W68" s="388">
        <v>70.0</v>
      </c>
      <c r="X68" s="388">
        <v>70.0</v>
      </c>
      <c r="Y68" s="388">
        <v>60.0</v>
      </c>
      <c r="Z68" s="389">
        <v>50.0</v>
      </c>
      <c r="AA68" s="305"/>
      <c r="AB68" s="306" t="s">
        <v>936</v>
      </c>
      <c r="AC68" s="306"/>
    </row>
    <row r="69">
      <c r="A69" s="405" t="s">
        <v>1016</v>
      </c>
      <c r="B69" s="405"/>
      <c r="C69" s="406">
        <f t="shared" si="1"/>
        <v>0</v>
      </c>
      <c r="D69" s="407">
        <v>137.0</v>
      </c>
      <c r="E69" s="408">
        <v>116.0</v>
      </c>
      <c r="F69" s="408">
        <v>120.0</v>
      </c>
      <c r="G69" s="408">
        <v>120.0</v>
      </c>
      <c r="H69" s="408">
        <v>120.0</v>
      </c>
      <c r="I69" s="408">
        <v>1.0</v>
      </c>
      <c r="J69" s="408">
        <v>1.0</v>
      </c>
      <c r="K69" s="409"/>
      <c r="L69" s="407"/>
      <c r="M69" s="408">
        <v>0.0</v>
      </c>
      <c r="N69" s="408">
        <v>0.0</v>
      </c>
      <c r="O69" s="408">
        <v>0.0</v>
      </c>
      <c r="P69" s="408">
        <v>0.0</v>
      </c>
      <c r="Q69" s="408">
        <v>0.0</v>
      </c>
      <c r="R69" s="408">
        <v>0.0</v>
      </c>
      <c r="S69" s="408"/>
      <c r="T69" s="408">
        <v>0.0</v>
      </c>
      <c r="U69" s="409"/>
      <c r="V69" s="407">
        <v>0.0</v>
      </c>
      <c r="W69" s="408">
        <v>0.0</v>
      </c>
      <c r="X69" s="408">
        <v>0.0</v>
      </c>
      <c r="Y69" s="408">
        <v>0.0</v>
      </c>
      <c r="Z69" s="409">
        <v>0.0</v>
      </c>
      <c r="AA69" s="410"/>
      <c r="AB69" s="405"/>
      <c r="AC69" s="405"/>
    </row>
    <row r="70">
      <c r="A70" s="405" t="s">
        <v>1017</v>
      </c>
      <c r="B70" s="405"/>
      <c r="C70" s="406">
        <f t="shared" si="1"/>
        <v>0</v>
      </c>
      <c r="D70" s="407">
        <v>244.0</v>
      </c>
      <c r="E70" s="408">
        <v>232.0</v>
      </c>
      <c r="F70" s="408">
        <v>240.0</v>
      </c>
      <c r="G70" s="408">
        <v>240.0</v>
      </c>
      <c r="H70" s="408">
        <v>120.0</v>
      </c>
      <c r="I70" s="408">
        <v>1.0</v>
      </c>
      <c r="J70" s="408">
        <v>1.0</v>
      </c>
      <c r="K70" s="409"/>
      <c r="L70" s="407"/>
      <c r="M70" s="408">
        <v>0.0</v>
      </c>
      <c r="N70" s="408">
        <v>0.0</v>
      </c>
      <c r="O70" s="408">
        <v>0.0</v>
      </c>
      <c r="P70" s="408">
        <v>0.0</v>
      </c>
      <c r="Q70" s="408">
        <v>0.0</v>
      </c>
      <c r="R70" s="408">
        <v>0.0</v>
      </c>
      <c r="S70" s="408"/>
      <c r="T70" s="408">
        <v>0.0</v>
      </c>
      <c r="U70" s="409"/>
      <c r="V70" s="407">
        <v>0.0</v>
      </c>
      <c r="W70" s="408">
        <v>0.0</v>
      </c>
      <c r="X70" s="408">
        <v>0.0</v>
      </c>
      <c r="Y70" s="408">
        <v>0.0</v>
      </c>
      <c r="Z70" s="409">
        <v>0.0</v>
      </c>
      <c r="AA70" s="410"/>
      <c r="AB70" s="405"/>
      <c r="AC70" s="405"/>
    </row>
    <row r="71">
      <c r="A71" s="405" t="s">
        <v>1018</v>
      </c>
      <c r="B71" s="405"/>
      <c r="C71" s="406">
        <f t="shared" si="1"/>
        <v>0</v>
      </c>
      <c r="D71" s="407">
        <v>146.0</v>
      </c>
      <c r="E71" s="408">
        <v>162.0</v>
      </c>
      <c r="F71" s="408">
        <v>162.0</v>
      </c>
      <c r="G71" s="408">
        <v>80.0</v>
      </c>
      <c r="H71" s="408">
        <v>130.0</v>
      </c>
      <c r="I71" s="408">
        <v>80.0</v>
      </c>
      <c r="J71" s="408">
        <v>150.0</v>
      </c>
      <c r="K71" s="409"/>
      <c r="L71" s="407"/>
      <c r="M71" s="408">
        <v>0.0</v>
      </c>
      <c r="N71" s="408">
        <v>0.0</v>
      </c>
      <c r="O71" s="408">
        <v>0.0</v>
      </c>
      <c r="P71" s="408">
        <v>10.0</v>
      </c>
      <c r="Q71" s="408">
        <v>7.0</v>
      </c>
      <c r="R71" s="408">
        <v>0.0</v>
      </c>
      <c r="S71" s="408"/>
      <c r="T71" s="408">
        <v>0.0</v>
      </c>
      <c r="U71" s="409"/>
      <c r="V71" s="407">
        <v>12.0</v>
      </c>
      <c r="W71" s="408">
        <v>14.0</v>
      </c>
      <c r="X71" s="408">
        <v>14.0</v>
      </c>
      <c r="Y71" s="408">
        <v>18.0</v>
      </c>
      <c r="Z71" s="409">
        <v>5.0</v>
      </c>
      <c r="AA71" s="410"/>
      <c r="AB71" s="405"/>
      <c r="AC71" s="405"/>
    </row>
    <row r="72">
      <c r="A72" s="405" t="s">
        <v>1019</v>
      </c>
      <c r="B72" s="405"/>
      <c r="C72" s="406">
        <f t="shared" si="1"/>
        <v>0</v>
      </c>
      <c r="D72" s="407">
        <v>70.0</v>
      </c>
      <c r="E72" s="408">
        <v>50.0</v>
      </c>
      <c r="F72" s="408">
        <v>70.0</v>
      </c>
      <c r="G72" s="408">
        <v>79.0</v>
      </c>
      <c r="H72" s="408">
        <v>40.0</v>
      </c>
      <c r="I72" s="408">
        <v>1.0</v>
      </c>
      <c r="J72" s="408">
        <v>1.0</v>
      </c>
      <c r="K72" s="409"/>
      <c r="L72" s="407"/>
      <c r="M72" s="408">
        <v>0.0</v>
      </c>
      <c r="N72" s="408">
        <v>0.0</v>
      </c>
      <c r="O72" s="408">
        <v>0.0</v>
      </c>
      <c r="P72" s="408">
        <v>0.0</v>
      </c>
      <c r="Q72" s="408">
        <v>0.0</v>
      </c>
      <c r="R72" s="408">
        <v>0.0</v>
      </c>
      <c r="S72" s="408"/>
      <c r="T72" s="408">
        <v>0.0</v>
      </c>
      <c r="U72" s="409"/>
      <c r="V72" s="407">
        <v>0.0</v>
      </c>
      <c r="W72" s="408">
        <v>0.0</v>
      </c>
      <c r="X72" s="408">
        <v>0.0</v>
      </c>
      <c r="Y72" s="408">
        <v>0.0</v>
      </c>
      <c r="Z72" s="409">
        <v>0.0</v>
      </c>
      <c r="AA72" s="410"/>
      <c r="AB72" s="405"/>
      <c r="AC72" s="405"/>
    </row>
    <row r="73">
      <c r="A73" s="306" t="s">
        <v>1020</v>
      </c>
      <c r="B73" s="306" t="s">
        <v>969</v>
      </c>
      <c r="C73" s="390">
        <f t="shared" si="1"/>
        <v>0.025</v>
      </c>
      <c r="D73" s="387">
        <v>131.0</v>
      </c>
      <c r="E73" s="388">
        <v>122.0</v>
      </c>
      <c r="F73" s="388">
        <v>112.0</v>
      </c>
      <c r="G73" s="388">
        <v>112.0</v>
      </c>
      <c r="H73" s="388">
        <v>112.0</v>
      </c>
      <c r="I73" s="388">
        <v>100.0</v>
      </c>
      <c r="J73" s="388">
        <v>1.0</v>
      </c>
      <c r="K73" s="389" t="s">
        <v>301</v>
      </c>
      <c r="L73" s="387">
        <v>4.0</v>
      </c>
      <c r="M73" s="388">
        <v>0.0</v>
      </c>
      <c r="N73" s="388">
        <v>0.0</v>
      </c>
      <c r="O73" s="388">
        <v>0.0</v>
      </c>
      <c r="P73" s="388">
        <v>0.0</v>
      </c>
      <c r="Q73" s="388">
        <v>0.0</v>
      </c>
      <c r="R73" s="388">
        <v>0.0</v>
      </c>
      <c r="S73" s="388"/>
      <c r="T73" s="388">
        <v>0.0</v>
      </c>
      <c r="U73" s="389">
        <v>0.0</v>
      </c>
      <c r="V73" s="387">
        <v>50.0</v>
      </c>
      <c r="W73" s="388">
        <v>70.0</v>
      </c>
      <c r="X73" s="388">
        <v>70.0</v>
      </c>
      <c r="Y73" s="388">
        <v>30.0</v>
      </c>
      <c r="Z73" s="389">
        <v>90.0</v>
      </c>
      <c r="AA73" s="305"/>
      <c r="AB73" s="306" t="s">
        <v>936</v>
      </c>
      <c r="AC73" s="306"/>
    </row>
    <row r="74">
      <c r="A74" s="306" t="s">
        <v>1021</v>
      </c>
      <c r="B74" s="417" t="s">
        <v>954</v>
      </c>
      <c r="C74" s="390">
        <f t="shared" si="1"/>
        <v>0.025</v>
      </c>
      <c r="D74" s="387">
        <v>143.0</v>
      </c>
      <c r="E74" s="388">
        <v>122.0</v>
      </c>
      <c r="F74" s="388">
        <v>130.0</v>
      </c>
      <c r="G74" s="388">
        <v>130.0</v>
      </c>
      <c r="H74" s="388">
        <v>112.0</v>
      </c>
      <c r="I74" s="388">
        <v>130.0</v>
      </c>
      <c r="J74" s="388">
        <v>1.0</v>
      </c>
      <c r="K74" s="389" t="s">
        <v>301</v>
      </c>
      <c r="L74" s="387">
        <v>4.0</v>
      </c>
      <c r="M74" s="388">
        <v>0.0</v>
      </c>
      <c r="N74" s="388">
        <v>0.0</v>
      </c>
      <c r="O74" s="388">
        <v>0.0</v>
      </c>
      <c r="P74" s="388">
        <v>0.0</v>
      </c>
      <c r="Q74" s="388">
        <v>0.0</v>
      </c>
      <c r="R74" s="388">
        <v>0.0</v>
      </c>
      <c r="S74" s="388"/>
      <c r="T74" s="388">
        <v>0.0</v>
      </c>
      <c r="U74" s="389">
        <v>0.0</v>
      </c>
      <c r="V74" s="387">
        <v>50.0</v>
      </c>
      <c r="W74" s="388">
        <v>70.0</v>
      </c>
      <c r="X74" s="388">
        <v>70.0</v>
      </c>
      <c r="Y74" s="388">
        <v>30.0</v>
      </c>
      <c r="Z74" s="389">
        <v>90.0</v>
      </c>
      <c r="AA74" s="305"/>
      <c r="AB74" s="306" t="s">
        <v>936</v>
      </c>
      <c r="AC74" s="306"/>
    </row>
    <row r="75">
      <c r="A75" s="306" t="s">
        <v>1022</v>
      </c>
      <c r="B75" s="424" t="s">
        <v>954</v>
      </c>
      <c r="C75" s="390">
        <f t="shared" si="1"/>
        <v>0.075</v>
      </c>
      <c r="D75" s="387">
        <v>318.0</v>
      </c>
      <c r="E75" s="388">
        <v>315.0</v>
      </c>
      <c r="F75" s="388">
        <v>330.0</v>
      </c>
      <c r="G75" s="388">
        <v>210.0</v>
      </c>
      <c r="H75" s="388">
        <v>258.0</v>
      </c>
      <c r="I75" s="388">
        <v>250.0</v>
      </c>
      <c r="J75" s="388">
        <v>0.0</v>
      </c>
      <c r="K75" s="389" t="s">
        <v>301</v>
      </c>
      <c r="L75" s="387">
        <v>4.0</v>
      </c>
      <c r="M75" s="388">
        <v>0.0</v>
      </c>
      <c r="N75" s="388">
        <v>0.0</v>
      </c>
      <c r="O75" s="388">
        <v>0.0</v>
      </c>
      <c r="P75" s="388">
        <v>0.0</v>
      </c>
      <c r="Q75" s="388">
        <v>0.0</v>
      </c>
      <c r="R75" s="388">
        <v>0.0</v>
      </c>
      <c r="S75" s="388"/>
      <c r="T75" s="388">
        <v>0.0</v>
      </c>
      <c r="U75" s="389">
        <v>0.0</v>
      </c>
      <c r="V75" s="387">
        <v>50.0</v>
      </c>
      <c r="W75" s="388">
        <v>70.0</v>
      </c>
      <c r="X75" s="388">
        <v>70.0</v>
      </c>
      <c r="Y75" s="388">
        <v>60.0</v>
      </c>
      <c r="Z75" s="389">
        <v>50.0</v>
      </c>
      <c r="AA75" s="305"/>
      <c r="AB75" s="306" t="s">
        <v>936</v>
      </c>
      <c r="AC75" s="306"/>
    </row>
    <row r="76">
      <c r="A76" s="306" t="s">
        <v>1023</v>
      </c>
      <c r="B76" s="424" t="s">
        <v>954</v>
      </c>
      <c r="C76" s="390">
        <f t="shared" si="1"/>
        <v>0.05</v>
      </c>
      <c r="D76" s="387">
        <v>271.0</v>
      </c>
      <c r="E76" s="388">
        <v>245.0</v>
      </c>
      <c r="F76" s="388">
        <v>298.0</v>
      </c>
      <c r="G76" s="388">
        <v>198.0</v>
      </c>
      <c r="H76" s="388">
        <v>198.0</v>
      </c>
      <c r="I76" s="388">
        <v>198.0</v>
      </c>
      <c r="J76" s="388">
        <v>0.0</v>
      </c>
      <c r="K76" s="389" t="s">
        <v>301</v>
      </c>
      <c r="L76" s="387">
        <v>4.0</v>
      </c>
      <c r="M76" s="388">
        <v>0.0</v>
      </c>
      <c r="N76" s="388">
        <v>0.0</v>
      </c>
      <c r="O76" s="388">
        <v>0.0</v>
      </c>
      <c r="P76" s="388">
        <v>0.0</v>
      </c>
      <c r="Q76" s="388">
        <v>0.0</v>
      </c>
      <c r="R76" s="388">
        <v>0.0</v>
      </c>
      <c r="S76" s="388"/>
      <c r="T76" s="388">
        <v>0.0</v>
      </c>
      <c r="U76" s="389">
        <v>0.0</v>
      </c>
      <c r="V76" s="387">
        <v>50.0</v>
      </c>
      <c r="W76" s="388">
        <v>70.0</v>
      </c>
      <c r="X76" s="388">
        <v>70.0</v>
      </c>
      <c r="Y76" s="388">
        <v>60.0</v>
      </c>
      <c r="Z76" s="389">
        <v>50.0</v>
      </c>
      <c r="AA76" s="305"/>
      <c r="AB76" s="306" t="s">
        <v>936</v>
      </c>
      <c r="AC76" s="306"/>
    </row>
    <row r="77">
      <c r="A77" s="405" t="s">
        <v>1024</v>
      </c>
      <c r="B77" s="405"/>
      <c r="C77" s="406">
        <f t="shared" si="1"/>
        <v>0.05</v>
      </c>
      <c r="D77" s="407">
        <v>227.0</v>
      </c>
      <c r="E77" s="408">
        <v>175.0</v>
      </c>
      <c r="F77" s="408">
        <v>268.0</v>
      </c>
      <c r="G77" s="408">
        <v>168.0</v>
      </c>
      <c r="H77" s="408">
        <v>168.0</v>
      </c>
      <c r="I77" s="408">
        <v>168.0</v>
      </c>
      <c r="J77" s="408">
        <v>0.0</v>
      </c>
      <c r="K77" s="409"/>
      <c r="L77" s="407"/>
      <c r="M77" s="408">
        <v>0.0</v>
      </c>
      <c r="N77" s="408">
        <v>0.0</v>
      </c>
      <c r="O77" s="408">
        <v>0.0</v>
      </c>
      <c r="P77" s="408">
        <v>0.0</v>
      </c>
      <c r="Q77" s="408">
        <v>0.0</v>
      </c>
      <c r="R77" s="408">
        <v>0.0</v>
      </c>
      <c r="S77" s="408"/>
      <c r="T77" s="408">
        <v>0.0</v>
      </c>
      <c r="U77" s="409"/>
      <c r="V77" s="407">
        <v>50.0</v>
      </c>
      <c r="W77" s="408">
        <v>70.0</v>
      </c>
      <c r="X77" s="408">
        <v>70.0</v>
      </c>
      <c r="Y77" s="408">
        <v>60.0</v>
      </c>
      <c r="Z77" s="409">
        <v>50.0</v>
      </c>
      <c r="AA77" s="410"/>
      <c r="AB77" s="306" t="s">
        <v>936</v>
      </c>
      <c r="AC77" s="405"/>
    </row>
    <row r="78">
      <c r="A78" s="306" t="s">
        <v>1025</v>
      </c>
      <c r="B78" s="424" t="s">
        <v>954</v>
      </c>
      <c r="C78" s="390">
        <f t="shared" si="1"/>
        <v>0.075</v>
      </c>
      <c r="D78" s="387">
        <v>289.0</v>
      </c>
      <c r="E78" s="388">
        <v>285.0</v>
      </c>
      <c r="F78" s="388">
        <v>310.0</v>
      </c>
      <c r="G78" s="388">
        <v>210.0</v>
      </c>
      <c r="H78" s="388">
        <v>198.0</v>
      </c>
      <c r="I78" s="388">
        <v>250.0</v>
      </c>
      <c r="J78" s="388">
        <v>0.0</v>
      </c>
      <c r="K78" s="389" t="s">
        <v>301</v>
      </c>
      <c r="L78" s="387">
        <v>4.0</v>
      </c>
      <c r="M78" s="388">
        <v>0.0</v>
      </c>
      <c r="N78" s="388">
        <v>0.0</v>
      </c>
      <c r="O78" s="388">
        <v>0.0</v>
      </c>
      <c r="P78" s="388">
        <v>0.0</v>
      </c>
      <c r="Q78" s="388">
        <v>0.0</v>
      </c>
      <c r="R78" s="388">
        <v>0.0</v>
      </c>
      <c r="S78" s="388"/>
      <c r="T78" s="388">
        <v>0.0</v>
      </c>
      <c r="U78" s="389">
        <v>0.0</v>
      </c>
      <c r="V78" s="387">
        <v>50.0</v>
      </c>
      <c r="W78" s="388">
        <v>70.0</v>
      </c>
      <c r="X78" s="388">
        <v>70.0</v>
      </c>
      <c r="Y78" s="388">
        <v>60.0</v>
      </c>
      <c r="Z78" s="389">
        <v>50.0</v>
      </c>
      <c r="AA78" s="305"/>
      <c r="AB78" s="306" t="s">
        <v>936</v>
      </c>
      <c r="AC78" s="306"/>
    </row>
    <row r="79">
      <c r="A79" s="405" t="s">
        <v>1026</v>
      </c>
      <c r="B79" s="405"/>
      <c r="C79" s="406">
        <f t="shared" si="1"/>
        <v>0.225</v>
      </c>
      <c r="D79" s="407">
        <v>470.0</v>
      </c>
      <c r="E79" s="408">
        <v>255.0</v>
      </c>
      <c r="F79" s="408">
        <v>350.0</v>
      </c>
      <c r="G79" s="408">
        <v>370.0</v>
      </c>
      <c r="H79" s="408">
        <v>440.0</v>
      </c>
      <c r="I79" s="408">
        <v>1.0</v>
      </c>
      <c r="J79" s="408">
        <v>1.0</v>
      </c>
      <c r="K79" s="409"/>
      <c r="L79" s="407"/>
      <c r="M79" s="408">
        <v>0.0</v>
      </c>
      <c r="N79" s="408">
        <v>0.0</v>
      </c>
      <c r="O79" s="408">
        <v>0.0</v>
      </c>
      <c r="P79" s="408">
        <v>0.0</v>
      </c>
      <c r="Q79" s="408">
        <v>0.0</v>
      </c>
      <c r="R79" s="408">
        <v>0.0</v>
      </c>
      <c r="S79" s="408"/>
      <c r="T79" s="408">
        <v>0.0</v>
      </c>
      <c r="U79" s="409"/>
      <c r="V79" s="407">
        <v>135.0</v>
      </c>
      <c r="W79" s="408">
        <v>104.0</v>
      </c>
      <c r="X79" s="408">
        <v>175.0</v>
      </c>
      <c r="Y79" s="408">
        <v>900.0</v>
      </c>
      <c r="Z79" s="409">
        <v>230.0</v>
      </c>
      <c r="AA79" s="410"/>
      <c r="AB79" s="405"/>
      <c r="AC79" s="405"/>
    </row>
    <row r="80">
      <c r="A80" s="306" t="s">
        <v>1027</v>
      </c>
      <c r="B80" s="306" t="s">
        <v>1028</v>
      </c>
      <c r="C80" s="390">
        <f t="shared" si="1"/>
        <v>0</v>
      </c>
      <c r="D80" s="387">
        <v>49.0</v>
      </c>
      <c r="E80" s="388">
        <v>40.0</v>
      </c>
      <c r="F80" s="388">
        <v>45.0</v>
      </c>
      <c r="G80" s="388">
        <v>40.0</v>
      </c>
      <c r="H80" s="388">
        <v>40.0</v>
      </c>
      <c r="I80" s="388">
        <v>60.0</v>
      </c>
      <c r="J80" s="388">
        <v>1.0</v>
      </c>
      <c r="K80" s="389" t="s">
        <v>299</v>
      </c>
      <c r="L80" s="387">
        <v>4.0</v>
      </c>
      <c r="M80" s="388"/>
      <c r="N80" s="388"/>
      <c r="O80" s="388"/>
      <c r="P80" s="388"/>
      <c r="Q80" s="388"/>
      <c r="R80" s="388"/>
      <c r="S80" s="388"/>
      <c r="T80" s="388"/>
      <c r="U80" s="389"/>
      <c r="V80" s="387">
        <v>40.0</v>
      </c>
      <c r="W80" s="388">
        <v>30.0</v>
      </c>
      <c r="X80" s="388">
        <v>20.0</v>
      </c>
      <c r="Y80" s="388">
        <v>20.0</v>
      </c>
      <c r="Z80" s="389">
        <v>40.0</v>
      </c>
      <c r="AA80" s="305"/>
      <c r="AB80" s="306"/>
      <c r="AC80" s="306"/>
    </row>
    <row r="81">
      <c r="A81" s="306" t="s">
        <v>1029</v>
      </c>
      <c r="B81" s="306" t="s">
        <v>1028</v>
      </c>
      <c r="C81" s="390">
        <f t="shared" si="1"/>
        <v>0</v>
      </c>
      <c r="D81" s="387">
        <v>64.0</v>
      </c>
      <c r="E81" s="388">
        <v>70.0</v>
      </c>
      <c r="F81" s="388">
        <v>55.0</v>
      </c>
      <c r="G81" s="388">
        <v>50.0</v>
      </c>
      <c r="H81" s="388">
        <v>50.0</v>
      </c>
      <c r="I81" s="388">
        <v>45.0</v>
      </c>
      <c r="J81" s="388">
        <v>1.0</v>
      </c>
      <c r="K81" s="389" t="s">
        <v>299</v>
      </c>
      <c r="L81" s="387">
        <v>4.0</v>
      </c>
      <c r="M81" s="388"/>
      <c r="N81" s="388"/>
      <c r="O81" s="388"/>
      <c r="P81" s="388"/>
      <c r="Q81" s="388"/>
      <c r="R81" s="388"/>
      <c r="S81" s="388"/>
      <c r="T81" s="388"/>
      <c r="U81" s="389"/>
      <c r="V81" s="387">
        <v>50.0</v>
      </c>
      <c r="W81" s="388">
        <v>40.0</v>
      </c>
      <c r="X81" s="388">
        <v>30.0</v>
      </c>
      <c r="Y81" s="388">
        <v>30.0</v>
      </c>
      <c r="Z81" s="389">
        <v>50.0</v>
      </c>
      <c r="AA81" s="305"/>
      <c r="AB81" s="306"/>
      <c r="AC81" s="306"/>
    </row>
    <row r="82">
      <c r="A82" s="306" t="s">
        <v>1030</v>
      </c>
      <c r="B82" s="306" t="s">
        <v>1028</v>
      </c>
      <c r="C82" s="390">
        <f t="shared" si="1"/>
        <v>0</v>
      </c>
      <c r="D82" s="387">
        <v>68.0</v>
      </c>
      <c r="E82" s="388">
        <v>50.0</v>
      </c>
      <c r="F82" s="388">
        <v>65.0</v>
      </c>
      <c r="G82" s="388">
        <v>60.0</v>
      </c>
      <c r="H82" s="388">
        <v>60.0</v>
      </c>
      <c r="I82" s="388">
        <v>60.0</v>
      </c>
      <c r="J82" s="388">
        <v>1.0</v>
      </c>
      <c r="K82" s="389" t="s">
        <v>299</v>
      </c>
      <c r="L82" s="387">
        <v>4.0</v>
      </c>
      <c r="M82" s="388"/>
      <c r="N82" s="388"/>
      <c r="O82" s="388"/>
      <c r="P82" s="388"/>
      <c r="Q82" s="388"/>
      <c r="R82" s="388"/>
      <c r="S82" s="388"/>
      <c r="T82" s="388"/>
      <c r="U82" s="389"/>
      <c r="V82" s="387">
        <v>50.0</v>
      </c>
      <c r="W82" s="388">
        <v>40.0</v>
      </c>
      <c r="X82" s="388">
        <v>30.0</v>
      </c>
      <c r="Y82" s="388">
        <v>30.0</v>
      </c>
      <c r="Z82" s="389">
        <v>50.0</v>
      </c>
      <c r="AA82" s="305"/>
      <c r="AB82" s="306"/>
      <c r="AC82" s="306"/>
    </row>
    <row r="83">
      <c r="A83" s="306" t="s">
        <v>1031</v>
      </c>
      <c r="B83" s="306" t="s">
        <v>986</v>
      </c>
      <c r="C83" s="390">
        <f t="shared" si="1"/>
        <v>0</v>
      </c>
      <c r="D83" s="387">
        <v>23.0</v>
      </c>
      <c r="E83" s="388">
        <v>22.0</v>
      </c>
      <c r="F83" s="388">
        <v>22.0</v>
      </c>
      <c r="G83" s="388">
        <v>18.0</v>
      </c>
      <c r="H83" s="388">
        <v>18.0</v>
      </c>
      <c r="I83" s="388">
        <v>1.0</v>
      </c>
      <c r="J83" s="388">
        <v>1.0</v>
      </c>
      <c r="K83" s="389" t="s">
        <v>300</v>
      </c>
      <c r="L83" s="387">
        <v>4.0</v>
      </c>
      <c r="M83" s="388">
        <v>0.0</v>
      </c>
      <c r="N83" s="388">
        <v>0.0</v>
      </c>
      <c r="O83" s="388">
        <v>0.0</v>
      </c>
      <c r="P83" s="388">
        <v>0.0</v>
      </c>
      <c r="Q83" s="388">
        <v>0.0</v>
      </c>
      <c r="R83" s="388">
        <v>0.0</v>
      </c>
      <c r="S83" s="388"/>
      <c r="T83" s="388">
        <v>0.0</v>
      </c>
      <c r="U83" s="389">
        <v>0.0</v>
      </c>
      <c r="V83" s="387">
        <v>10.0</v>
      </c>
      <c r="W83" s="388">
        <v>10.0</v>
      </c>
      <c r="X83" s="388">
        <v>5.0</v>
      </c>
      <c r="Y83" s="388">
        <v>5.0</v>
      </c>
      <c r="Z83" s="389">
        <v>10.0</v>
      </c>
      <c r="AA83" s="305"/>
      <c r="AB83" s="306"/>
      <c r="AC83" s="306"/>
    </row>
    <row r="84">
      <c r="A84" s="405" t="s">
        <v>1032</v>
      </c>
      <c r="B84" s="405"/>
      <c r="C84" s="406">
        <f t="shared" si="1"/>
        <v>0</v>
      </c>
      <c r="D84" s="407">
        <v>80.0</v>
      </c>
      <c r="E84" s="408">
        <v>55.0</v>
      </c>
      <c r="F84" s="408">
        <v>80.0</v>
      </c>
      <c r="G84" s="408">
        <v>77.0</v>
      </c>
      <c r="H84" s="408">
        <v>62.0</v>
      </c>
      <c r="I84" s="408">
        <v>80.0</v>
      </c>
      <c r="J84" s="408">
        <v>1.0</v>
      </c>
      <c r="K84" s="409"/>
      <c r="L84" s="407"/>
      <c r="M84" s="408">
        <v>0.0</v>
      </c>
      <c r="N84" s="408">
        <v>0.0</v>
      </c>
      <c r="O84" s="408">
        <v>0.0</v>
      </c>
      <c r="P84" s="408">
        <v>0.0</v>
      </c>
      <c r="Q84" s="408">
        <v>0.0</v>
      </c>
      <c r="R84" s="408">
        <v>0.0</v>
      </c>
      <c r="S84" s="408"/>
      <c r="T84" s="408">
        <v>0.0</v>
      </c>
      <c r="U84" s="409"/>
      <c r="V84" s="407">
        <v>0.0</v>
      </c>
      <c r="W84" s="408">
        <v>0.0</v>
      </c>
      <c r="X84" s="408">
        <v>0.0</v>
      </c>
      <c r="Y84" s="408">
        <v>0.0</v>
      </c>
      <c r="Z84" s="409">
        <v>0.0</v>
      </c>
      <c r="AA84" s="410"/>
      <c r="AB84" s="405"/>
      <c r="AC84" s="405"/>
    </row>
    <row r="85">
      <c r="A85" s="405" t="s">
        <v>1033</v>
      </c>
      <c r="B85" s="405"/>
      <c r="C85" s="406">
        <f t="shared" si="1"/>
        <v>0</v>
      </c>
      <c r="D85" s="407">
        <v>127.0</v>
      </c>
      <c r="E85" s="408">
        <v>125.0</v>
      </c>
      <c r="F85" s="408">
        <v>1.0</v>
      </c>
      <c r="G85" s="408">
        <v>1.0</v>
      </c>
      <c r="H85" s="408">
        <v>150.0</v>
      </c>
      <c r="I85" s="408">
        <v>120.0</v>
      </c>
      <c r="J85" s="408">
        <v>1.0</v>
      </c>
      <c r="K85" s="409"/>
      <c r="L85" s="407"/>
      <c r="M85" s="408">
        <v>0.0</v>
      </c>
      <c r="N85" s="408">
        <v>0.0</v>
      </c>
      <c r="O85" s="408">
        <v>0.0</v>
      </c>
      <c r="P85" s="408">
        <v>0.0</v>
      </c>
      <c r="Q85" s="408">
        <v>0.0</v>
      </c>
      <c r="R85" s="408">
        <v>0.0</v>
      </c>
      <c r="S85" s="408"/>
      <c r="T85" s="408">
        <v>0.0</v>
      </c>
      <c r="U85" s="409"/>
      <c r="V85" s="407">
        <v>0.0</v>
      </c>
      <c r="W85" s="408">
        <v>0.0</v>
      </c>
      <c r="X85" s="408">
        <v>0.0</v>
      </c>
      <c r="Y85" s="408">
        <v>-63.0</v>
      </c>
      <c r="Z85" s="409">
        <v>100.0</v>
      </c>
      <c r="AA85" s="410"/>
      <c r="AB85" s="405"/>
      <c r="AC85" s="405"/>
    </row>
    <row r="86">
      <c r="A86" s="405" t="s">
        <v>1034</v>
      </c>
      <c r="B86" s="405"/>
      <c r="C86" s="406">
        <f t="shared" si="1"/>
        <v>0.15</v>
      </c>
      <c r="D86" s="407">
        <v>318.0</v>
      </c>
      <c r="E86" s="408">
        <v>600.0</v>
      </c>
      <c r="F86" s="408">
        <v>220.0</v>
      </c>
      <c r="G86" s="408">
        <v>220.0</v>
      </c>
      <c r="H86" s="408">
        <v>100.0</v>
      </c>
      <c r="I86" s="408">
        <v>220.0</v>
      </c>
      <c r="J86" s="408">
        <v>220.0</v>
      </c>
      <c r="K86" s="409"/>
      <c r="L86" s="407"/>
      <c r="M86" s="408">
        <v>0.0</v>
      </c>
      <c r="N86" s="408">
        <v>0.0</v>
      </c>
      <c r="O86" s="408">
        <v>0.0</v>
      </c>
      <c r="P86" s="408">
        <v>50.0</v>
      </c>
      <c r="Q86" s="408">
        <v>0.0</v>
      </c>
      <c r="R86" s="408">
        <v>50.0</v>
      </c>
      <c r="S86" s="408"/>
      <c r="T86" s="408">
        <v>50.0</v>
      </c>
      <c r="U86" s="409"/>
      <c r="V86" s="407">
        <v>50.0</v>
      </c>
      <c r="W86" s="408">
        <v>100.0</v>
      </c>
      <c r="X86" s="408">
        <v>25.0</v>
      </c>
      <c r="Y86" s="408">
        <v>100.0</v>
      </c>
      <c r="Z86" s="409">
        <v>100.0</v>
      </c>
      <c r="AA86" s="410"/>
      <c r="AB86" s="405"/>
      <c r="AC86" s="405"/>
    </row>
    <row r="87">
      <c r="A87" s="306" t="s">
        <v>1035</v>
      </c>
      <c r="B87" s="306" t="s">
        <v>1036</v>
      </c>
      <c r="C87" s="390">
        <f t="shared" si="1"/>
        <v>0</v>
      </c>
      <c r="D87" s="387">
        <v>13.0</v>
      </c>
      <c r="E87" s="388">
        <v>20.0</v>
      </c>
      <c r="F87" s="388">
        <v>8.0</v>
      </c>
      <c r="G87" s="388">
        <v>8.0</v>
      </c>
      <c r="H87" s="388">
        <v>12.0</v>
      </c>
      <c r="I87" s="388">
        <v>10.0</v>
      </c>
      <c r="J87" s="388">
        <v>1.0</v>
      </c>
      <c r="K87" s="389" t="s">
        <v>299</v>
      </c>
      <c r="L87" s="387">
        <v>4.0</v>
      </c>
      <c r="M87" s="388">
        <v>0.0</v>
      </c>
      <c r="N87" s="388">
        <v>0.0</v>
      </c>
      <c r="O87" s="388">
        <v>0.0</v>
      </c>
      <c r="P87" s="388">
        <v>0.0</v>
      </c>
      <c r="Q87" s="388">
        <v>0.0</v>
      </c>
      <c r="R87" s="388">
        <v>0.0</v>
      </c>
      <c r="S87" s="388"/>
      <c r="T87" s="388">
        <v>0.0</v>
      </c>
      <c r="U87" s="389">
        <v>0.0</v>
      </c>
      <c r="V87" s="387">
        <v>0.0</v>
      </c>
      <c r="W87" s="388">
        <v>0.0</v>
      </c>
      <c r="X87" s="388">
        <v>0.0</v>
      </c>
      <c r="Y87" s="388">
        <v>0.0</v>
      </c>
      <c r="Z87" s="389">
        <v>0.0</v>
      </c>
      <c r="AA87" s="305"/>
      <c r="AB87" s="306"/>
      <c r="AC87" s="306"/>
    </row>
    <row r="88">
      <c r="A88" s="306" t="s">
        <v>1037</v>
      </c>
      <c r="B88" s="417" t="s">
        <v>971</v>
      </c>
      <c r="C88" s="390">
        <f t="shared" si="1"/>
        <v>0</v>
      </c>
      <c r="D88" s="387">
        <v>48.0</v>
      </c>
      <c r="E88" s="388">
        <v>61.0</v>
      </c>
      <c r="F88" s="388">
        <v>38.0</v>
      </c>
      <c r="G88" s="388">
        <v>42.0</v>
      </c>
      <c r="H88" s="388">
        <v>28.0</v>
      </c>
      <c r="I88" s="388">
        <v>1.0</v>
      </c>
      <c r="J88" s="388">
        <v>1.0</v>
      </c>
      <c r="K88" s="389" t="s">
        <v>299</v>
      </c>
      <c r="L88" s="387">
        <v>4.0</v>
      </c>
      <c r="M88" s="388">
        <v>0.0</v>
      </c>
      <c r="N88" s="388">
        <v>0.0</v>
      </c>
      <c r="O88" s="388">
        <v>0.0</v>
      </c>
      <c r="P88" s="388">
        <v>13.0</v>
      </c>
      <c r="Q88" s="388">
        <v>9.0</v>
      </c>
      <c r="R88" s="388">
        <v>0.0</v>
      </c>
      <c r="S88" s="388"/>
      <c r="T88" s="388">
        <v>0.0</v>
      </c>
      <c r="U88" s="389">
        <v>0.0</v>
      </c>
      <c r="V88" s="387">
        <v>40.0</v>
      </c>
      <c r="W88" s="388">
        <v>34.0</v>
      </c>
      <c r="X88" s="388">
        <v>25.0</v>
      </c>
      <c r="Y88" s="388">
        <v>10.0</v>
      </c>
      <c r="Z88" s="389">
        <v>35.0</v>
      </c>
      <c r="AA88" s="305"/>
      <c r="AB88" s="306"/>
      <c r="AC88" s="306"/>
    </row>
    <row r="89">
      <c r="A89" s="405" t="s">
        <v>1038</v>
      </c>
      <c r="B89" s="405"/>
      <c r="C89" s="406">
        <f t="shared" si="1"/>
        <v>0.075</v>
      </c>
      <c r="D89" s="407">
        <v>305.0</v>
      </c>
      <c r="E89" s="408">
        <v>250.0</v>
      </c>
      <c r="F89" s="408">
        <v>270.0</v>
      </c>
      <c r="G89" s="408">
        <v>270.0</v>
      </c>
      <c r="H89" s="408">
        <v>270.0</v>
      </c>
      <c r="I89" s="408">
        <v>270.0</v>
      </c>
      <c r="J89" s="408">
        <v>270.0</v>
      </c>
      <c r="K89" s="409"/>
      <c r="L89" s="407"/>
      <c r="M89" s="408">
        <v>0.0</v>
      </c>
      <c r="N89" s="408">
        <v>0.0</v>
      </c>
      <c r="O89" s="408">
        <v>0.0</v>
      </c>
      <c r="P89" s="408">
        <v>0.0</v>
      </c>
      <c r="Q89" s="408">
        <v>0.0</v>
      </c>
      <c r="R89" s="408">
        <v>0.0</v>
      </c>
      <c r="S89" s="408"/>
      <c r="T89" s="408">
        <v>0.0</v>
      </c>
      <c r="U89" s="409"/>
      <c r="V89" s="407">
        <v>70.0</v>
      </c>
      <c r="W89" s="408">
        <v>70.0</v>
      </c>
      <c r="X89" s="408">
        <v>70.0</v>
      </c>
      <c r="Y89" s="408">
        <v>70.0</v>
      </c>
      <c r="Z89" s="409">
        <v>70.0</v>
      </c>
      <c r="AA89" s="410"/>
      <c r="AB89" s="405"/>
      <c r="AC89" s="405"/>
    </row>
    <row r="90">
      <c r="A90" s="405" t="s">
        <v>1039</v>
      </c>
      <c r="B90" s="405"/>
      <c r="C90" s="406">
        <f t="shared" si="1"/>
        <v>0.125</v>
      </c>
      <c r="D90" s="407">
        <v>202.0</v>
      </c>
      <c r="E90" s="408">
        <v>225.0</v>
      </c>
      <c r="F90" s="408">
        <v>1.0</v>
      </c>
      <c r="G90" s="408">
        <v>1.0</v>
      </c>
      <c r="H90" s="408">
        <v>220.0</v>
      </c>
      <c r="I90" s="408">
        <v>200.0</v>
      </c>
      <c r="J90" s="408">
        <v>1.0</v>
      </c>
      <c r="K90" s="409"/>
      <c r="L90" s="407"/>
      <c r="M90" s="408">
        <v>0.0</v>
      </c>
      <c r="N90" s="408">
        <v>0.0</v>
      </c>
      <c r="O90" s="408">
        <v>0.0</v>
      </c>
      <c r="P90" s="408">
        <v>0.0</v>
      </c>
      <c r="Q90" s="408">
        <v>0.0</v>
      </c>
      <c r="R90" s="408">
        <v>0.0</v>
      </c>
      <c r="S90" s="408"/>
      <c r="T90" s="408">
        <v>75.0</v>
      </c>
      <c r="U90" s="409"/>
      <c r="V90" s="407">
        <v>260.0</v>
      </c>
      <c r="W90" s="408">
        <v>260.0</v>
      </c>
      <c r="X90" s="408">
        <v>250.0</v>
      </c>
      <c r="Y90" s="408">
        <v>280.0</v>
      </c>
      <c r="Z90" s="409">
        <v>80.0</v>
      </c>
      <c r="AA90" s="410"/>
      <c r="AB90" s="405"/>
      <c r="AC90" s="405"/>
    </row>
    <row r="91">
      <c r="A91" s="306" t="s">
        <v>1040</v>
      </c>
      <c r="B91" s="306"/>
      <c r="C91" s="390">
        <f t="shared" si="1"/>
        <v>0</v>
      </c>
      <c r="D91" s="387">
        <v>1.0</v>
      </c>
      <c r="E91" s="388">
        <v>3.0</v>
      </c>
      <c r="F91" s="388">
        <v>1.0</v>
      </c>
      <c r="G91" s="388">
        <v>1.0</v>
      </c>
      <c r="H91" s="388">
        <v>1.0</v>
      </c>
      <c r="I91" s="388">
        <v>1.0</v>
      </c>
      <c r="J91" s="388">
        <v>1.0</v>
      </c>
      <c r="K91" s="389" t="s">
        <v>300</v>
      </c>
      <c r="L91" s="387">
        <v>4.0</v>
      </c>
      <c r="M91" s="388">
        <v>0.0</v>
      </c>
      <c r="N91" s="388">
        <v>0.0</v>
      </c>
      <c r="O91" s="388">
        <v>0.0</v>
      </c>
      <c r="P91" s="388">
        <v>0.0</v>
      </c>
      <c r="Q91" s="388">
        <v>0.0</v>
      </c>
      <c r="R91" s="388">
        <v>0.0</v>
      </c>
      <c r="S91" s="388"/>
      <c r="T91" s="388">
        <v>0.0</v>
      </c>
      <c r="U91" s="389">
        <v>0.0</v>
      </c>
      <c r="V91" s="387">
        <v>-42.0</v>
      </c>
      <c r="W91" s="388">
        <v>-42.0</v>
      </c>
      <c r="X91" s="388">
        <v>-42.0</v>
      </c>
      <c r="Y91" s="388">
        <v>-42.0</v>
      </c>
      <c r="Z91" s="389">
        <v>-42.0</v>
      </c>
      <c r="AA91" s="305"/>
      <c r="AB91" s="306"/>
      <c r="AC91" s="306"/>
    </row>
    <row r="92">
      <c r="A92" s="306" t="s">
        <v>1041</v>
      </c>
      <c r="B92" s="424" t="s">
        <v>986</v>
      </c>
      <c r="C92" s="390">
        <f t="shared" si="1"/>
        <v>0</v>
      </c>
      <c r="D92" s="387">
        <v>37.0</v>
      </c>
      <c r="E92" s="388">
        <v>37.0</v>
      </c>
      <c r="F92" s="388">
        <v>22.0</v>
      </c>
      <c r="G92" s="388">
        <v>37.0</v>
      </c>
      <c r="H92" s="388">
        <v>37.0</v>
      </c>
      <c r="I92" s="388">
        <v>1.0</v>
      </c>
      <c r="J92" s="388">
        <v>1.0</v>
      </c>
      <c r="K92" s="389" t="s">
        <v>300</v>
      </c>
      <c r="L92" s="387">
        <v>4.0</v>
      </c>
      <c r="M92" s="388">
        <v>0.0</v>
      </c>
      <c r="N92" s="388">
        <v>0.0</v>
      </c>
      <c r="O92" s="388">
        <v>0.0</v>
      </c>
      <c r="P92" s="388">
        <v>0.0</v>
      </c>
      <c r="Q92" s="388">
        <v>0.0</v>
      </c>
      <c r="R92" s="388">
        <v>0.0</v>
      </c>
      <c r="S92" s="388"/>
      <c r="T92" s="388">
        <v>0.0</v>
      </c>
      <c r="U92" s="389">
        <v>0.0</v>
      </c>
      <c r="V92" s="387">
        <v>10.0</v>
      </c>
      <c r="W92" s="388">
        <v>10.0</v>
      </c>
      <c r="X92" s="388">
        <v>0.0</v>
      </c>
      <c r="Y92" s="388">
        <v>10.0</v>
      </c>
      <c r="Z92" s="389">
        <v>0.0</v>
      </c>
      <c r="AA92" s="305"/>
      <c r="AB92" s="306"/>
      <c r="AC92" s="306"/>
    </row>
    <row r="93">
      <c r="A93" s="405" t="s">
        <v>1042</v>
      </c>
      <c r="B93" s="405"/>
      <c r="C93" s="406">
        <f t="shared" si="1"/>
        <v>0.375</v>
      </c>
      <c r="D93" s="407">
        <v>596.0</v>
      </c>
      <c r="E93" s="408">
        <v>255.0</v>
      </c>
      <c r="F93" s="408">
        <v>280.0</v>
      </c>
      <c r="G93" s="408">
        <v>196.0</v>
      </c>
      <c r="H93" s="408">
        <v>300.0</v>
      </c>
      <c r="I93" s="408">
        <v>300.0</v>
      </c>
      <c r="J93" s="408">
        <v>250.0</v>
      </c>
      <c r="K93" s="409"/>
      <c r="L93" s="407"/>
      <c r="M93" s="408">
        <v>0.0</v>
      </c>
      <c r="N93" s="408">
        <v>0.0</v>
      </c>
      <c r="O93" s="408">
        <v>0.0</v>
      </c>
      <c r="P93" s="408">
        <v>195.0</v>
      </c>
      <c r="Q93" s="408">
        <v>20.0</v>
      </c>
      <c r="R93" s="408">
        <v>200.0</v>
      </c>
      <c r="S93" s="408"/>
      <c r="T93" s="408">
        <v>0.0</v>
      </c>
      <c r="U93" s="409"/>
      <c r="V93" s="407">
        <v>100.0</v>
      </c>
      <c r="W93" s="408">
        <v>100.0</v>
      </c>
      <c r="X93" s="408">
        <v>100.0</v>
      </c>
      <c r="Y93" s="408">
        <v>100.0</v>
      </c>
      <c r="Z93" s="409">
        <v>100.0</v>
      </c>
      <c r="AA93" s="410"/>
      <c r="AB93" s="405"/>
      <c r="AC93" s="405"/>
    </row>
    <row r="94">
      <c r="A94" s="405" t="s">
        <v>1043</v>
      </c>
      <c r="B94" s="405" t="s">
        <v>1044</v>
      </c>
      <c r="C94" s="406">
        <f t="shared" si="1"/>
        <v>0</v>
      </c>
      <c r="D94" s="407">
        <v>35.0</v>
      </c>
      <c r="E94" s="408">
        <v>55.0</v>
      </c>
      <c r="F94" s="408">
        <v>1.0</v>
      </c>
      <c r="G94" s="408">
        <v>1.0</v>
      </c>
      <c r="H94" s="408">
        <v>30.0</v>
      </c>
      <c r="I94" s="408">
        <v>30.0</v>
      </c>
      <c r="J94" s="408">
        <v>1.0</v>
      </c>
      <c r="K94" s="409"/>
      <c r="L94" s="407"/>
      <c r="M94" s="408">
        <v>0.0</v>
      </c>
      <c r="N94" s="408">
        <v>0.0</v>
      </c>
      <c r="O94" s="408">
        <v>0.0</v>
      </c>
      <c r="P94" s="408">
        <v>0.0</v>
      </c>
      <c r="Q94" s="408">
        <v>0.0</v>
      </c>
      <c r="R94" s="408">
        <v>0.0</v>
      </c>
      <c r="S94" s="408"/>
      <c r="T94" s="408">
        <v>0.0</v>
      </c>
      <c r="U94" s="409">
        <v>0.0</v>
      </c>
      <c r="V94" s="407">
        <v>0.0</v>
      </c>
      <c r="W94" s="408">
        <v>0.0</v>
      </c>
      <c r="X94" s="408">
        <v>0.0</v>
      </c>
      <c r="Y94" s="408">
        <v>0.0</v>
      </c>
      <c r="Z94" s="409">
        <v>0.0</v>
      </c>
      <c r="AA94" s="410"/>
      <c r="AB94" s="405"/>
      <c r="AC94" s="405"/>
    </row>
    <row r="95">
      <c r="A95" s="405" t="s">
        <v>1045</v>
      </c>
      <c r="B95" s="405" t="s">
        <v>1044</v>
      </c>
      <c r="C95" s="406">
        <f t="shared" si="1"/>
        <v>0</v>
      </c>
      <c r="D95" s="407">
        <v>103.0</v>
      </c>
      <c r="E95" s="408">
        <v>160.0</v>
      </c>
      <c r="F95" s="408">
        <v>1.0</v>
      </c>
      <c r="G95" s="408">
        <v>1.0</v>
      </c>
      <c r="H95" s="408">
        <v>80.0</v>
      </c>
      <c r="I95" s="408">
        <v>90.0</v>
      </c>
      <c r="J95" s="408">
        <v>1.0</v>
      </c>
      <c r="K95" s="409"/>
      <c r="L95" s="407"/>
      <c r="M95" s="408">
        <v>0.0</v>
      </c>
      <c r="N95" s="408">
        <v>0.0</v>
      </c>
      <c r="O95" s="408">
        <v>0.0</v>
      </c>
      <c r="P95" s="408">
        <v>0.0</v>
      </c>
      <c r="Q95" s="408">
        <v>0.0</v>
      </c>
      <c r="R95" s="408">
        <v>0.0</v>
      </c>
      <c r="S95" s="408"/>
      <c r="T95" s="408">
        <v>0.0</v>
      </c>
      <c r="U95" s="409">
        <v>0.0</v>
      </c>
      <c r="V95" s="407">
        <v>0.0</v>
      </c>
      <c r="W95" s="408">
        <v>0.0</v>
      </c>
      <c r="X95" s="408">
        <v>0.0</v>
      </c>
      <c r="Y95" s="408">
        <v>0.0</v>
      </c>
      <c r="Z95" s="409">
        <v>0.0</v>
      </c>
      <c r="AA95" s="410"/>
      <c r="AB95" s="405"/>
      <c r="AC95" s="405"/>
    </row>
    <row r="96">
      <c r="A96" s="405" t="s">
        <v>15</v>
      </c>
      <c r="B96" s="405"/>
      <c r="C96" s="406">
        <f t="shared" si="1"/>
        <v>0.55</v>
      </c>
      <c r="D96" s="407">
        <v>785.0</v>
      </c>
      <c r="E96" s="408">
        <v>2000.0</v>
      </c>
      <c r="F96" s="408">
        <v>320.0</v>
      </c>
      <c r="G96" s="408">
        <v>320.0</v>
      </c>
      <c r="H96" s="408">
        <v>310.0</v>
      </c>
      <c r="I96" s="408">
        <v>350.0</v>
      </c>
      <c r="J96" s="408">
        <v>150.0</v>
      </c>
      <c r="K96" s="409"/>
      <c r="L96" s="407"/>
      <c r="M96" s="408">
        <v>0.0</v>
      </c>
      <c r="N96" s="408">
        <v>0.0</v>
      </c>
      <c r="O96" s="408">
        <v>0.0</v>
      </c>
      <c r="P96" s="408">
        <v>50.0</v>
      </c>
      <c r="Q96" s="408">
        <v>0.0</v>
      </c>
      <c r="R96" s="408">
        <v>0.0</v>
      </c>
      <c r="S96" s="408"/>
      <c r="T96" s="408">
        <v>0.0</v>
      </c>
      <c r="U96" s="409"/>
      <c r="V96" s="407">
        <v>25.0</v>
      </c>
      <c r="W96" s="408">
        <v>200.0</v>
      </c>
      <c r="X96" s="408">
        <v>100.0</v>
      </c>
      <c r="Y96" s="408">
        <v>150.0</v>
      </c>
      <c r="Z96" s="409">
        <v>230.0</v>
      </c>
      <c r="AA96" s="410"/>
      <c r="AB96" s="405"/>
      <c r="AC96" s="405"/>
    </row>
    <row r="97">
      <c r="A97" s="405" t="s">
        <v>1046</v>
      </c>
      <c r="B97" s="405"/>
      <c r="C97" s="406">
        <f t="shared" si="1"/>
        <v>0</v>
      </c>
      <c r="D97" s="407">
        <v>34.0</v>
      </c>
      <c r="E97" s="408">
        <v>35.0</v>
      </c>
      <c r="F97" s="408">
        <v>30.0</v>
      </c>
      <c r="G97" s="408">
        <v>25.0</v>
      </c>
      <c r="H97" s="408">
        <v>30.0</v>
      </c>
      <c r="I97" s="408">
        <v>1.0</v>
      </c>
      <c r="J97" s="408">
        <v>1.0</v>
      </c>
      <c r="K97" s="409"/>
      <c r="L97" s="407"/>
      <c r="M97" s="408">
        <v>0.0</v>
      </c>
      <c r="N97" s="408">
        <v>0.0</v>
      </c>
      <c r="O97" s="408">
        <v>0.0</v>
      </c>
      <c r="P97" s="408">
        <v>0.0</v>
      </c>
      <c r="Q97" s="408">
        <v>0.0</v>
      </c>
      <c r="R97" s="408">
        <v>0.0</v>
      </c>
      <c r="S97" s="408"/>
      <c r="T97" s="408">
        <v>0.0</v>
      </c>
      <c r="U97" s="409"/>
      <c r="V97" s="407">
        <v>2.0</v>
      </c>
      <c r="W97" s="408">
        <v>1.0</v>
      </c>
      <c r="X97" s="408">
        <v>3.0</v>
      </c>
      <c r="Y97" s="408">
        <v>0.0</v>
      </c>
      <c r="Z97" s="409">
        <v>0.0</v>
      </c>
      <c r="AA97" s="410"/>
      <c r="AB97" s="405"/>
      <c r="AC97" s="405"/>
    </row>
    <row r="98">
      <c r="A98" s="405" t="s">
        <v>1047</v>
      </c>
      <c r="B98" s="405"/>
      <c r="C98" s="406">
        <f t="shared" si="1"/>
        <v>0</v>
      </c>
      <c r="D98" s="407">
        <v>177.0</v>
      </c>
      <c r="E98" s="408">
        <v>210.0</v>
      </c>
      <c r="F98" s="408">
        <v>198.0</v>
      </c>
      <c r="G98" s="408">
        <v>165.0</v>
      </c>
      <c r="H98" s="408">
        <v>30.0</v>
      </c>
      <c r="I98" s="408">
        <v>1.0</v>
      </c>
      <c r="J98" s="408">
        <v>1.0</v>
      </c>
      <c r="K98" s="409"/>
      <c r="L98" s="407"/>
      <c r="M98" s="408">
        <v>1.0</v>
      </c>
      <c r="N98" s="408">
        <v>1.0</v>
      </c>
      <c r="O98" s="408">
        <v>1.0</v>
      </c>
      <c r="P98" s="408">
        <v>0.0</v>
      </c>
      <c r="Q98" s="408">
        <v>0.0</v>
      </c>
      <c r="R98" s="408">
        <v>1.0</v>
      </c>
      <c r="S98" s="408"/>
      <c r="T98" s="408">
        <v>1.0</v>
      </c>
      <c r="U98" s="409"/>
      <c r="V98" s="407">
        <v>2.0</v>
      </c>
      <c r="W98" s="408">
        <v>1.0</v>
      </c>
      <c r="X98" s="408">
        <v>3.0</v>
      </c>
      <c r="Y98" s="408">
        <v>0.0</v>
      </c>
      <c r="Z98" s="409">
        <v>0.0</v>
      </c>
      <c r="AA98" s="410"/>
      <c r="AB98" s="405"/>
      <c r="AC98" s="405"/>
    </row>
    <row r="99">
      <c r="A99" s="306" t="s">
        <v>1048</v>
      </c>
      <c r="B99" s="306"/>
      <c r="C99" s="390">
        <f t="shared" si="1"/>
        <v>0</v>
      </c>
      <c r="D99" s="387">
        <v>2.0</v>
      </c>
      <c r="E99" s="388">
        <v>8.0</v>
      </c>
      <c r="F99" s="388">
        <v>1.0</v>
      </c>
      <c r="G99" s="388">
        <v>1.0</v>
      </c>
      <c r="H99" s="388">
        <v>1.0</v>
      </c>
      <c r="I99" s="388">
        <v>1.0</v>
      </c>
      <c r="J99" s="388">
        <v>1.0</v>
      </c>
      <c r="K99" s="389" t="s">
        <v>299</v>
      </c>
      <c r="L99" s="387">
        <v>4.0</v>
      </c>
      <c r="M99" s="388">
        <v>0.0</v>
      </c>
      <c r="N99" s="388">
        <v>0.0</v>
      </c>
      <c r="O99" s="388">
        <v>0.0</v>
      </c>
      <c r="P99" s="388">
        <v>0.0</v>
      </c>
      <c r="Q99" s="388">
        <v>0.0</v>
      </c>
      <c r="R99" s="388">
        <v>0.0</v>
      </c>
      <c r="S99" s="388"/>
      <c r="T99" s="388">
        <v>0.0</v>
      </c>
      <c r="U99" s="389">
        <v>0.0</v>
      </c>
      <c r="V99" s="387">
        <v>-21.0</v>
      </c>
      <c r="W99" s="388">
        <v>-21.0</v>
      </c>
      <c r="X99" s="388">
        <v>-21.0</v>
      </c>
      <c r="Y99" s="388">
        <v>-21.0</v>
      </c>
      <c r="Z99" s="389">
        <v>-21.0</v>
      </c>
      <c r="AA99" s="305"/>
      <c r="AB99" s="306"/>
      <c r="AC99" s="306"/>
    </row>
    <row r="100">
      <c r="A100" s="306" t="s">
        <v>1049</v>
      </c>
      <c r="B100" s="306"/>
      <c r="C100" s="390">
        <f t="shared" si="1"/>
        <v>0</v>
      </c>
      <c r="D100" s="387">
        <v>2.0</v>
      </c>
      <c r="E100" s="388">
        <v>6.0</v>
      </c>
      <c r="F100" s="388">
        <v>1.0</v>
      </c>
      <c r="G100" s="388">
        <v>1.0</v>
      </c>
      <c r="H100" s="388">
        <v>1.0</v>
      </c>
      <c r="I100" s="388">
        <v>1.0</v>
      </c>
      <c r="J100" s="388">
        <v>1.0</v>
      </c>
      <c r="K100" s="389" t="s">
        <v>299</v>
      </c>
      <c r="L100" s="387">
        <v>4.0</v>
      </c>
      <c r="M100" s="388">
        <v>0.0</v>
      </c>
      <c r="N100" s="388">
        <v>0.0</v>
      </c>
      <c r="O100" s="388">
        <v>0.0</v>
      </c>
      <c r="P100" s="388">
        <v>0.0</v>
      </c>
      <c r="Q100" s="388">
        <v>0.0</v>
      </c>
      <c r="R100" s="388">
        <v>0.0</v>
      </c>
      <c r="S100" s="388"/>
      <c r="T100" s="388">
        <v>0.0</v>
      </c>
      <c r="U100" s="389">
        <v>0.0</v>
      </c>
      <c r="V100" s="387">
        <v>-26.0</v>
      </c>
      <c r="W100" s="388">
        <v>-26.0</v>
      </c>
      <c r="X100" s="388">
        <v>-26.0</v>
      </c>
      <c r="Y100" s="388">
        <v>-26.0</v>
      </c>
      <c r="Z100" s="389">
        <v>-26.0</v>
      </c>
      <c r="AA100" s="305"/>
      <c r="AB100" s="306"/>
      <c r="AC100" s="306"/>
    </row>
    <row r="101">
      <c r="A101" s="306" t="s">
        <v>1050</v>
      </c>
      <c r="B101" s="306" t="s">
        <v>979</v>
      </c>
      <c r="C101" s="390">
        <f t="shared" si="1"/>
        <v>0</v>
      </c>
      <c r="D101" s="387">
        <v>8.0</v>
      </c>
      <c r="E101" s="388">
        <v>16.0</v>
      </c>
      <c r="F101" s="388">
        <v>8.0</v>
      </c>
      <c r="G101" s="388">
        <v>4.0</v>
      </c>
      <c r="H101" s="388">
        <v>4.0</v>
      </c>
      <c r="I101" s="388">
        <v>1.0</v>
      </c>
      <c r="J101" s="388">
        <v>1.0</v>
      </c>
      <c r="K101" s="389" t="s">
        <v>299</v>
      </c>
      <c r="L101" s="387">
        <v>4.0</v>
      </c>
      <c r="M101" s="388">
        <v>0.0</v>
      </c>
      <c r="N101" s="388">
        <v>0.0</v>
      </c>
      <c r="O101" s="388">
        <v>0.0</v>
      </c>
      <c r="P101" s="388">
        <v>0.0</v>
      </c>
      <c r="Q101" s="388">
        <v>0.0</v>
      </c>
      <c r="R101" s="388">
        <v>0.0</v>
      </c>
      <c r="S101" s="388"/>
      <c r="T101" s="388">
        <v>0.0</v>
      </c>
      <c r="U101" s="389">
        <v>0.0</v>
      </c>
      <c r="V101" s="387">
        <v>0.0</v>
      </c>
      <c r="W101" s="388">
        <v>0.0</v>
      </c>
      <c r="X101" s="388">
        <v>0.0</v>
      </c>
      <c r="Y101" s="388">
        <v>0.0</v>
      </c>
      <c r="Z101" s="389">
        <v>0.0</v>
      </c>
      <c r="AA101" s="305"/>
      <c r="AB101" s="306"/>
      <c r="AC101" s="306"/>
    </row>
    <row r="102">
      <c r="A102" s="306" t="s">
        <v>1051</v>
      </c>
      <c r="B102" s="306" t="s">
        <v>979</v>
      </c>
      <c r="C102" s="390">
        <f t="shared" si="1"/>
        <v>0</v>
      </c>
      <c r="D102" s="387">
        <v>12.0</v>
      </c>
      <c r="E102" s="388">
        <v>19.0</v>
      </c>
      <c r="F102" s="388">
        <v>11.0</v>
      </c>
      <c r="G102" s="388">
        <v>7.0</v>
      </c>
      <c r="H102" s="388">
        <v>7.0</v>
      </c>
      <c r="I102" s="388">
        <v>1.0</v>
      </c>
      <c r="J102" s="388">
        <v>1.0</v>
      </c>
      <c r="K102" s="389" t="s">
        <v>299</v>
      </c>
      <c r="L102" s="387">
        <v>4.0</v>
      </c>
      <c r="M102" s="388">
        <v>0.0</v>
      </c>
      <c r="N102" s="388">
        <v>0.0</v>
      </c>
      <c r="O102" s="388">
        <v>0.0</v>
      </c>
      <c r="P102" s="388">
        <v>0.0</v>
      </c>
      <c r="Q102" s="388">
        <v>0.0</v>
      </c>
      <c r="R102" s="388">
        <v>0.0</v>
      </c>
      <c r="S102" s="388"/>
      <c r="T102" s="388">
        <v>0.0</v>
      </c>
      <c r="U102" s="389">
        <v>0.0</v>
      </c>
      <c r="V102" s="387">
        <v>0.0</v>
      </c>
      <c r="W102" s="388">
        <v>0.0</v>
      </c>
      <c r="X102" s="388">
        <v>0.0</v>
      </c>
      <c r="Y102" s="388">
        <v>0.0</v>
      </c>
      <c r="Z102" s="389">
        <v>0.0</v>
      </c>
      <c r="AA102" s="305"/>
      <c r="AB102" s="306"/>
      <c r="AC102" s="306"/>
    </row>
    <row r="103">
      <c r="A103" s="405" t="s">
        <v>1052</v>
      </c>
      <c r="B103" s="405"/>
      <c r="C103" s="406">
        <f t="shared" si="1"/>
        <v>0.25</v>
      </c>
      <c r="D103" s="407">
        <v>204.0</v>
      </c>
      <c r="E103" s="408">
        <v>225.0</v>
      </c>
      <c r="F103" s="408">
        <v>160.0</v>
      </c>
      <c r="G103" s="408">
        <v>90.0</v>
      </c>
      <c r="H103" s="408">
        <v>240.0</v>
      </c>
      <c r="I103" s="408">
        <v>1.0</v>
      </c>
      <c r="J103" s="408">
        <v>180.0</v>
      </c>
      <c r="K103" s="409"/>
      <c r="L103" s="407"/>
      <c r="M103" s="408">
        <v>0.0</v>
      </c>
      <c r="N103" s="408">
        <v>0.0</v>
      </c>
      <c r="O103" s="408">
        <v>0.0</v>
      </c>
      <c r="P103" s="408">
        <v>250.0</v>
      </c>
      <c r="Q103" s="408">
        <v>25.0</v>
      </c>
      <c r="R103" s="408">
        <v>0.0</v>
      </c>
      <c r="S103" s="408"/>
      <c r="T103" s="408">
        <v>75.0</v>
      </c>
      <c r="U103" s="409"/>
      <c r="V103" s="407">
        <v>5.0</v>
      </c>
      <c r="W103" s="408">
        <v>5.0</v>
      </c>
      <c r="X103" s="408">
        <v>30.0</v>
      </c>
      <c r="Y103" s="408">
        <v>250.0</v>
      </c>
      <c r="Z103" s="409">
        <v>250.0</v>
      </c>
      <c r="AA103" s="410"/>
      <c r="AB103" s="405"/>
      <c r="AC103" s="405"/>
    </row>
    <row r="104">
      <c r="A104" s="306" t="s">
        <v>1053</v>
      </c>
      <c r="B104" s="306" t="s">
        <v>1054</v>
      </c>
      <c r="C104" s="390">
        <f t="shared" si="1"/>
        <v>0</v>
      </c>
      <c r="D104" s="387">
        <v>56.0</v>
      </c>
      <c r="E104" s="388">
        <v>55.0</v>
      </c>
      <c r="F104" s="388">
        <v>47.0</v>
      </c>
      <c r="G104" s="388">
        <v>50.0</v>
      </c>
      <c r="H104" s="388">
        <v>46.0</v>
      </c>
      <c r="I104" s="388">
        <v>1.0</v>
      </c>
      <c r="J104" s="388">
        <v>1.0</v>
      </c>
      <c r="K104" s="389" t="s">
        <v>299</v>
      </c>
      <c r="L104" s="387">
        <v>4.0</v>
      </c>
      <c r="M104" s="388">
        <v>0.0</v>
      </c>
      <c r="N104" s="388">
        <v>0.0</v>
      </c>
      <c r="O104" s="388">
        <v>0.0</v>
      </c>
      <c r="P104" s="388">
        <v>0.0</v>
      </c>
      <c r="Q104" s="388">
        <v>0.0</v>
      </c>
      <c r="R104" s="388">
        <v>0.0</v>
      </c>
      <c r="S104" s="388"/>
      <c r="T104" s="388">
        <v>0.0</v>
      </c>
      <c r="U104" s="389">
        <v>0.0</v>
      </c>
      <c r="V104" s="387">
        <v>0.0</v>
      </c>
      <c r="W104" s="388">
        <v>0.0</v>
      </c>
      <c r="X104" s="388">
        <v>0.0</v>
      </c>
      <c r="Y104" s="388">
        <v>0.0</v>
      </c>
      <c r="Z104" s="389">
        <v>0.0</v>
      </c>
      <c r="AA104" s="305"/>
      <c r="AB104" s="306"/>
      <c r="AC104" s="306"/>
    </row>
    <row r="105">
      <c r="A105" s="405" t="s">
        <v>1055</v>
      </c>
      <c r="B105" s="405" t="s">
        <v>1056</v>
      </c>
      <c r="C105" s="406">
        <f t="shared" si="1"/>
        <v>0</v>
      </c>
      <c r="D105" s="407">
        <v>81.0</v>
      </c>
      <c r="E105" s="408">
        <v>110.0</v>
      </c>
      <c r="F105" s="408">
        <v>60.0</v>
      </c>
      <c r="G105" s="408">
        <v>70.0</v>
      </c>
      <c r="H105" s="408">
        <v>48.0</v>
      </c>
      <c r="I105" s="408">
        <v>1.0</v>
      </c>
      <c r="J105" s="408">
        <v>1.0</v>
      </c>
      <c r="K105" s="409"/>
      <c r="L105" s="407"/>
      <c r="M105" s="408">
        <v>0.0</v>
      </c>
      <c r="N105" s="408">
        <v>0.0</v>
      </c>
      <c r="O105" s="408">
        <v>0.0</v>
      </c>
      <c r="P105" s="408">
        <v>22.0</v>
      </c>
      <c r="Q105" s="408">
        <v>30.0</v>
      </c>
      <c r="R105" s="408">
        <v>0.0</v>
      </c>
      <c r="S105" s="408"/>
      <c r="T105" s="408">
        <v>0.0</v>
      </c>
      <c r="U105" s="409">
        <v>0.0</v>
      </c>
      <c r="V105" s="407">
        <v>0.0</v>
      </c>
      <c r="W105" s="408">
        <v>0.0</v>
      </c>
      <c r="X105" s="408">
        <v>0.0</v>
      </c>
      <c r="Y105" s="408">
        <v>0.0</v>
      </c>
      <c r="Z105" s="409">
        <v>0.0</v>
      </c>
      <c r="AA105" s="410"/>
      <c r="AB105" s="405"/>
      <c r="AC105" s="405"/>
    </row>
    <row r="106">
      <c r="A106" s="306" t="s">
        <v>1057</v>
      </c>
      <c r="B106" s="424" t="s">
        <v>954</v>
      </c>
      <c r="C106" s="390">
        <f t="shared" si="1"/>
        <v>0</v>
      </c>
      <c r="D106" s="387">
        <v>56.0</v>
      </c>
      <c r="E106" s="388">
        <v>75.0</v>
      </c>
      <c r="F106" s="388">
        <v>47.0</v>
      </c>
      <c r="G106" s="388">
        <v>50.0</v>
      </c>
      <c r="H106" s="388">
        <v>26.0</v>
      </c>
      <c r="I106" s="388">
        <v>1.0</v>
      </c>
      <c r="J106" s="388">
        <v>1.0</v>
      </c>
      <c r="K106" s="389" t="s">
        <v>299</v>
      </c>
      <c r="L106" s="387">
        <v>4.0</v>
      </c>
      <c r="M106" s="388">
        <v>0.0</v>
      </c>
      <c r="N106" s="388">
        <v>0.0</v>
      </c>
      <c r="O106" s="388">
        <v>0.0</v>
      </c>
      <c r="P106" s="388">
        <v>0.0</v>
      </c>
      <c r="Q106" s="388">
        <v>0.0</v>
      </c>
      <c r="R106" s="388">
        <v>0.0</v>
      </c>
      <c r="S106" s="388"/>
      <c r="T106" s="388">
        <v>0.0</v>
      </c>
      <c r="U106" s="389">
        <v>0.0</v>
      </c>
      <c r="V106" s="387">
        <v>0.0</v>
      </c>
      <c r="W106" s="388">
        <v>0.0</v>
      </c>
      <c r="X106" s="388">
        <v>0.0</v>
      </c>
      <c r="Y106" s="388">
        <v>0.0</v>
      </c>
      <c r="Z106" s="389">
        <v>0.0</v>
      </c>
      <c r="AA106" s="305"/>
      <c r="AB106" s="306"/>
      <c r="AC106" s="306"/>
    </row>
    <row r="107">
      <c r="A107" s="306" t="s">
        <v>1058</v>
      </c>
      <c r="B107" s="424" t="s">
        <v>954</v>
      </c>
      <c r="C107" s="390">
        <f t="shared" si="1"/>
        <v>0</v>
      </c>
      <c r="D107" s="387">
        <v>76.0</v>
      </c>
      <c r="E107" s="388">
        <v>100.0</v>
      </c>
      <c r="F107" s="388">
        <v>65.0</v>
      </c>
      <c r="G107" s="388">
        <v>65.0</v>
      </c>
      <c r="H107" s="388">
        <v>35.0</v>
      </c>
      <c r="I107" s="388">
        <v>1.0</v>
      </c>
      <c r="J107" s="388">
        <v>1.0</v>
      </c>
      <c r="K107" s="389" t="s">
        <v>299</v>
      </c>
      <c r="L107" s="387">
        <v>4.0</v>
      </c>
      <c r="M107" s="388">
        <v>0.0</v>
      </c>
      <c r="N107" s="388">
        <v>0.0</v>
      </c>
      <c r="O107" s="388">
        <v>0.0</v>
      </c>
      <c r="P107" s="388">
        <v>0.0</v>
      </c>
      <c r="Q107" s="388">
        <v>0.0</v>
      </c>
      <c r="R107" s="388">
        <v>0.0</v>
      </c>
      <c r="S107" s="388"/>
      <c r="T107" s="388">
        <v>0.0</v>
      </c>
      <c r="U107" s="389">
        <v>0.0</v>
      </c>
      <c r="V107" s="387">
        <v>0.0</v>
      </c>
      <c r="W107" s="388">
        <v>0.0</v>
      </c>
      <c r="X107" s="388">
        <v>0.0</v>
      </c>
      <c r="Y107" s="388">
        <v>0.0</v>
      </c>
      <c r="Z107" s="389">
        <v>0.0</v>
      </c>
      <c r="AA107" s="305"/>
      <c r="AB107" s="306"/>
      <c r="AC107" s="306"/>
    </row>
    <row r="108">
      <c r="A108" s="405" t="s">
        <v>1059</v>
      </c>
      <c r="B108" s="405"/>
      <c r="C108" s="406">
        <f t="shared" si="1"/>
        <v>0.05</v>
      </c>
      <c r="D108" s="407">
        <v>101.0</v>
      </c>
      <c r="E108" s="408">
        <v>120.0</v>
      </c>
      <c r="F108" s="408">
        <v>120.0</v>
      </c>
      <c r="G108" s="408">
        <v>120.0</v>
      </c>
      <c r="H108" s="408">
        <v>50.0</v>
      </c>
      <c r="I108" s="408">
        <v>0.0</v>
      </c>
      <c r="J108" s="408">
        <v>0.0</v>
      </c>
      <c r="K108" s="409"/>
      <c r="L108" s="407"/>
      <c r="M108" s="408">
        <v>0.0</v>
      </c>
      <c r="N108" s="408">
        <v>0.0</v>
      </c>
      <c r="O108" s="408">
        <v>0.0</v>
      </c>
      <c r="P108" s="408">
        <v>40.0</v>
      </c>
      <c r="Q108" s="408">
        <v>70.0</v>
      </c>
      <c r="R108" s="408">
        <v>0.0</v>
      </c>
      <c r="S108" s="408"/>
      <c r="T108" s="408">
        <v>0.0</v>
      </c>
      <c r="U108" s="409"/>
      <c r="V108" s="407">
        <v>25.0</v>
      </c>
      <c r="W108" s="408">
        <v>25.0</v>
      </c>
      <c r="X108" s="408">
        <v>40.0</v>
      </c>
      <c r="Y108" s="408">
        <v>200.0</v>
      </c>
      <c r="Z108" s="409">
        <v>200.0</v>
      </c>
      <c r="AA108" s="410"/>
      <c r="AB108" s="405"/>
      <c r="AC108" s="405"/>
    </row>
    <row r="109">
      <c r="A109" s="405" t="s">
        <v>1060</v>
      </c>
      <c r="B109" s="405"/>
      <c r="C109" s="406">
        <f t="shared" si="1"/>
        <v>0.1</v>
      </c>
      <c r="D109" s="407">
        <v>201.0</v>
      </c>
      <c r="E109" s="408">
        <v>240.0</v>
      </c>
      <c r="F109" s="408">
        <v>132.0</v>
      </c>
      <c r="G109" s="408">
        <v>264.0</v>
      </c>
      <c r="H109" s="408">
        <v>50.0</v>
      </c>
      <c r="I109" s="408">
        <v>0.0</v>
      </c>
      <c r="J109" s="408">
        <v>0.0</v>
      </c>
      <c r="K109" s="409"/>
      <c r="L109" s="407"/>
      <c r="M109" s="408">
        <v>0.0</v>
      </c>
      <c r="N109" s="408">
        <v>0.0</v>
      </c>
      <c r="O109" s="408">
        <v>0.0</v>
      </c>
      <c r="P109" s="408">
        <v>40.0</v>
      </c>
      <c r="Q109" s="408">
        <v>70.0</v>
      </c>
      <c r="R109" s="408">
        <v>0.0</v>
      </c>
      <c r="S109" s="408"/>
      <c r="T109" s="408">
        <v>0.0</v>
      </c>
      <c r="U109" s="409"/>
      <c r="V109" s="407">
        <v>25.0</v>
      </c>
      <c r="W109" s="408">
        <v>25.0</v>
      </c>
      <c r="X109" s="408">
        <v>40.0</v>
      </c>
      <c r="Y109" s="408">
        <v>200.0</v>
      </c>
      <c r="Z109" s="409">
        <v>200.0</v>
      </c>
      <c r="AA109" s="410"/>
      <c r="AB109" s="405"/>
      <c r="AC109" s="405"/>
    </row>
    <row r="110">
      <c r="A110" s="306" t="s">
        <v>1061</v>
      </c>
      <c r="B110" s="424" t="s">
        <v>1062</v>
      </c>
      <c r="C110" s="390">
        <f t="shared" si="1"/>
        <v>0</v>
      </c>
      <c r="D110" s="387">
        <v>74.0</v>
      </c>
      <c r="E110" s="388">
        <v>70.0</v>
      </c>
      <c r="F110" s="388">
        <v>68.0</v>
      </c>
      <c r="G110" s="388">
        <v>70.0</v>
      </c>
      <c r="H110" s="388">
        <v>50.0</v>
      </c>
      <c r="I110" s="388">
        <v>1.0</v>
      </c>
      <c r="J110" s="388">
        <v>1.0</v>
      </c>
      <c r="K110" s="389" t="s">
        <v>300</v>
      </c>
      <c r="L110" s="387">
        <v>4.0</v>
      </c>
      <c r="M110" s="388">
        <v>0.0</v>
      </c>
      <c r="N110" s="388">
        <v>0.0</v>
      </c>
      <c r="O110" s="388">
        <v>0.0</v>
      </c>
      <c r="P110" s="388">
        <v>0.0</v>
      </c>
      <c r="Q110" s="388">
        <v>0.0</v>
      </c>
      <c r="R110" s="388">
        <v>0.0</v>
      </c>
      <c r="S110" s="388"/>
      <c r="T110" s="388">
        <v>0.0</v>
      </c>
      <c r="U110" s="389">
        <v>0.0</v>
      </c>
      <c r="V110" s="387">
        <v>0.0</v>
      </c>
      <c r="W110" s="388">
        <v>0.0</v>
      </c>
      <c r="X110" s="388">
        <v>0.0</v>
      </c>
      <c r="Y110" s="388">
        <v>0.0</v>
      </c>
      <c r="Z110" s="389">
        <v>0.0</v>
      </c>
      <c r="AA110" s="305"/>
      <c r="AB110" s="306"/>
      <c r="AC110" s="306"/>
    </row>
    <row r="111">
      <c r="A111" s="306" t="s">
        <v>1063</v>
      </c>
      <c r="B111" s="424" t="s">
        <v>1062</v>
      </c>
      <c r="C111" s="390">
        <f t="shared" si="1"/>
        <v>0</v>
      </c>
      <c r="D111" s="387">
        <v>92.0</v>
      </c>
      <c r="E111" s="388">
        <v>120.0</v>
      </c>
      <c r="F111" s="388">
        <v>68.0</v>
      </c>
      <c r="G111" s="388">
        <v>70.0</v>
      </c>
      <c r="H111" s="388">
        <v>71.0</v>
      </c>
      <c r="I111" s="388">
        <v>1.0</v>
      </c>
      <c r="J111" s="388">
        <v>1.0</v>
      </c>
      <c r="K111" s="389" t="s">
        <v>300</v>
      </c>
      <c r="L111" s="387">
        <v>4.0</v>
      </c>
      <c r="M111" s="388">
        <v>0.0</v>
      </c>
      <c r="N111" s="388">
        <v>0.0</v>
      </c>
      <c r="O111" s="388">
        <v>0.0</v>
      </c>
      <c r="P111" s="388">
        <v>0.0</v>
      </c>
      <c r="Q111" s="388">
        <v>0.0</v>
      </c>
      <c r="R111" s="388">
        <v>0.0</v>
      </c>
      <c r="S111" s="388"/>
      <c r="T111" s="388">
        <v>0.0</v>
      </c>
      <c r="U111" s="389">
        <v>0.0</v>
      </c>
      <c r="V111" s="387">
        <v>0.0</v>
      </c>
      <c r="W111" s="388">
        <v>0.0</v>
      </c>
      <c r="X111" s="388">
        <v>0.0</v>
      </c>
      <c r="Y111" s="388">
        <v>50.0</v>
      </c>
      <c r="Z111" s="389">
        <v>50.0</v>
      </c>
      <c r="AA111" s="305"/>
      <c r="AB111" s="306"/>
      <c r="AC111" s="306"/>
    </row>
    <row r="112">
      <c r="A112" s="405" t="s">
        <v>1064</v>
      </c>
      <c r="B112" s="405"/>
      <c r="C112" s="406">
        <f t="shared" si="1"/>
        <v>0.3</v>
      </c>
      <c r="D112" s="407">
        <v>303.0</v>
      </c>
      <c r="E112" s="408">
        <v>255.0</v>
      </c>
      <c r="F112" s="408">
        <v>255.0</v>
      </c>
      <c r="G112" s="408">
        <v>255.0</v>
      </c>
      <c r="H112" s="408">
        <v>255.0</v>
      </c>
      <c r="I112" s="408">
        <v>255.0</v>
      </c>
      <c r="J112" s="408">
        <v>0.0</v>
      </c>
      <c r="K112" s="409"/>
      <c r="L112" s="407"/>
      <c r="M112" s="408">
        <v>0.0</v>
      </c>
      <c r="N112" s="408">
        <v>0.0</v>
      </c>
      <c r="O112" s="408">
        <v>0.0</v>
      </c>
      <c r="P112" s="408">
        <v>0.0</v>
      </c>
      <c r="Q112" s="408">
        <v>0.0</v>
      </c>
      <c r="R112" s="408">
        <v>0.0</v>
      </c>
      <c r="S112" s="408"/>
      <c r="T112" s="408">
        <v>0.0</v>
      </c>
      <c r="U112" s="409"/>
      <c r="V112" s="407">
        <v>255.0</v>
      </c>
      <c r="W112" s="408">
        <v>255.0</v>
      </c>
      <c r="X112" s="408">
        <v>255.0</v>
      </c>
      <c r="Y112" s="408">
        <v>255.0</v>
      </c>
      <c r="Z112" s="409">
        <v>10.0</v>
      </c>
      <c r="AA112" s="410"/>
      <c r="AB112" s="405"/>
      <c r="AC112" s="405"/>
    </row>
    <row r="113">
      <c r="A113" s="405" t="s">
        <v>1065</v>
      </c>
      <c r="B113" s="405"/>
      <c r="C113" s="406">
        <f t="shared" si="1"/>
        <v>0.3</v>
      </c>
      <c r="D113" s="407">
        <v>303.0</v>
      </c>
      <c r="E113" s="408">
        <v>255.0</v>
      </c>
      <c r="F113" s="408">
        <v>255.0</v>
      </c>
      <c r="G113" s="408">
        <v>255.0</v>
      </c>
      <c r="H113" s="408">
        <v>255.0</v>
      </c>
      <c r="I113" s="408">
        <v>0.0</v>
      </c>
      <c r="J113" s="408">
        <v>255.0</v>
      </c>
      <c r="K113" s="409"/>
      <c r="L113" s="407"/>
      <c r="M113" s="408">
        <v>0.0</v>
      </c>
      <c r="N113" s="408">
        <v>0.0</v>
      </c>
      <c r="O113" s="408">
        <v>0.0</v>
      </c>
      <c r="P113" s="408">
        <v>0.0</v>
      </c>
      <c r="Q113" s="408">
        <v>0.0</v>
      </c>
      <c r="R113" s="408">
        <v>0.0</v>
      </c>
      <c r="S113" s="408"/>
      <c r="T113" s="408">
        <v>0.0</v>
      </c>
      <c r="U113" s="409"/>
      <c r="V113" s="407">
        <v>255.0</v>
      </c>
      <c r="W113" s="408">
        <v>255.0</v>
      </c>
      <c r="X113" s="408">
        <v>255.0</v>
      </c>
      <c r="Y113" s="408">
        <v>10.0</v>
      </c>
      <c r="Z113" s="409">
        <v>255.0</v>
      </c>
      <c r="AA113" s="410"/>
      <c r="AB113" s="405"/>
      <c r="AC113" s="405"/>
    </row>
    <row r="114">
      <c r="A114" s="405" t="s">
        <v>1066</v>
      </c>
      <c r="B114" s="405"/>
      <c r="C114" s="406">
        <f t="shared" si="1"/>
        <v>0</v>
      </c>
      <c r="D114" s="407">
        <v>303.0</v>
      </c>
      <c r="E114" s="408">
        <v>255.0</v>
      </c>
      <c r="F114" s="408">
        <v>255.0</v>
      </c>
      <c r="G114" s="408">
        <v>255.0</v>
      </c>
      <c r="H114" s="408">
        <v>128.0</v>
      </c>
      <c r="I114" s="408">
        <v>255.0</v>
      </c>
      <c r="J114" s="408">
        <v>255.0</v>
      </c>
      <c r="K114" s="409"/>
      <c r="L114" s="407"/>
      <c r="M114" s="408">
        <v>0.0</v>
      </c>
      <c r="N114" s="408">
        <v>0.0</v>
      </c>
      <c r="O114" s="408">
        <v>0.0</v>
      </c>
      <c r="P114" s="408">
        <v>0.0</v>
      </c>
      <c r="Q114" s="408">
        <v>0.0</v>
      </c>
      <c r="R114" s="408">
        <v>0.0</v>
      </c>
      <c r="S114" s="408"/>
      <c r="T114" s="408">
        <v>0.0</v>
      </c>
      <c r="U114" s="409"/>
      <c r="V114" s="407">
        <v>10.0</v>
      </c>
      <c r="W114" s="408">
        <v>10.0</v>
      </c>
      <c r="X114" s="408">
        <v>10.0</v>
      </c>
      <c r="Y114" s="408">
        <v>255.0</v>
      </c>
      <c r="Z114" s="409">
        <v>550.0</v>
      </c>
      <c r="AA114" s="410"/>
      <c r="AB114" s="405"/>
      <c r="AC114" s="405"/>
    </row>
    <row r="115">
      <c r="A115" s="306" t="s">
        <v>1067</v>
      </c>
      <c r="B115" s="306" t="s">
        <v>1068</v>
      </c>
      <c r="C115" s="390">
        <f t="shared" si="1"/>
        <v>0.025</v>
      </c>
      <c r="D115" s="387">
        <v>182.0</v>
      </c>
      <c r="E115" s="388">
        <v>220.0</v>
      </c>
      <c r="F115" s="388">
        <v>140.0</v>
      </c>
      <c r="G115" s="388">
        <v>160.0</v>
      </c>
      <c r="H115" s="388">
        <v>120.0</v>
      </c>
      <c r="I115" s="388">
        <v>160.0</v>
      </c>
      <c r="J115" s="388">
        <v>1.0</v>
      </c>
      <c r="K115" s="389" t="s">
        <v>299</v>
      </c>
      <c r="L115" s="387">
        <v>4.0</v>
      </c>
      <c r="M115" s="388">
        <v>0.0</v>
      </c>
      <c r="N115" s="388">
        <v>0.0</v>
      </c>
      <c r="O115" s="388">
        <v>0.0</v>
      </c>
      <c r="P115" s="388">
        <v>0.0</v>
      </c>
      <c r="Q115" s="388">
        <v>0.0</v>
      </c>
      <c r="R115" s="388">
        <v>0.0</v>
      </c>
      <c r="S115" s="388"/>
      <c r="T115" s="388">
        <v>0.0</v>
      </c>
      <c r="U115" s="389"/>
      <c r="V115" s="387">
        <v>30.0</v>
      </c>
      <c r="W115" s="388">
        <v>40.0</v>
      </c>
      <c r="X115" s="388">
        <v>100.0</v>
      </c>
      <c r="Y115" s="388">
        <v>90.0</v>
      </c>
      <c r="Z115" s="389">
        <v>100.0</v>
      </c>
      <c r="AA115" s="305"/>
      <c r="AB115" s="306"/>
      <c r="AC115" s="306"/>
    </row>
    <row r="116">
      <c r="A116" s="319" t="s">
        <v>1069</v>
      </c>
      <c r="B116" s="411" t="s">
        <v>1070</v>
      </c>
      <c r="C116" s="412">
        <f t="shared" si="1"/>
        <v>0.1</v>
      </c>
      <c r="D116" s="413">
        <v>145.0</v>
      </c>
      <c r="E116" s="414">
        <v>165.0</v>
      </c>
      <c r="F116" s="414">
        <v>75.0</v>
      </c>
      <c r="G116" s="414">
        <v>75.0</v>
      </c>
      <c r="H116" s="414">
        <v>55.0</v>
      </c>
      <c r="I116" s="414">
        <v>1.0</v>
      </c>
      <c r="J116" s="414">
        <v>1.0</v>
      </c>
      <c r="K116" s="415" t="s">
        <v>301</v>
      </c>
      <c r="L116" s="413">
        <v>4.0</v>
      </c>
      <c r="M116" s="178"/>
      <c r="N116" s="178"/>
      <c r="O116" s="178"/>
      <c r="P116" s="414">
        <v>80.0</v>
      </c>
      <c r="Q116" s="414">
        <v>76.0</v>
      </c>
      <c r="R116" s="178"/>
      <c r="S116" s="178"/>
      <c r="T116" s="178"/>
      <c r="U116" s="416"/>
      <c r="V116" s="413">
        <v>106.0</v>
      </c>
      <c r="W116" s="414">
        <v>109.0</v>
      </c>
      <c r="X116" s="414">
        <v>139.0</v>
      </c>
      <c r="Y116" s="414">
        <v>0.0</v>
      </c>
      <c r="Z116" s="415">
        <v>0.0</v>
      </c>
      <c r="AA116" s="394"/>
      <c r="AB116" s="395"/>
      <c r="AC116" s="395"/>
    </row>
    <row r="117">
      <c r="A117" s="306" t="s">
        <v>1071</v>
      </c>
      <c r="B117" s="306" t="s">
        <v>1072</v>
      </c>
      <c r="C117" s="390">
        <f t="shared" si="1"/>
        <v>0</v>
      </c>
      <c r="D117" s="387">
        <v>7.0</v>
      </c>
      <c r="E117" s="388">
        <v>12.0</v>
      </c>
      <c r="F117" s="388">
        <v>5.0</v>
      </c>
      <c r="G117" s="388">
        <v>2.0</v>
      </c>
      <c r="H117" s="388">
        <v>5.0</v>
      </c>
      <c r="I117" s="388">
        <v>6.0</v>
      </c>
      <c r="J117" s="388">
        <v>1.0</v>
      </c>
      <c r="K117" s="389" t="s">
        <v>299</v>
      </c>
      <c r="L117" s="387">
        <v>4.0</v>
      </c>
      <c r="M117" s="388">
        <v>0.0</v>
      </c>
      <c r="N117" s="388">
        <v>0.0</v>
      </c>
      <c r="O117" s="388">
        <v>0.0</v>
      </c>
      <c r="P117" s="388">
        <v>0.0</v>
      </c>
      <c r="Q117" s="388">
        <v>0.0</v>
      </c>
      <c r="R117" s="388">
        <v>0.0</v>
      </c>
      <c r="S117" s="388"/>
      <c r="T117" s="388">
        <v>0.0</v>
      </c>
      <c r="U117" s="389">
        <v>0.0</v>
      </c>
      <c r="V117" s="387">
        <v>0.0</v>
      </c>
      <c r="W117" s="388">
        <v>0.0</v>
      </c>
      <c r="X117" s="388">
        <v>0.0</v>
      </c>
      <c r="Y117" s="388">
        <v>3.0</v>
      </c>
      <c r="Z117" s="389">
        <v>0.0</v>
      </c>
      <c r="AA117" s="305"/>
      <c r="AB117" s="306"/>
      <c r="AC117" s="306"/>
    </row>
    <row r="118">
      <c r="A118" s="306" t="s">
        <v>1073</v>
      </c>
      <c r="B118" s="306" t="s">
        <v>1072</v>
      </c>
      <c r="C118" s="390">
        <f t="shared" si="1"/>
        <v>0</v>
      </c>
      <c r="D118" s="387">
        <v>20.0</v>
      </c>
      <c r="E118" s="388">
        <v>24.0</v>
      </c>
      <c r="F118" s="388">
        <v>17.0</v>
      </c>
      <c r="G118" s="388">
        <v>17.0</v>
      </c>
      <c r="H118" s="388">
        <v>14.0</v>
      </c>
      <c r="I118" s="388">
        <v>22.0</v>
      </c>
      <c r="J118" s="388">
        <v>1.0</v>
      </c>
      <c r="K118" s="389" t="s">
        <v>299</v>
      </c>
      <c r="L118" s="387">
        <v>4.0</v>
      </c>
      <c r="M118" s="388">
        <v>0.0</v>
      </c>
      <c r="N118" s="388">
        <v>0.0</v>
      </c>
      <c r="O118" s="388">
        <v>0.0</v>
      </c>
      <c r="P118" s="388">
        <v>0.0</v>
      </c>
      <c r="Q118" s="388">
        <v>0.0</v>
      </c>
      <c r="R118" s="388">
        <v>0.0</v>
      </c>
      <c r="S118" s="388"/>
      <c r="T118" s="388">
        <v>0.0</v>
      </c>
      <c r="U118" s="389">
        <v>0.0</v>
      </c>
      <c r="V118" s="387">
        <v>0.0</v>
      </c>
      <c r="W118" s="388">
        <v>0.0</v>
      </c>
      <c r="X118" s="388">
        <v>0.0</v>
      </c>
      <c r="Y118" s="388">
        <v>3.0</v>
      </c>
      <c r="Z118" s="389">
        <v>0.0</v>
      </c>
      <c r="AA118" s="305"/>
      <c r="AB118" s="306"/>
      <c r="AC118" s="306"/>
    </row>
    <row r="119">
      <c r="A119" s="319" t="s">
        <v>1074</v>
      </c>
      <c r="B119" s="316"/>
      <c r="C119" s="412">
        <f t="shared" si="1"/>
        <v>0</v>
      </c>
      <c r="D119" s="418">
        <v>228.0</v>
      </c>
      <c r="E119" s="419">
        <v>450.0</v>
      </c>
      <c r="F119" s="421">
        <v>140.0</v>
      </c>
      <c r="G119" s="421">
        <v>140.0</v>
      </c>
      <c r="H119" s="421">
        <v>100.0</v>
      </c>
      <c r="I119" s="421">
        <v>100.0</v>
      </c>
      <c r="J119" s="421">
        <v>140.0</v>
      </c>
      <c r="K119" s="423" t="s">
        <v>301</v>
      </c>
      <c r="L119" s="422">
        <v>6.0</v>
      </c>
      <c r="M119" s="421"/>
      <c r="N119" s="421"/>
      <c r="O119" s="421"/>
      <c r="P119" s="421"/>
      <c r="Q119" s="421"/>
      <c r="R119" s="421"/>
      <c r="S119" s="421"/>
      <c r="T119" s="421"/>
      <c r="U119" s="423"/>
      <c r="V119" s="422">
        <v>0.0</v>
      </c>
      <c r="W119" s="421">
        <v>0.0</v>
      </c>
      <c r="X119" s="421">
        <v>0.0</v>
      </c>
      <c r="Y119" s="421">
        <v>80.0</v>
      </c>
      <c r="Z119" s="423">
        <v>0.0</v>
      </c>
      <c r="AA119" s="329"/>
      <c r="AB119" s="316"/>
      <c r="AC119" s="316"/>
    </row>
    <row r="120">
      <c r="A120" s="306" t="s">
        <v>1075</v>
      </c>
      <c r="B120" s="306" t="s">
        <v>1076</v>
      </c>
      <c r="C120" s="390">
        <f t="shared" si="1"/>
        <v>0</v>
      </c>
      <c r="D120" s="387">
        <v>34.0</v>
      </c>
      <c r="E120" s="388">
        <v>35.0</v>
      </c>
      <c r="F120" s="388">
        <v>30.0</v>
      </c>
      <c r="G120" s="388">
        <v>25.0</v>
      </c>
      <c r="H120" s="388">
        <v>30.0</v>
      </c>
      <c r="I120" s="388">
        <v>1.0</v>
      </c>
      <c r="J120" s="388">
        <v>1.0</v>
      </c>
      <c r="K120" s="389" t="s">
        <v>300</v>
      </c>
      <c r="L120" s="387">
        <v>4.0</v>
      </c>
      <c r="M120" s="388">
        <v>0.0</v>
      </c>
      <c r="N120" s="388">
        <v>0.0</v>
      </c>
      <c r="O120" s="388">
        <v>0.0</v>
      </c>
      <c r="P120" s="388">
        <v>0.0</v>
      </c>
      <c r="Q120" s="388">
        <v>0.0</v>
      </c>
      <c r="R120" s="388">
        <v>0.0</v>
      </c>
      <c r="S120" s="388"/>
      <c r="T120" s="388">
        <v>0.0</v>
      </c>
      <c r="U120" s="389">
        <v>0.0</v>
      </c>
      <c r="V120" s="387">
        <v>15.0</v>
      </c>
      <c r="W120" s="388">
        <v>16.0</v>
      </c>
      <c r="X120" s="388">
        <v>7.0</v>
      </c>
      <c r="Y120" s="388">
        <v>12.0</v>
      </c>
      <c r="Z120" s="389">
        <v>16.0</v>
      </c>
      <c r="AA120" s="305"/>
      <c r="AB120" s="306"/>
      <c r="AC120" s="306"/>
    </row>
    <row r="121">
      <c r="A121" s="405" t="s">
        <v>1077</v>
      </c>
      <c r="B121" s="405"/>
      <c r="C121" s="406">
        <f t="shared" si="1"/>
        <v>0.075</v>
      </c>
      <c r="D121" s="407">
        <v>275.0</v>
      </c>
      <c r="E121" s="408">
        <v>380.0</v>
      </c>
      <c r="F121" s="408">
        <v>205.0</v>
      </c>
      <c r="G121" s="408">
        <v>195.0</v>
      </c>
      <c r="H121" s="408">
        <v>200.0</v>
      </c>
      <c r="I121" s="408">
        <v>195.0</v>
      </c>
      <c r="J121" s="408">
        <v>195.0</v>
      </c>
      <c r="K121" s="409"/>
      <c r="L121" s="407"/>
      <c r="M121" s="408">
        <v>0.0</v>
      </c>
      <c r="N121" s="408">
        <v>0.0</v>
      </c>
      <c r="O121" s="408">
        <v>0.0</v>
      </c>
      <c r="P121" s="408">
        <v>43.0</v>
      </c>
      <c r="Q121" s="408">
        <v>29.0</v>
      </c>
      <c r="R121" s="408">
        <v>40.0</v>
      </c>
      <c r="S121" s="408"/>
      <c r="T121" s="408">
        <v>43.0</v>
      </c>
      <c r="U121" s="409">
        <v>29.0</v>
      </c>
      <c r="V121" s="407">
        <v>0.0</v>
      </c>
      <c r="W121" s="408">
        <v>0.0</v>
      </c>
      <c r="X121" s="408">
        <v>0.0</v>
      </c>
      <c r="Y121" s="408">
        <v>50.0</v>
      </c>
      <c r="Z121" s="409">
        <v>0.0</v>
      </c>
      <c r="AA121" s="410"/>
      <c r="AB121" s="405" t="s">
        <v>931</v>
      </c>
      <c r="AC121" s="405"/>
    </row>
    <row r="122">
      <c r="A122" s="405" t="s">
        <v>1078</v>
      </c>
      <c r="B122" s="405" t="s">
        <v>943</v>
      </c>
      <c r="C122" s="406">
        <f t="shared" si="1"/>
        <v>0.05</v>
      </c>
      <c r="D122" s="407">
        <v>276.0</v>
      </c>
      <c r="E122" s="408">
        <v>200.0</v>
      </c>
      <c r="F122" s="408">
        <v>280.0</v>
      </c>
      <c r="G122" s="408">
        <v>160.0</v>
      </c>
      <c r="H122" s="408">
        <v>280.0</v>
      </c>
      <c r="I122" s="408">
        <v>1.0</v>
      </c>
      <c r="J122" s="408">
        <v>320.0</v>
      </c>
      <c r="K122" s="409"/>
      <c r="L122" s="407"/>
      <c r="M122" s="408">
        <v>280.0</v>
      </c>
      <c r="N122" s="408">
        <v>280.0</v>
      </c>
      <c r="O122" s="408">
        <v>280.0</v>
      </c>
      <c r="P122" s="408"/>
      <c r="Q122" s="408">
        <v>30.0</v>
      </c>
      <c r="R122" s="408"/>
      <c r="S122" s="408"/>
      <c r="T122" s="408">
        <v>90.0</v>
      </c>
      <c r="U122" s="409">
        <v>90.0</v>
      </c>
      <c r="V122" s="407">
        <v>20.0</v>
      </c>
      <c r="W122" s="408">
        <v>20.0</v>
      </c>
      <c r="X122" s="408">
        <v>50.0</v>
      </c>
      <c r="Y122" s="408">
        <v>300.0</v>
      </c>
      <c r="Z122" s="409">
        <v>300.0</v>
      </c>
      <c r="AA122" s="410"/>
      <c r="AB122" s="405"/>
      <c r="AC122" s="405"/>
    </row>
    <row r="123">
      <c r="A123" s="306" t="s">
        <v>1079</v>
      </c>
      <c r="B123" s="424" t="s">
        <v>954</v>
      </c>
      <c r="C123" s="390">
        <f t="shared" si="1"/>
        <v>0.025</v>
      </c>
      <c r="D123" s="387">
        <v>169.0</v>
      </c>
      <c r="E123" s="388">
        <v>190.0</v>
      </c>
      <c r="F123" s="388">
        <v>1.0</v>
      </c>
      <c r="G123" s="388">
        <v>1.0</v>
      </c>
      <c r="H123" s="388">
        <v>90.0</v>
      </c>
      <c r="I123" s="388">
        <v>205.0</v>
      </c>
      <c r="J123" s="388">
        <v>1.0</v>
      </c>
      <c r="K123" s="389" t="s">
        <v>305</v>
      </c>
      <c r="L123" s="387">
        <v>4.0</v>
      </c>
      <c r="M123" s="388">
        <v>0.0</v>
      </c>
      <c r="N123" s="388">
        <v>0.0</v>
      </c>
      <c r="O123" s="388">
        <v>0.0</v>
      </c>
      <c r="P123" s="388">
        <v>0.0</v>
      </c>
      <c r="Q123" s="388">
        <v>0.0</v>
      </c>
      <c r="R123" s="388">
        <v>0.0</v>
      </c>
      <c r="S123" s="388"/>
      <c r="T123" s="388">
        <v>0.0</v>
      </c>
      <c r="U123" s="389">
        <v>0.0</v>
      </c>
      <c r="V123" s="387">
        <v>80.0</v>
      </c>
      <c r="W123" s="388">
        <v>80.0</v>
      </c>
      <c r="X123" s="388">
        <v>80.0</v>
      </c>
      <c r="Y123" s="388">
        <v>0.0</v>
      </c>
      <c r="Z123" s="389">
        <v>85.0</v>
      </c>
      <c r="AA123" s="305"/>
      <c r="AB123" s="306" t="s">
        <v>929</v>
      </c>
      <c r="AC123" s="306"/>
    </row>
    <row r="124">
      <c r="A124" s="405" t="s">
        <v>194</v>
      </c>
      <c r="B124" s="405"/>
      <c r="C124" s="406">
        <f t="shared" si="1"/>
        <v>0.15</v>
      </c>
      <c r="D124" s="407">
        <v>115.0</v>
      </c>
      <c r="E124" s="408">
        <v>100.0</v>
      </c>
      <c r="F124" s="408">
        <v>100.0</v>
      </c>
      <c r="G124" s="408">
        <v>100.0</v>
      </c>
      <c r="H124" s="408">
        <v>100.0</v>
      </c>
      <c r="I124" s="408">
        <v>1.0</v>
      </c>
      <c r="J124" s="408">
        <v>1.0</v>
      </c>
      <c r="K124" s="409"/>
      <c r="L124" s="407"/>
      <c r="M124" s="408">
        <v>0.0</v>
      </c>
      <c r="N124" s="408">
        <v>103.0</v>
      </c>
      <c r="O124" s="408">
        <v>95.0</v>
      </c>
      <c r="P124" s="408">
        <v>0.0</v>
      </c>
      <c r="Q124" s="408">
        <v>105.0</v>
      </c>
      <c r="R124" s="408">
        <v>0.0</v>
      </c>
      <c r="S124" s="408"/>
      <c r="T124" s="408">
        <v>0.0</v>
      </c>
      <c r="U124" s="409"/>
      <c r="V124" s="407">
        <v>252.0</v>
      </c>
      <c r="W124" s="408">
        <v>250.0</v>
      </c>
      <c r="X124" s="408">
        <v>244.0</v>
      </c>
      <c r="Y124" s="408">
        <v>-11.0</v>
      </c>
      <c r="Z124" s="409">
        <v>249.0</v>
      </c>
      <c r="AA124" s="410"/>
      <c r="AB124" s="405"/>
      <c r="AC124" s="405"/>
    </row>
    <row r="125">
      <c r="A125" s="306" t="s">
        <v>1080</v>
      </c>
      <c r="B125" s="306" t="s">
        <v>1081</v>
      </c>
      <c r="C125" s="390">
        <f t="shared" si="1"/>
        <v>0.075</v>
      </c>
      <c r="D125" s="387">
        <v>192.0</v>
      </c>
      <c r="E125" s="388">
        <v>250.0</v>
      </c>
      <c r="F125" s="388">
        <v>140.0</v>
      </c>
      <c r="G125" s="388">
        <v>118.0</v>
      </c>
      <c r="H125" s="388">
        <v>120.0</v>
      </c>
      <c r="I125" s="388">
        <v>112.0</v>
      </c>
      <c r="J125" s="388">
        <v>140.0</v>
      </c>
      <c r="K125" s="389"/>
      <c r="L125" s="387"/>
      <c r="M125" s="388"/>
      <c r="N125" s="388"/>
      <c r="O125" s="388"/>
      <c r="P125" s="388">
        <v>40.0</v>
      </c>
      <c r="Q125" s="388">
        <v>12.0</v>
      </c>
      <c r="R125" s="388"/>
      <c r="S125" s="388"/>
      <c r="T125" s="388">
        <v>40.0</v>
      </c>
      <c r="U125" s="389">
        <v>40.0</v>
      </c>
      <c r="V125" s="387">
        <v>60.0</v>
      </c>
      <c r="W125" s="388">
        <v>60.0</v>
      </c>
      <c r="X125" s="388">
        <v>60.0</v>
      </c>
      <c r="Y125" s="388">
        <v>20.0</v>
      </c>
      <c r="Z125" s="389">
        <v>100.0</v>
      </c>
      <c r="AA125" s="305"/>
      <c r="AB125" s="306" t="s">
        <v>936</v>
      </c>
      <c r="AC125" s="306"/>
    </row>
    <row r="126">
      <c r="A126" s="306" t="s">
        <v>1082</v>
      </c>
      <c r="B126" s="306" t="s">
        <v>1083</v>
      </c>
      <c r="C126" s="390">
        <f t="shared" si="1"/>
        <v>0</v>
      </c>
      <c r="D126" s="387">
        <v>33.0</v>
      </c>
      <c r="E126" s="388">
        <v>30.0</v>
      </c>
      <c r="F126" s="388">
        <v>28.0</v>
      </c>
      <c r="G126" s="388">
        <v>28.0</v>
      </c>
      <c r="H126" s="388">
        <v>32.0</v>
      </c>
      <c r="I126" s="388">
        <v>25.0</v>
      </c>
      <c r="J126" s="388">
        <v>1.0</v>
      </c>
      <c r="K126" s="389" t="s">
        <v>299</v>
      </c>
      <c r="L126" s="387">
        <v>4.0</v>
      </c>
      <c r="M126" s="388">
        <v>0.0</v>
      </c>
      <c r="N126" s="388">
        <v>0.0</v>
      </c>
      <c r="O126" s="388">
        <v>0.0</v>
      </c>
      <c r="P126" s="388">
        <v>0.0</v>
      </c>
      <c r="Q126" s="388">
        <v>0.0</v>
      </c>
      <c r="R126" s="388">
        <v>0.0</v>
      </c>
      <c r="S126" s="388"/>
      <c r="T126" s="388">
        <v>0.0</v>
      </c>
      <c r="U126" s="389">
        <v>0.0</v>
      </c>
      <c r="V126" s="387">
        <v>0.0</v>
      </c>
      <c r="W126" s="388">
        <v>0.0</v>
      </c>
      <c r="X126" s="388">
        <v>0.0</v>
      </c>
      <c r="Y126" s="388">
        <v>0.0</v>
      </c>
      <c r="Z126" s="389">
        <v>0.0</v>
      </c>
      <c r="AA126" s="305"/>
      <c r="AB126" s="306"/>
      <c r="AC126" s="306"/>
    </row>
    <row r="127">
      <c r="A127" s="306" t="s">
        <v>1084</v>
      </c>
      <c r="B127" s="306"/>
      <c r="C127" s="390">
        <f t="shared" si="1"/>
        <v>0</v>
      </c>
      <c r="D127" s="387">
        <v>1.0</v>
      </c>
      <c r="E127" s="388">
        <v>3.0</v>
      </c>
      <c r="F127" s="388">
        <v>1.0</v>
      </c>
      <c r="G127" s="388">
        <v>1.0</v>
      </c>
      <c r="H127" s="388">
        <v>1.0</v>
      </c>
      <c r="I127" s="388">
        <v>1.0</v>
      </c>
      <c r="J127" s="388">
        <v>1.0</v>
      </c>
      <c r="K127" s="389" t="s">
        <v>300</v>
      </c>
      <c r="L127" s="387">
        <v>4.0</v>
      </c>
      <c r="M127" s="388">
        <v>0.0</v>
      </c>
      <c r="N127" s="388">
        <v>0.0</v>
      </c>
      <c r="O127" s="388">
        <v>0.0</v>
      </c>
      <c r="P127" s="388">
        <v>0.0</v>
      </c>
      <c r="Q127" s="388">
        <v>0.0</v>
      </c>
      <c r="R127" s="388">
        <v>0.0</v>
      </c>
      <c r="S127" s="388"/>
      <c r="T127" s="388">
        <v>0.0</v>
      </c>
      <c r="U127" s="389">
        <v>0.0</v>
      </c>
      <c r="V127" s="387">
        <v>-42.0</v>
      </c>
      <c r="W127" s="388">
        <v>-42.0</v>
      </c>
      <c r="X127" s="388">
        <v>-42.0</v>
      </c>
      <c r="Y127" s="388">
        <v>-42.0</v>
      </c>
      <c r="Z127" s="389">
        <v>-42.0</v>
      </c>
      <c r="AA127" s="305"/>
      <c r="AB127" s="306"/>
      <c r="AC127" s="306"/>
    </row>
    <row r="128">
      <c r="A128" s="316" t="s">
        <v>1085</v>
      </c>
      <c r="B128" s="316"/>
      <c r="C128" s="412">
        <f t="shared" si="1"/>
        <v>0</v>
      </c>
      <c r="D128" s="418">
        <v>248.0</v>
      </c>
      <c r="E128" s="419">
        <v>450.0</v>
      </c>
      <c r="F128" s="421">
        <v>200.0</v>
      </c>
      <c r="G128" s="421">
        <v>140.0</v>
      </c>
      <c r="H128" s="421">
        <v>100.0</v>
      </c>
      <c r="I128" s="421">
        <v>140.0</v>
      </c>
      <c r="J128" s="421">
        <v>140.0</v>
      </c>
      <c r="K128" s="423" t="s">
        <v>299</v>
      </c>
      <c r="L128" s="422">
        <v>6.0</v>
      </c>
      <c r="M128" s="421"/>
      <c r="N128" s="421"/>
      <c r="O128" s="421"/>
      <c r="P128" s="421"/>
      <c r="Q128" s="421"/>
      <c r="R128" s="421"/>
      <c r="S128" s="421"/>
      <c r="T128" s="421"/>
      <c r="U128" s="423"/>
      <c r="V128" s="422"/>
      <c r="W128" s="421"/>
      <c r="X128" s="421"/>
      <c r="Y128" s="421"/>
      <c r="Z128" s="423"/>
      <c r="AA128" s="329"/>
      <c r="AB128" s="316"/>
      <c r="AC128" s="316"/>
    </row>
    <row r="129">
      <c r="A129" s="316" t="s">
        <v>1086</v>
      </c>
      <c r="B129" s="316"/>
      <c r="C129" s="412">
        <f t="shared" si="1"/>
        <v>0</v>
      </c>
      <c r="D129" s="418">
        <v>328.0</v>
      </c>
      <c r="E129" s="419">
        <v>450.0</v>
      </c>
      <c r="F129" s="421">
        <v>300.0</v>
      </c>
      <c r="G129" s="421">
        <v>250.0</v>
      </c>
      <c r="H129" s="421">
        <v>150.0</v>
      </c>
      <c r="I129" s="421">
        <v>250.0</v>
      </c>
      <c r="J129" s="421">
        <v>250.0</v>
      </c>
      <c r="K129" s="423" t="s">
        <v>299</v>
      </c>
      <c r="L129" s="422">
        <v>6.0</v>
      </c>
      <c r="M129" s="421"/>
      <c r="N129" s="421"/>
      <c r="O129" s="421"/>
      <c r="P129" s="421"/>
      <c r="Q129" s="421"/>
      <c r="R129" s="421"/>
      <c r="S129" s="421"/>
      <c r="T129" s="421"/>
      <c r="U129" s="423"/>
      <c r="V129" s="422">
        <v>0.0</v>
      </c>
      <c r="W129" s="421">
        <v>0.0</v>
      </c>
      <c r="X129" s="421">
        <v>0.0</v>
      </c>
      <c r="Y129" s="421">
        <v>0.0</v>
      </c>
      <c r="Z129" s="423">
        <v>0.0</v>
      </c>
      <c r="AA129" s="329"/>
      <c r="AB129" s="316"/>
      <c r="AC129" s="316"/>
    </row>
    <row r="130">
      <c r="A130" s="306" t="s">
        <v>1087</v>
      </c>
      <c r="B130" s="306" t="s">
        <v>1088</v>
      </c>
      <c r="C130" s="390">
        <f t="shared" si="1"/>
        <v>0</v>
      </c>
      <c r="D130" s="387">
        <v>93.0</v>
      </c>
      <c r="E130" s="388">
        <v>105.0</v>
      </c>
      <c r="F130" s="388">
        <v>105.0</v>
      </c>
      <c r="G130" s="388">
        <v>70.0</v>
      </c>
      <c r="H130" s="388">
        <v>40.0</v>
      </c>
      <c r="I130" s="388">
        <v>1.0</v>
      </c>
      <c r="J130" s="388">
        <v>1.0</v>
      </c>
      <c r="K130" s="389" t="s">
        <v>1089</v>
      </c>
      <c r="L130" s="387">
        <v>4.0</v>
      </c>
      <c r="M130" s="388">
        <v>0.0</v>
      </c>
      <c r="N130" s="388">
        <v>0.0</v>
      </c>
      <c r="O130" s="388">
        <v>0.0</v>
      </c>
      <c r="P130" s="388">
        <v>0.0</v>
      </c>
      <c r="Q130" s="388">
        <v>0.0</v>
      </c>
      <c r="R130" s="388">
        <v>0.0</v>
      </c>
      <c r="S130" s="388"/>
      <c r="T130" s="388">
        <v>0.0</v>
      </c>
      <c r="U130" s="389">
        <v>0.0</v>
      </c>
      <c r="V130" s="387">
        <v>0.0</v>
      </c>
      <c r="W130" s="388">
        <v>0.0</v>
      </c>
      <c r="X130" s="388">
        <v>0.0</v>
      </c>
      <c r="Y130" s="388">
        <v>0.0</v>
      </c>
      <c r="Z130" s="389">
        <v>0.0</v>
      </c>
      <c r="AA130" s="305"/>
      <c r="AB130" s="306"/>
      <c r="AC130" s="306"/>
    </row>
    <row r="131">
      <c r="A131" s="306" t="s">
        <v>1090</v>
      </c>
      <c r="B131" s="424" t="s">
        <v>954</v>
      </c>
      <c r="C131" s="390">
        <f t="shared" si="1"/>
        <v>0</v>
      </c>
      <c r="D131" s="387">
        <v>110.0</v>
      </c>
      <c r="E131" s="388">
        <v>130.0</v>
      </c>
      <c r="F131" s="388">
        <v>120.0</v>
      </c>
      <c r="G131" s="388">
        <v>90.0</v>
      </c>
      <c r="H131" s="388">
        <v>40.0</v>
      </c>
      <c r="I131" s="388">
        <v>1.0</v>
      </c>
      <c r="J131" s="388">
        <v>1.0</v>
      </c>
      <c r="K131" s="389" t="s">
        <v>1089</v>
      </c>
      <c r="L131" s="387">
        <v>4.0</v>
      </c>
      <c r="M131" s="388">
        <v>0.0</v>
      </c>
      <c r="N131" s="388">
        <v>0.0</v>
      </c>
      <c r="O131" s="388">
        <v>0.0</v>
      </c>
      <c r="P131" s="388">
        <v>0.0</v>
      </c>
      <c r="Q131" s="388">
        <v>0.0</v>
      </c>
      <c r="R131" s="388">
        <v>0.0</v>
      </c>
      <c r="S131" s="388"/>
      <c r="T131" s="388">
        <v>0.0</v>
      </c>
      <c r="U131" s="389">
        <v>0.0</v>
      </c>
      <c r="V131" s="387">
        <v>0.0</v>
      </c>
      <c r="W131" s="388">
        <v>0.0</v>
      </c>
      <c r="X131" s="388">
        <v>0.0</v>
      </c>
      <c r="Y131" s="388">
        <v>0.0</v>
      </c>
      <c r="Z131" s="389">
        <v>0.0</v>
      </c>
      <c r="AA131" s="305"/>
      <c r="AB131" s="306"/>
      <c r="AC131" s="306"/>
    </row>
    <row r="132">
      <c r="A132" s="306" t="s">
        <v>1091</v>
      </c>
      <c r="B132" s="424" t="s">
        <v>1092</v>
      </c>
      <c r="C132" s="390">
        <f t="shared" si="1"/>
        <v>0</v>
      </c>
      <c r="D132" s="387">
        <v>10.0</v>
      </c>
      <c r="E132" s="388">
        <v>16.0</v>
      </c>
      <c r="F132" s="388">
        <v>8.0</v>
      </c>
      <c r="G132" s="388">
        <v>8.0</v>
      </c>
      <c r="H132" s="388">
        <v>6.0</v>
      </c>
      <c r="I132" s="388">
        <v>1.0</v>
      </c>
      <c r="J132" s="388">
        <v>1.0</v>
      </c>
      <c r="K132" s="389" t="s">
        <v>300</v>
      </c>
      <c r="L132" s="387">
        <v>5.0</v>
      </c>
      <c r="M132" s="388">
        <v>0.0</v>
      </c>
      <c r="N132" s="388">
        <v>0.0</v>
      </c>
      <c r="O132" s="388">
        <v>0.0</v>
      </c>
      <c r="P132" s="388">
        <v>5.0</v>
      </c>
      <c r="Q132" s="388">
        <v>7.0</v>
      </c>
      <c r="R132" s="388">
        <v>0.0</v>
      </c>
      <c r="S132" s="388"/>
      <c r="T132" s="388">
        <v>0.0</v>
      </c>
      <c r="U132" s="389">
        <v>0.0</v>
      </c>
      <c r="V132" s="387">
        <v>0.0</v>
      </c>
      <c r="W132" s="388">
        <v>0.0</v>
      </c>
      <c r="X132" s="388">
        <v>0.0</v>
      </c>
      <c r="Y132" s="388">
        <v>5.0</v>
      </c>
      <c r="Z132" s="389">
        <v>0.0</v>
      </c>
      <c r="AA132" s="305"/>
      <c r="AB132" s="306"/>
      <c r="AC132" s="306"/>
    </row>
    <row r="133">
      <c r="A133" s="306" t="s">
        <v>1093</v>
      </c>
      <c r="B133" s="424" t="s">
        <v>1094</v>
      </c>
      <c r="C133" s="390">
        <f t="shared" si="1"/>
        <v>0</v>
      </c>
      <c r="D133" s="387">
        <v>44.0</v>
      </c>
      <c r="E133" s="388">
        <v>40.0</v>
      </c>
      <c r="F133" s="388">
        <v>40.0</v>
      </c>
      <c r="G133" s="388">
        <v>40.0</v>
      </c>
      <c r="H133" s="388">
        <v>35.0</v>
      </c>
      <c r="I133" s="388">
        <v>1.0</v>
      </c>
      <c r="J133" s="388">
        <v>1.0</v>
      </c>
      <c r="K133" s="389" t="s">
        <v>299</v>
      </c>
      <c r="L133" s="387">
        <v>5.0</v>
      </c>
      <c r="M133" s="388">
        <v>0.0</v>
      </c>
      <c r="N133" s="388">
        <v>0.0</v>
      </c>
      <c r="O133" s="388">
        <v>0.0</v>
      </c>
      <c r="P133" s="388">
        <v>0.0</v>
      </c>
      <c r="Q133" s="388">
        <v>0.0</v>
      </c>
      <c r="R133" s="388">
        <v>0.0</v>
      </c>
      <c r="S133" s="388"/>
      <c r="T133" s="388">
        <v>0.0</v>
      </c>
      <c r="U133" s="389">
        <v>0.0</v>
      </c>
      <c r="V133" s="387">
        <v>7.0</v>
      </c>
      <c r="W133" s="388">
        <v>7.0</v>
      </c>
      <c r="X133" s="388">
        <v>0.0</v>
      </c>
      <c r="Y133" s="388">
        <v>0.0</v>
      </c>
      <c r="Z133" s="389">
        <v>7.0</v>
      </c>
      <c r="AA133" s="305"/>
      <c r="AB133" s="306"/>
      <c r="AC133" s="306"/>
    </row>
    <row r="134">
      <c r="A134" s="306" t="s">
        <v>1095</v>
      </c>
      <c r="B134" s="424" t="s">
        <v>1094</v>
      </c>
      <c r="C134" s="390">
        <f t="shared" si="1"/>
        <v>0</v>
      </c>
      <c r="D134" s="387">
        <v>48.0</v>
      </c>
      <c r="E134" s="388">
        <v>25.0</v>
      </c>
      <c r="F134" s="388">
        <v>80.0</v>
      </c>
      <c r="G134" s="388">
        <v>30.0</v>
      </c>
      <c r="H134" s="388">
        <v>25.0</v>
      </c>
      <c r="I134" s="388">
        <v>1.0</v>
      </c>
      <c r="J134" s="388">
        <v>1.0</v>
      </c>
      <c r="K134" s="389" t="s">
        <v>299</v>
      </c>
      <c r="L134" s="387">
        <v>5.0</v>
      </c>
      <c r="M134" s="388">
        <v>0.0</v>
      </c>
      <c r="N134" s="388">
        <v>0.0</v>
      </c>
      <c r="O134" s="388">
        <v>0.0</v>
      </c>
      <c r="P134" s="388">
        <v>0.0</v>
      </c>
      <c r="Q134" s="388">
        <v>0.0</v>
      </c>
      <c r="R134" s="388">
        <v>0.0</v>
      </c>
      <c r="S134" s="388"/>
      <c r="T134" s="388">
        <v>0.0</v>
      </c>
      <c r="U134" s="389">
        <v>0.0</v>
      </c>
      <c r="V134" s="387">
        <v>7.0</v>
      </c>
      <c r="W134" s="388">
        <v>7.0</v>
      </c>
      <c r="X134" s="388">
        <v>0.0</v>
      </c>
      <c r="Y134" s="388">
        <v>0.0</v>
      </c>
      <c r="Z134" s="389">
        <v>7.0</v>
      </c>
      <c r="AA134" s="305"/>
      <c r="AB134" s="306"/>
      <c r="AC134" s="306"/>
    </row>
    <row r="135">
      <c r="A135" s="306" t="s">
        <v>1096</v>
      </c>
      <c r="B135" s="424" t="s">
        <v>1094</v>
      </c>
      <c r="C135" s="390">
        <f t="shared" si="1"/>
        <v>0</v>
      </c>
      <c r="D135" s="387">
        <v>49.0</v>
      </c>
      <c r="E135" s="388">
        <v>25.0</v>
      </c>
      <c r="F135" s="388">
        <v>30.0</v>
      </c>
      <c r="G135" s="388">
        <v>60.0</v>
      </c>
      <c r="H135" s="388">
        <v>57.0</v>
      </c>
      <c r="I135" s="388">
        <v>1.0</v>
      </c>
      <c r="J135" s="388">
        <v>1.0</v>
      </c>
      <c r="K135" s="389" t="s">
        <v>299</v>
      </c>
      <c r="L135" s="387">
        <v>5.0</v>
      </c>
      <c r="M135" s="388">
        <v>0.0</v>
      </c>
      <c r="N135" s="388">
        <v>0.0</v>
      </c>
      <c r="O135" s="388">
        <v>0.0</v>
      </c>
      <c r="P135" s="388">
        <v>0.0</v>
      </c>
      <c r="Q135" s="388">
        <v>0.0</v>
      </c>
      <c r="R135" s="388">
        <v>0.0</v>
      </c>
      <c r="S135" s="388"/>
      <c r="T135" s="388">
        <v>0.0</v>
      </c>
      <c r="U135" s="389">
        <v>0.0</v>
      </c>
      <c r="V135" s="387">
        <v>7.0</v>
      </c>
      <c r="W135" s="388">
        <v>7.0</v>
      </c>
      <c r="X135" s="388">
        <v>0.0</v>
      </c>
      <c r="Y135" s="388">
        <v>0.0</v>
      </c>
      <c r="Z135" s="389">
        <v>7.0</v>
      </c>
      <c r="AA135" s="305"/>
      <c r="AB135" s="306"/>
      <c r="AC135" s="306"/>
    </row>
    <row r="136">
      <c r="A136" s="405" t="s">
        <v>1097</v>
      </c>
      <c r="B136" s="405"/>
      <c r="C136" s="406">
        <f t="shared" si="1"/>
        <v>0</v>
      </c>
      <c r="D136" s="407">
        <v>51.0</v>
      </c>
      <c r="E136" s="408">
        <v>54.0</v>
      </c>
      <c r="F136" s="408">
        <v>42.0</v>
      </c>
      <c r="G136" s="408">
        <v>42.0</v>
      </c>
      <c r="H136" s="408">
        <v>42.0</v>
      </c>
      <c r="I136" s="408">
        <v>1.0</v>
      </c>
      <c r="J136" s="408">
        <v>1.0</v>
      </c>
      <c r="K136" s="409"/>
      <c r="L136" s="425"/>
      <c r="M136" s="426"/>
      <c r="N136" s="408"/>
      <c r="O136" s="408"/>
      <c r="P136" s="408"/>
      <c r="Q136" s="408"/>
      <c r="R136" s="426"/>
      <c r="S136" s="408"/>
      <c r="T136" s="426"/>
      <c r="U136" s="409"/>
      <c r="V136" s="407">
        <v>30.0</v>
      </c>
      <c r="W136" s="408">
        <v>40.0</v>
      </c>
      <c r="X136" s="408">
        <v>20.0</v>
      </c>
      <c r="Y136" s="408">
        <v>10.0</v>
      </c>
      <c r="Z136" s="409">
        <v>30.0</v>
      </c>
      <c r="AA136" s="410"/>
      <c r="AB136" s="405"/>
      <c r="AC136" s="405"/>
    </row>
    <row r="137">
      <c r="A137" s="316" t="s">
        <v>1098</v>
      </c>
      <c r="B137" s="316" t="s">
        <v>1099</v>
      </c>
      <c r="C137" s="412">
        <f t="shared" si="1"/>
        <v>0</v>
      </c>
      <c r="D137" s="422">
        <v>129.0</v>
      </c>
      <c r="E137" s="421">
        <v>150.0</v>
      </c>
      <c r="F137" s="421">
        <v>98.0</v>
      </c>
      <c r="G137" s="421">
        <v>98.0</v>
      </c>
      <c r="H137" s="421">
        <v>65.0</v>
      </c>
      <c r="I137" s="421">
        <v>110.0</v>
      </c>
      <c r="J137" s="421">
        <v>1.0</v>
      </c>
      <c r="K137" s="423" t="s">
        <v>299</v>
      </c>
      <c r="L137" s="422">
        <v>4.0</v>
      </c>
      <c r="M137" s="325"/>
      <c r="N137" s="325"/>
      <c r="O137" s="325"/>
      <c r="P137" s="325"/>
      <c r="Q137" s="325"/>
      <c r="R137" s="325"/>
      <c r="S137" s="325"/>
      <c r="T137" s="325"/>
      <c r="U137" s="326"/>
      <c r="V137" s="329"/>
      <c r="W137" s="325"/>
      <c r="X137" s="325"/>
      <c r="Y137" s="325"/>
      <c r="Z137" s="326"/>
      <c r="AA137" s="305"/>
      <c r="AB137" s="306"/>
      <c r="AC137" s="306"/>
    </row>
    <row r="138">
      <c r="A138" s="405" t="s">
        <v>1100</v>
      </c>
      <c r="B138" s="405"/>
      <c r="C138" s="406">
        <f t="shared" si="1"/>
        <v>0.025</v>
      </c>
      <c r="D138" s="407">
        <v>108.0</v>
      </c>
      <c r="E138" s="408">
        <v>105.0</v>
      </c>
      <c r="F138" s="408">
        <v>95.0</v>
      </c>
      <c r="G138" s="408">
        <v>95.0</v>
      </c>
      <c r="H138" s="408">
        <v>80.0</v>
      </c>
      <c r="I138" s="408">
        <v>1.0</v>
      </c>
      <c r="J138" s="408">
        <v>0.0</v>
      </c>
      <c r="K138" s="409"/>
      <c r="L138" s="407"/>
      <c r="M138" s="408">
        <v>0.0</v>
      </c>
      <c r="N138" s="408">
        <v>0.0</v>
      </c>
      <c r="O138" s="408">
        <v>0.0</v>
      </c>
      <c r="P138" s="408">
        <v>0.0</v>
      </c>
      <c r="Q138" s="408">
        <v>0.0</v>
      </c>
      <c r="R138" s="408">
        <v>0.0</v>
      </c>
      <c r="S138" s="408"/>
      <c r="T138" s="408">
        <v>0.0</v>
      </c>
      <c r="U138" s="409"/>
      <c r="V138" s="407">
        <v>50.0</v>
      </c>
      <c r="W138" s="408">
        <v>70.0</v>
      </c>
      <c r="X138" s="408">
        <v>70.0</v>
      </c>
      <c r="Y138" s="408">
        <v>60.0</v>
      </c>
      <c r="Z138" s="409">
        <v>50.0</v>
      </c>
      <c r="AA138" s="410"/>
      <c r="AB138" s="405"/>
      <c r="AC138" s="405"/>
    </row>
    <row r="139">
      <c r="A139" s="405" t="s">
        <v>1101</v>
      </c>
      <c r="B139" s="405"/>
      <c r="C139" s="406">
        <f t="shared" si="1"/>
        <v>0</v>
      </c>
      <c r="D139" s="407">
        <v>90.0</v>
      </c>
      <c r="E139" s="408">
        <v>105.0</v>
      </c>
      <c r="F139" s="408">
        <v>10.0</v>
      </c>
      <c r="G139" s="408">
        <v>10.0</v>
      </c>
      <c r="H139" s="408">
        <v>80.0</v>
      </c>
      <c r="I139" s="408">
        <v>90.0</v>
      </c>
      <c r="J139" s="408">
        <v>1.0</v>
      </c>
      <c r="K139" s="409"/>
      <c r="L139" s="407"/>
      <c r="M139" s="408">
        <v>0.0</v>
      </c>
      <c r="N139" s="408">
        <v>0.0</v>
      </c>
      <c r="O139" s="408">
        <v>0.0</v>
      </c>
      <c r="P139" s="408">
        <v>0.0</v>
      </c>
      <c r="Q139" s="408">
        <v>0.0</v>
      </c>
      <c r="R139" s="408">
        <v>0.0</v>
      </c>
      <c r="S139" s="408"/>
      <c r="T139" s="408">
        <v>0.0</v>
      </c>
      <c r="U139" s="409"/>
      <c r="V139" s="407">
        <v>50.0</v>
      </c>
      <c r="W139" s="408">
        <v>50.0</v>
      </c>
      <c r="X139" s="408">
        <v>50.0</v>
      </c>
      <c r="Y139" s="408">
        <v>60.0</v>
      </c>
      <c r="Z139" s="409">
        <v>70.0</v>
      </c>
      <c r="AA139" s="410"/>
      <c r="AB139" s="405"/>
      <c r="AC139" s="405"/>
    </row>
    <row r="140">
      <c r="A140" s="316" t="s">
        <v>1102</v>
      </c>
      <c r="B140" s="316" t="s">
        <v>1103</v>
      </c>
      <c r="C140" s="412">
        <f t="shared" si="1"/>
        <v>0.025</v>
      </c>
      <c r="D140" s="422">
        <v>101.0</v>
      </c>
      <c r="E140" s="421">
        <v>105.0</v>
      </c>
      <c r="F140" s="421">
        <v>80.0</v>
      </c>
      <c r="G140" s="421">
        <v>95.0</v>
      </c>
      <c r="H140" s="421">
        <v>75.0</v>
      </c>
      <c r="I140" s="421">
        <v>1.0</v>
      </c>
      <c r="J140" s="421">
        <v>1.0</v>
      </c>
      <c r="K140" s="423" t="s">
        <v>299</v>
      </c>
      <c r="L140" s="422">
        <v>4.0</v>
      </c>
      <c r="M140" s="325"/>
      <c r="N140" s="325"/>
      <c r="O140" s="325"/>
      <c r="P140" s="325"/>
      <c r="Q140" s="325"/>
      <c r="R140" s="325"/>
      <c r="S140" s="325"/>
      <c r="T140" s="325"/>
      <c r="U140" s="326"/>
      <c r="V140" s="422">
        <v>50.0</v>
      </c>
      <c r="W140" s="421">
        <v>70.0</v>
      </c>
      <c r="X140" s="421">
        <v>70.0</v>
      </c>
      <c r="Y140" s="421">
        <v>40.0</v>
      </c>
      <c r="Z140" s="423">
        <v>30.0</v>
      </c>
      <c r="AA140" s="305"/>
      <c r="AB140" s="306"/>
      <c r="AC140" s="306"/>
    </row>
    <row r="141">
      <c r="A141" s="306" t="s">
        <v>1104</v>
      </c>
      <c r="B141" s="306" t="s">
        <v>1105</v>
      </c>
      <c r="C141" s="390">
        <f t="shared" si="1"/>
        <v>0</v>
      </c>
      <c r="D141" s="387">
        <v>7.0</v>
      </c>
      <c r="E141" s="388">
        <v>12.0</v>
      </c>
      <c r="F141" s="388">
        <v>3.0</v>
      </c>
      <c r="G141" s="388">
        <v>4.0</v>
      </c>
      <c r="H141" s="388">
        <v>8.0</v>
      </c>
      <c r="I141" s="388">
        <v>1.0</v>
      </c>
      <c r="J141" s="388">
        <v>1.0</v>
      </c>
      <c r="K141" s="389" t="s">
        <v>300</v>
      </c>
      <c r="L141" s="387">
        <v>6.0</v>
      </c>
      <c r="M141" s="388">
        <v>0.0</v>
      </c>
      <c r="N141" s="388">
        <v>0.0</v>
      </c>
      <c r="O141" s="388">
        <v>0.0</v>
      </c>
      <c r="P141" s="388">
        <v>5.0</v>
      </c>
      <c r="Q141" s="388">
        <v>6.0</v>
      </c>
      <c r="R141" s="388">
        <v>0.0</v>
      </c>
      <c r="S141" s="388"/>
      <c r="T141" s="388">
        <v>0.0</v>
      </c>
      <c r="U141" s="389">
        <v>0.0</v>
      </c>
      <c r="V141" s="387">
        <v>0.0</v>
      </c>
      <c r="W141" s="388">
        <v>0.0</v>
      </c>
      <c r="X141" s="388">
        <v>0.0</v>
      </c>
      <c r="Y141" s="388">
        <v>0.0</v>
      </c>
      <c r="Z141" s="389">
        <v>0.0</v>
      </c>
      <c r="AA141" s="305"/>
      <c r="AB141" s="306"/>
      <c r="AC141" s="306"/>
    </row>
    <row r="142">
      <c r="A142" s="306" t="s">
        <v>1106</v>
      </c>
      <c r="B142" s="306" t="s">
        <v>969</v>
      </c>
      <c r="C142" s="390">
        <f t="shared" si="1"/>
        <v>0</v>
      </c>
      <c r="D142" s="387">
        <v>86.0</v>
      </c>
      <c r="E142" s="388">
        <v>111.0</v>
      </c>
      <c r="F142" s="388">
        <v>65.0</v>
      </c>
      <c r="G142" s="388">
        <v>65.0</v>
      </c>
      <c r="H142" s="388">
        <v>65.0</v>
      </c>
      <c r="I142" s="388">
        <v>1.0</v>
      </c>
      <c r="J142" s="388">
        <v>1.0</v>
      </c>
      <c r="K142" s="389" t="s">
        <v>301</v>
      </c>
      <c r="L142" s="387">
        <v>5.0</v>
      </c>
      <c r="M142" s="388">
        <v>0.0</v>
      </c>
      <c r="N142" s="388">
        <v>0.0</v>
      </c>
      <c r="O142" s="388">
        <v>0.0</v>
      </c>
      <c r="P142" s="388">
        <v>29.0</v>
      </c>
      <c r="Q142" s="388">
        <v>31.0</v>
      </c>
      <c r="R142" s="388">
        <v>0.0</v>
      </c>
      <c r="S142" s="388"/>
      <c r="T142" s="388">
        <v>0.0</v>
      </c>
      <c r="U142" s="389">
        <v>0.0</v>
      </c>
      <c r="V142" s="387">
        <v>0.0</v>
      </c>
      <c r="W142" s="388">
        <v>3.0</v>
      </c>
      <c r="X142" s="388">
        <v>2.0</v>
      </c>
      <c r="Y142" s="388">
        <v>0.0</v>
      </c>
      <c r="Z142" s="389">
        <v>0.0</v>
      </c>
      <c r="AA142" s="305"/>
      <c r="AB142" s="306" t="s">
        <v>1107</v>
      </c>
      <c r="AC142" s="306"/>
    </row>
    <row r="143">
      <c r="A143" s="306" t="s">
        <v>1108</v>
      </c>
      <c r="B143" s="417" t="s">
        <v>954</v>
      </c>
      <c r="C143" s="390">
        <f t="shared" si="1"/>
        <v>0.025</v>
      </c>
      <c r="D143" s="387">
        <v>104.0</v>
      </c>
      <c r="E143" s="388">
        <v>130.0</v>
      </c>
      <c r="F143" s="388">
        <v>65.0</v>
      </c>
      <c r="G143" s="388">
        <v>65.0</v>
      </c>
      <c r="H143" s="388">
        <v>120.0</v>
      </c>
      <c r="I143" s="388">
        <v>1.0</v>
      </c>
      <c r="J143" s="388">
        <v>1.0</v>
      </c>
      <c r="K143" s="389" t="s">
        <v>301</v>
      </c>
      <c r="L143" s="387">
        <v>5.0</v>
      </c>
      <c r="M143" s="388">
        <v>0.0</v>
      </c>
      <c r="N143" s="388">
        <v>0.0</v>
      </c>
      <c r="O143" s="388">
        <v>0.0</v>
      </c>
      <c r="P143" s="388">
        <v>50.0</v>
      </c>
      <c r="Q143" s="388">
        <v>20.0</v>
      </c>
      <c r="R143" s="388">
        <v>0.0</v>
      </c>
      <c r="S143" s="388"/>
      <c r="T143" s="388">
        <v>0.0</v>
      </c>
      <c r="U143" s="389">
        <v>0.0</v>
      </c>
      <c r="V143" s="387">
        <v>20.0</v>
      </c>
      <c r="W143" s="388">
        <v>10.0</v>
      </c>
      <c r="X143" s="388">
        <v>10.0</v>
      </c>
      <c r="Y143" s="388">
        <v>50.0</v>
      </c>
      <c r="Z143" s="389">
        <v>-10.0</v>
      </c>
      <c r="AA143" s="305"/>
      <c r="AB143" s="306" t="s">
        <v>1107</v>
      </c>
      <c r="AC143" s="306"/>
    </row>
    <row r="144">
      <c r="A144" s="306" t="s">
        <v>1109</v>
      </c>
      <c r="B144" s="417" t="s">
        <v>954</v>
      </c>
      <c r="C144" s="390">
        <f t="shared" si="1"/>
        <v>0.025</v>
      </c>
      <c r="D144" s="387">
        <v>109.0</v>
      </c>
      <c r="E144" s="388">
        <v>150.0</v>
      </c>
      <c r="F144" s="388">
        <v>90.0</v>
      </c>
      <c r="G144" s="388">
        <v>80.0</v>
      </c>
      <c r="H144" s="388">
        <v>65.0</v>
      </c>
      <c r="I144" s="388">
        <v>1.0</v>
      </c>
      <c r="J144" s="388">
        <v>1.0</v>
      </c>
      <c r="K144" s="389" t="s">
        <v>301</v>
      </c>
      <c r="L144" s="387">
        <v>5.0</v>
      </c>
      <c r="M144" s="388">
        <v>0.0</v>
      </c>
      <c r="N144" s="388">
        <v>0.0</v>
      </c>
      <c r="O144" s="388">
        <v>0.0</v>
      </c>
      <c r="P144" s="388">
        <v>29.0</v>
      </c>
      <c r="Q144" s="388">
        <v>31.0</v>
      </c>
      <c r="R144" s="388">
        <v>0.0</v>
      </c>
      <c r="S144" s="388"/>
      <c r="T144" s="388">
        <v>0.0</v>
      </c>
      <c r="U144" s="389">
        <v>0.0</v>
      </c>
      <c r="V144" s="387">
        <v>0.0</v>
      </c>
      <c r="W144" s="388">
        <v>3.0</v>
      </c>
      <c r="X144" s="388">
        <v>2.0</v>
      </c>
      <c r="Y144" s="388">
        <v>0.0</v>
      </c>
      <c r="Z144" s="389">
        <v>0.0</v>
      </c>
      <c r="AA144" s="305"/>
      <c r="AB144" s="306" t="s">
        <v>1107</v>
      </c>
      <c r="AC144" s="306"/>
    </row>
    <row r="145">
      <c r="A145" s="306" t="s">
        <v>1110</v>
      </c>
      <c r="B145" s="417" t="s">
        <v>1111</v>
      </c>
      <c r="C145" s="390">
        <f t="shared" si="1"/>
        <v>0</v>
      </c>
      <c r="D145" s="387">
        <v>28.0</v>
      </c>
      <c r="E145" s="388">
        <v>25.0</v>
      </c>
      <c r="F145" s="388">
        <v>60.0</v>
      </c>
      <c r="G145" s="388">
        <v>2.0</v>
      </c>
      <c r="H145" s="388">
        <v>10.0</v>
      </c>
      <c r="I145" s="388">
        <v>1.0</v>
      </c>
      <c r="J145" s="388">
        <v>1.0</v>
      </c>
      <c r="K145" s="389"/>
      <c r="L145" s="387">
        <v>3.0</v>
      </c>
      <c r="M145" s="388"/>
      <c r="N145" s="388"/>
      <c r="O145" s="388"/>
      <c r="P145" s="388"/>
      <c r="Q145" s="388"/>
      <c r="R145" s="388"/>
      <c r="S145" s="388"/>
      <c r="T145" s="388"/>
      <c r="U145" s="389"/>
      <c r="V145" s="387">
        <v>15.0</v>
      </c>
      <c r="W145" s="388">
        <v>15.0</v>
      </c>
      <c r="X145" s="388">
        <v>15.0</v>
      </c>
      <c r="Y145" s="388">
        <v>15.0</v>
      </c>
      <c r="Z145" s="389">
        <v>15.0</v>
      </c>
      <c r="AA145" s="305"/>
      <c r="AB145" s="306"/>
      <c r="AC145" s="306"/>
    </row>
    <row r="146">
      <c r="A146" s="306" t="s">
        <v>1112</v>
      </c>
      <c r="B146" s="417" t="s">
        <v>1111</v>
      </c>
      <c r="C146" s="390">
        <f t="shared" si="1"/>
        <v>0</v>
      </c>
      <c r="D146" s="387">
        <v>35.0</v>
      </c>
      <c r="E146" s="388">
        <v>25.0</v>
      </c>
      <c r="F146" s="388">
        <v>80.0</v>
      </c>
      <c r="G146" s="388">
        <v>2.0</v>
      </c>
      <c r="H146" s="388">
        <v>10.0</v>
      </c>
      <c r="I146" s="388">
        <v>1.0</v>
      </c>
      <c r="J146" s="388">
        <v>1.0</v>
      </c>
      <c r="K146" s="389" t="s">
        <v>301</v>
      </c>
      <c r="L146" s="387">
        <v>3.0</v>
      </c>
      <c r="M146" s="388"/>
      <c r="N146" s="388"/>
      <c r="O146" s="388"/>
      <c r="P146" s="388"/>
      <c r="Q146" s="388"/>
      <c r="R146" s="388"/>
      <c r="S146" s="388"/>
      <c r="T146" s="388"/>
      <c r="U146" s="389"/>
      <c r="V146" s="387">
        <v>15.0</v>
      </c>
      <c r="W146" s="388">
        <v>15.0</v>
      </c>
      <c r="X146" s="388">
        <v>15.0</v>
      </c>
      <c r="Y146" s="388">
        <v>15.0</v>
      </c>
      <c r="Z146" s="389">
        <v>15.0</v>
      </c>
      <c r="AA146" s="305"/>
      <c r="AB146" s="306"/>
      <c r="AC146" s="306"/>
    </row>
    <row r="147">
      <c r="A147" s="306" t="s">
        <v>1113</v>
      </c>
      <c r="B147" s="417" t="s">
        <v>1111</v>
      </c>
      <c r="C147" s="390">
        <f t="shared" si="1"/>
        <v>0</v>
      </c>
      <c r="D147" s="387">
        <v>41.0</v>
      </c>
      <c r="E147" s="388">
        <v>25.0</v>
      </c>
      <c r="F147" s="388">
        <v>100.0</v>
      </c>
      <c r="G147" s="388">
        <v>2.0</v>
      </c>
      <c r="H147" s="388">
        <v>10.0</v>
      </c>
      <c r="I147" s="388">
        <v>1.0</v>
      </c>
      <c r="J147" s="388">
        <v>1.0</v>
      </c>
      <c r="K147" s="389" t="s">
        <v>301</v>
      </c>
      <c r="L147" s="387">
        <v>3.0</v>
      </c>
      <c r="M147" s="388"/>
      <c r="N147" s="388"/>
      <c r="O147" s="388"/>
      <c r="P147" s="388"/>
      <c r="Q147" s="388"/>
      <c r="R147" s="388"/>
      <c r="S147" s="388"/>
      <c r="T147" s="388"/>
      <c r="U147" s="389"/>
      <c r="V147" s="387">
        <v>15.0</v>
      </c>
      <c r="W147" s="388">
        <v>15.0</v>
      </c>
      <c r="X147" s="388">
        <v>15.0</v>
      </c>
      <c r="Y147" s="388">
        <v>15.0</v>
      </c>
      <c r="Z147" s="389">
        <v>15.0</v>
      </c>
      <c r="AA147" s="305"/>
      <c r="AB147" s="306"/>
      <c r="AC147" s="306"/>
    </row>
    <row r="148">
      <c r="A148" s="405" t="s">
        <v>1114</v>
      </c>
      <c r="B148" s="405"/>
      <c r="C148" s="406">
        <f t="shared" si="1"/>
        <v>0</v>
      </c>
      <c r="D148" s="407">
        <v>159.0</v>
      </c>
      <c r="E148" s="408">
        <v>159.0</v>
      </c>
      <c r="F148" s="408">
        <v>124.0</v>
      </c>
      <c r="G148" s="408">
        <v>118.0</v>
      </c>
      <c r="H148" s="408">
        <v>175.0</v>
      </c>
      <c r="I148" s="408">
        <v>50.0</v>
      </c>
      <c r="J148" s="408">
        <v>169.0</v>
      </c>
      <c r="K148" s="409"/>
      <c r="L148" s="407"/>
      <c r="M148" s="408">
        <v>0.0</v>
      </c>
      <c r="N148" s="408">
        <v>0.0</v>
      </c>
      <c r="O148" s="408">
        <v>0.0</v>
      </c>
      <c r="P148" s="408">
        <v>0.0</v>
      </c>
      <c r="Q148" s="408">
        <v>14.0</v>
      </c>
      <c r="R148" s="408">
        <v>0.0</v>
      </c>
      <c r="S148" s="408"/>
      <c r="T148" s="408">
        <v>0.0</v>
      </c>
      <c r="U148" s="409"/>
      <c r="V148" s="407">
        <v>0.0</v>
      </c>
      <c r="W148" s="408">
        <v>0.0</v>
      </c>
      <c r="X148" s="408">
        <v>0.0</v>
      </c>
      <c r="Y148" s="408">
        <v>0.0</v>
      </c>
      <c r="Z148" s="409">
        <v>0.0</v>
      </c>
      <c r="AA148" s="410"/>
      <c r="AB148" s="405"/>
      <c r="AC148" s="405"/>
    </row>
    <row r="149">
      <c r="A149" s="405" t="s">
        <v>1115</v>
      </c>
      <c r="B149" s="405"/>
      <c r="C149" s="406">
        <f t="shared" si="1"/>
        <v>0</v>
      </c>
      <c r="D149" s="407">
        <v>149.0</v>
      </c>
      <c r="E149" s="408">
        <v>132.0</v>
      </c>
      <c r="F149" s="408">
        <v>80.0</v>
      </c>
      <c r="G149" s="408">
        <v>80.0</v>
      </c>
      <c r="H149" s="408">
        <v>175.0</v>
      </c>
      <c r="I149" s="408">
        <v>50.0</v>
      </c>
      <c r="J149" s="408">
        <v>150.0</v>
      </c>
      <c r="K149" s="409"/>
      <c r="L149" s="407"/>
      <c r="M149" s="408">
        <v>0.0</v>
      </c>
      <c r="N149" s="408">
        <v>0.0</v>
      </c>
      <c r="O149" s="408">
        <v>0.0</v>
      </c>
      <c r="P149" s="408">
        <v>0.0</v>
      </c>
      <c r="Q149" s="408">
        <v>0.0</v>
      </c>
      <c r="R149" s="408">
        <v>0.0</v>
      </c>
      <c r="S149" s="408"/>
      <c r="T149" s="408">
        <v>60.0</v>
      </c>
      <c r="U149" s="409"/>
      <c r="V149" s="407">
        <v>0.0</v>
      </c>
      <c r="W149" s="408">
        <v>0.0</v>
      </c>
      <c r="X149" s="408">
        <v>0.0</v>
      </c>
      <c r="Y149" s="408">
        <v>0.0</v>
      </c>
      <c r="Z149" s="409">
        <v>0.0</v>
      </c>
      <c r="AA149" s="410"/>
      <c r="AB149" s="405"/>
      <c r="AC149" s="405"/>
    </row>
    <row r="150">
      <c r="A150" s="306" t="s">
        <v>1116</v>
      </c>
      <c r="B150" s="424" t="s">
        <v>1117</v>
      </c>
      <c r="C150" s="390">
        <f t="shared" si="1"/>
        <v>0</v>
      </c>
      <c r="D150" s="387">
        <v>20.0</v>
      </c>
      <c r="E150" s="388">
        <v>22.0</v>
      </c>
      <c r="F150" s="388">
        <v>18.0</v>
      </c>
      <c r="G150" s="388">
        <v>18.0</v>
      </c>
      <c r="H150" s="388">
        <v>15.0</v>
      </c>
      <c r="I150" s="388">
        <v>1.0</v>
      </c>
      <c r="J150" s="388">
        <v>1.0</v>
      </c>
      <c r="K150" s="389" t="s">
        <v>300</v>
      </c>
      <c r="L150" s="387">
        <v>6.0</v>
      </c>
      <c r="M150" s="388">
        <v>0.0</v>
      </c>
      <c r="N150" s="388">
        <v>0.0</v>
      </c>
      <c r="O150" s="388">
        <v>0.0</v>
      </c>
      <c r="P150" s="388">
        <v>5.0</v>
      </c>
      <c r="Q150" s="388">
        <v>6.0</v>
      </c>
      <c r="R150" s="388">
        <v>0.0</v>
      </c>
      <c r="S150" s="388"/>
      <c r="T150" s="388">
        <v>0.0</v>
      </c>
      <c r="U150" s="389">
        <v>0.0</v>
      </c>
      <c r="V150" s="387">
        <v>14.0</v>
      </c>
      <c r="W150" s="388">
        <v>18.0</v>
      </c>
      <c r="X150" s="388">
        <v>14.0</v>
      </c>
      <c r="Y150" s="388">
        <v>-4.0</v>
      </c>
      <c r="Z150" s="389">
        <v>15.0</v>
      </c>
      <c r="AA150" s="305"/>
      <c r="AB150" s="306"/>
      <c r="AC150" s="306"/>
    </row>
    <row r="151">
      <c r="A151" s="306" t="s">
        <v>1118</v>
      </c>
      <c r="B151" s="306" t="s">
        <v>1119</v>
      </c>
      <c r="C151" s="390">
        <f t="shared" si="1"/>
        <v>0</v>
      </c>
      <c r="D151" s="387">
        <v>3.0</v>
      </c>
      <c r="E151" s="388">
        <v>7.0</v>
      </c>
      <c r="F151" s="388">
        <v>2.0</v>
      </c>
      <c r="G151" s="388">
        <v>1.0</v>
      </c>
      <c r="H151" s="388">
        <v>5.0</v>
      </c>
      <c r="I151" s="388">
        <v>1.0</v>
      </c>
      <c r="J151" s="388">
        <v>1.0</v>
      </c>
      <c r="K151" s="389" t="s">
        <v>300</v>
      </c>
      <c r="L151" s="387">
        <v>4.0</v>
      </c>
      <c r="M151" s="388">
        <v>0.0</v>
      </c>
      <c r="N151" s="388">
        <v>0.0</v>
      </c>
      <c r="O151" s="388">
        <v>0.0</v>
      </c>
      <c r="P151" s="388">
        <v>0.0</v>
      </c>
      <c r="Q151" s="388">
        <v>0.0</v>
      </c>
      <c r="R151" s="388">
        <v>0.0</v>
      </c>
      <c r="S151" s="388"/>
      <c r="T151" s="388">
        <v>0.0</v>
      </c>
      <c r="U151" s="389">
        <v>0.0</v>
      </c>
      <c r="V151" s="387">
        <v>0.0</v>
      </c>
      <c r="W151" s="388">
        <v>0.0</v>
      </c>
      <c r="X151" s="388">
        <v>0.0</v>
      </c>
      <c r="Y151" s="388">
        <v>0.0</v>
      </c>
      <c r="Z151" s="389">
        <v>0.0</v>
      </c>
      <c r="AA151" s="305"/>
      <c r="AB151" s="306"/>
      <c r="AC151" s="306"/>
    </row>
    <row r="152">
      <c r="A152" s="306" t="s">
        <v>1120</v>
      </c>
      <c r="B152" s="306" t="s">
        <v>1119</v>
      </c>
      <c r="C152" s="390">
        <f t="shared" si="1"/>
        <v>0</v>
      </c>
      <c r="D152" s="387">
        <v>4.0</v>
      </c>
      <c r="E152" s="388">
        <v>7.0</v>
      </c>
      <c r="F152" s="388">
        <v>1.0</v>
      </c>
      <c r="G152" s="388">
        <v>1.0</v>
      </c>
      <c r="H152" s="388">
        <v>7.0</v>
      </c>
      <c r="I152" s="388">
        <v>1.0</v>
      </c>
      <c r="J152" s="388">
        <v>1.0</v>
      </c>
      <c r="K152" s="389" t="s">
        <v>300</v>
      </c>
      <c r="L152" s="387">
        <v>4.0</v>
      </c>
      <c r="M152" s="388">
        <v>0.0</v>
      </c>
      <c r="N152" s="388">
        <v>0.0</v>
      </c>
      <c r="O152" s="388">
        <v>0.0</v>
      </c>
      <c r="P152" s="388">
        <v>0.0</v>
      </c>
      <c r="Q152" s="388">
        <v>0.0</v>
      </c>
      <c r="R152" s="388">
        <v>0.0</v>
      </c>
      <c r="S152" s="388"/>
      <c r="T152" s="388">
        <v>0.0</v>
      </c>
      <c r="U152" s="389">
        <v>0.0</v>
      </c>
      <c r="V152" s="387">
        <v>0.0</v>
      </c>
      <c r="W152" s="388">
        <v>0.0</v>
      </c>
      <c r="X152" s="388">
        <v>0.0</v>
      </c>
      <c r="Y152" s="388">
        <v>0.0</v>
      </c>
      <c r="Z152" s="389">
        <v>0.0</v>
      </c>
      <c r="AA152" s="305"/>
      <c r="AB152" s="306"/>
      <c r="AC152" s="306"/>
    </row>
    <row r="153">
      <c r="A153" s="306" t="s">
        <v>1121</v>
      </c>
      <c r="B153" s="306" t="s">
        <v>928</v>
      </c>
      <c r="C153" s="390">
        <f t="shared" si="1"/>
        <v>0</v>
      </c>
      <c r="D153" s="387">
        <v>111.0</v>
      </c>
      <c r="E153" s="388">
        <v>105.0</v>
      </c>
      <c r="F153" s="388">
        <v>75.0</v>
      </c>
      <c r="G153" s="388">
        <v>105.0</v>
      </c>
      <c r="H153" s="388">
        <v>107.0</v>
      </c>
      <c r="I153" s="388">
        <v>1.0</v>
      </c>
      <c r="J153" s="388">
        <v>1.0</v>
      </c>
      <c r="K153" s="389" t="s">
        <v>301</v>
      </c>
      <c r="L153" s="387">
        <v>4.0</v>
      </c>
      <c r="M153" s="388">
        <v>0.0</v>
      </c>
      <c r="N153" s="388">
        <v>0.0</v>
      </c>
      <c r="O153" s="388">
        <v>0.0</v>
      </c>
      <c r="P153" s="388">
        <v>0.0</v>
      </c>
      <c r="Q153" s="388">
        <v>0.0</v>
      </c>
      <c r="R153" s="388">
        <v>0.0</v>
      </c>
      <c r="S153" s="388"/>
      <c r="T153" s="388">
        <v>0.0</v>
      </c>
      <c r="U153" s="389">
        <v>0.0</v>
      </c>
      <c r="V153" s="387">
        <v>20.0</v>
      </c>
      <c r="W153" s="388">
        <v>20.0</v>
      </c>
      <c r="X153" s="388">
        <v>0.0</v>
      </c>
      <c r="Y153" s="388">
        <v>20.0</v>
      </c>
      <c r="Z153" s="389">
        <v>20.0</v>
      </c>
      <c r="AA153" s="305"/>
      <c r="AB153" s="306"/>
      <c r="AC153" s="306"/>
    </row>
    <row r="154">
      <c r="A154" s="405" t="s">
        <v>1122</v>
      </c>
      <c r="B154" s="405" t="s">
        <v>1056</v>
      </c>
      <c r="C154" s="406">
        <f t="shared" si="1"/>
        <v>0.325</v>
      </c>
      <c r="D154" s="407">
        <v>624.0</v>
      </c>
      <c r="E154" s="408">
        <v>255.0</v>
      </c>
      <c r="F154" s="408">
        <v>280.0</v>
      </c>
      <c r="G154" s="408">
        <v>350.0</v>
      </c>
      <c r="H154" s="408">
        <v>250.0</v>
      </c>
      <c r="I154" s="408">
        <v>80.0</v>
      </c>
      <c r="J154" s="408">
        <v>350.0</v>
      </c>
      <c r="K154" s="409" t="s">
        <v>299</v>
      </c>
      <c r="L154" s="407"/>
      <c r="M154" s="408">
        <v>0.0</v>
      </c>
      <c r="N154" s="408">
        <v>0.0</v>
      </c>
      <c r="O154" s="408">
        <v>0.0</v>
      </c>
      <c r="P154" s="408">
        <v>120.0</v>
      </c>
      <c r="Q154" s="408">
        <v>43.0</v>
      </c>
      <c r="R154" s="408">
        <v>0.0</v>
      </c>
      <c r="S154" s="408"/>
      <c r="T154" s="408">
        <v>100.0</v>
      </c>
      <c r="U154" s="409">
        <v>40.0</v>
      </c>
      <c r="V154" s="407">
        <v>90.0</v>
      </c>
      <c r="W154" s="408">
        <v>90.0</v>
      </c>
      <c r="X154" s="408">
        <v>90.0</v>
      </c>
      <c r="Y154" s="408">
        <v>298.0</v>
      </c>
      <c r="Z154" s="409">
        <v>90.0</v>
      </c>
      <c r="AA154" s="410"/>
      <c r="AB154" s="405"/>
      <c r="AC154" s="405"/>
    </row>
    <row r="155">
      <c r="A155" s="306" t="s">
        <v>1123</v>
      </c>
      <c r="B155" s="417" t="s">
        <v>1124</v>
      </c>
      <c r="C155" s="390">
        <f t="shared" si="1"/>
        <v>0</v>
      </c>
      <c r="D155" s="387">
        <v>19.0</v>
      </c>
      <c r="E155" s="388">
        <v>25.0</v>
      </c>
      <c r="F155" s="388">
        <v>13.0</v>
      </c>
      <c r="G155" s="388">
        <v>13.0</v>
      </c>
      <c r="H155" s="388">
        <v>18.0</v>
      </c>
      <c r="I155" s="388">
        <v>1.0</v>
      </c>
      <c r="J155" s="388">
        <v>1.0</v>
      </c>
      <c r="K155" s="389" t="s">
        <v>299</v>
      </c>
      <c r="L155" s="387">
        <v>4.0</v>
      </c>
      <c r="M155" s="388">
        <v>0.0</v>
      </c>
      <c r="N155" s="388">
        <v>0.0</v>
      </c>
      <c r="O155" s="388">
        <v>0.0</v>
      </c>
      <c r="P155" s="388">
        <v>0.0</v>
      </c>
      <c r="Q155" s="388">
        <v>0.0</v>
      </c>
      <c r="R155" s="388">
        <v>0.0</v>
      </c>
      <c r="S155" s="388"/>
      <c r="T155" s="388">
        <v>0.0</v>
      </c>
      <c r="U155" s="389">
        <v>0.0</v>
      </c>
      <c r="V155" s="387">
        <v>5.0</v>
      </c>
      <c r="W155" s="388">
        <v>5.0</v>
      </c>
      <c r="X155" s="388">
        <v>5.0</v>
      </c>
      <c r="Y155" s="388">
        <v>-5.0</v>
      </c>
      <c r="Z155" s="389">
        <v>5.0</v>
      </c>
      <c r="AA155" s="305"/>
      <c r="AB155" s="306" t="s">
        <v>929</v>
      </c>
      <c r="AC155" s="306"/>
    </row>
    <row r="156">
      <c r="A156" s="306" t="s">
        <v>1125</v>
      </c>
      <c r="B156" s="417" t="s">
        <v>1028</v>
      </c>
      <c r="C156" s="390">
        <f t="shared" si="1"/>
        <v>0</v>
      </c>
      <c r="D156" s="387">
        <v>76.0</v>
      </c>
      <c r="E156" s="388">
        <v>75.0</v>
      </c>
      <c r="F156" s="388">
        <v>63.0</v>
      </c>
      <c r="G156" s="388">
        <v>63.0</v>
      </c>
      <c r="H156" s="388">
        <v>68.0</v>
      </c>
      <c r="I156" s="388">
        <v>1.0</v>
      </c>
      <c r="J156" s="388">
        <v>1.0</v>
      </c>
      <c r="K156" s="389" t="s">
        <v>299</v>
      </c>
      <c r="L156" s="387">
        <v>4.0</v>
      </c>
      <c r="M156" s="388"/>
      <c r="N156" s="388"/>
      <c r="O156" s="388"/>
      <c r="P156" s="388"/>
      <c r="Q156" s="388"/>
      <c r="R156" s="388"/>
      <c r="S156" s="388"/>
      <c r="T156" s="388"/>
      <c r="U156" s="389"/>
      <c r="V156" s="387">
        <v>45.0</v>
      </c>
      <c r="W156" s="388">
        <v>45.0</v>
      </c>
      <c r="X156" s="388">
        <v>5.0</v>
      </c>
      <c r="Y156" s="388">
        <v>-5.0</v>
      </c>
      <c r="Z156" s="389">
        <v>45.0</v>
      </c>
      <c r="AA156" s="305"/>
      <c r="AB156" s="306" t="s">
        <v>929</v>
      </c>
      <c r="AC156" s="306"/>
    </row>
    <row r="157">
      <c r="A157" s="306" t="s">
        <v>1126</v>
      </c>
      <c r="B157" s="417" t="s">
        <v>1028</v>
      </c>
      <c r="C157" s="390">
        <f t="shared" si="1"/>
        <v>0</v>
      </c>
      <c r="D157" s="387">
        <v>77.0</v>
      </c>
      <c r="E157" s="388">
        <v>80.0</v>
      </c>
      <c r="F157" s="388">
        <v>63.0</v>
      </c>
      <c r="G157" s="388">
        <v>63.0</v>
      </c>
      <c r="H157" s="388">
        <v>68.0</v>
      </c>
      <c r="I157" s="388">
        <v>1.0</v>
      </c>
      <c r="J157" s="388">
        <v>1.0</v>
      </c>
      <c r="K157" s="389" t="s">
        <v>299</v>
      </c>
      <c r="L157" s="387">
        <v>4.0</v>
      </c>
      <c r="M157" s="388"/>
      <c r="N157" s="388"/>
      <c r="O157" s="388"/>
      <c r="P157" s="388"/>
      <c r="Q157" s="388"/>
      <c r="R157" s="388"/>
      <c r="S157" s="388"/>
      <c r="T157" s="388"/>
      <c r="U157" s="389"/>
      <c r="V157" s="387">
        <v>55.0</v>
      </c>
      <c r="W157" s="388">
        <v>55.0</v>
      </c>
      <c r="X157" s="388">
        <v>5.0</v>
      </c>
      <c r="Y157" s="388">
        <v>55.0</v>
      </c>
      <c r="Z157" s="389">
        <v>55.0</v>
      </c>
      <c r="AA157" s="305"/>
      <c r="AB157" s="306" t="s">
        <v>929</v>
      </c>
      <c r="AC157" s="306"/>
    </row>
    <row r="158">
      <c r="A158" s="306" t="s">
        <v>1127</v>
      </c>
      <c r="B158" s="417" t="s">
        <v>1128</v>
      </c>
      <c r="C158" s="390">
        <f t="shared" si="1"/>
        <v>0</v>
      </c>
      <c r="D158" s="387">
        <v>27.0</v>
      </c>
      <c r="E158" s="388">
        <v>32.0</v>
      </c>
      <c r="F158" s="388">
        <v>22.0</v>
      </c>
      <c r="G158" s="388">
        <v>22.0</v>
      </c>
      <c r="H158" s="388">
        <v>22.0</v>
      </c>
      <c r="I158" s="388">
        <v>1.0</v>
      </c>
      <c r="J158" s="388">
        <v>1.0</v>
      </c>
      <c r="K158" s="389" t="s">
        <v>300</v>
      </c>
      <c r="L158" s="387">
        <v>4.0</v>
      </c>
      <c r="M158" s="388">
        <v>0.0</v>
      </c>
      <c r="N158" s="388">
        <v>0.0</v>
      </c>
      <c r="O158" s="388">
        <v>0.0</v>
      </c>
      <c r="P158" s="388">
        <v>0.0</v>
      </c>
      <c r="Q158" s="388">
        <v>0.0</v>
      </c>
      <c r="R158" s="388">
        <v>0.0</v>
      </c>
      <c r="S158" s="388"/>
      <c r="T158" s="388">
        <v>0.0</v>
      </c>
      <c r="U158" s="389">
        <v>0.0</v>
      </c>
      <c r="V158" s="387">
        <v>10.0</v>
      </c>
      <c r="W158" s="388">
        <v>10.0</v>
      </c>
      <c r="X158" s="388">
        <v>12.0</v>
      </c>
      <c r="Y158" s="388">
        <v>10.0</v>
      </c>
      <c r="Z158" s="389">
        <v>8.0</v>
      </c>
      <c r="AA158" s="305"/>
      <c r="AB158" s="306"/>
      <c r="AC158" s="306"/>
    </row>
    <row r="159">
      <c r="A159" s="306" t="s">
        <v>1129</v>
      </c>
      <c r="B159" s="306" t="s">
        <v>1119</v>
      </c>
      <c r="C159" s="390">
        <f t="shared" si="1"/>
        <v>0.075</v>
      </c>
      <c r="D159" s="387">
        <v>230.0</v>
      </c>
      <c r="E159" s="388">
        <v>200.0</v>
      </c>
      <c r="F159" s="388">
        <v>200.0</v>
      </c>
      <c r="G159" s="388">
        <v>200.0</v>
      </c>
      <c r="H159" s="388">
        <v>200.0</v>
      </c>
      <c r="I159" s="388">
        <v>200.0</v>
      </c>
      <c r="J159" s="388">
        <v>1.0</v>
      </c>
      <c r="K159" s="389" t="s">
        <v>299</v>
      </c>
      <c r="L159" s="387">
        <v>4.0</v>
      </c>
      <c r="M159" s="388">
        <v>0.0</v>
      </c>
      <c r="N159" s="388">
        <v>0.0</v>
      </c>
      <c r="O159" s="388">
        <v>0.0</v>
      </c>
      <c r="P159" s="388">
        <v>0.0</v>
      </c>
      <c r="Q159" s="388">
        <v>0.0</v>
      </c>
      <c r="R159" s="388">
        <v>0.0</v>
      </c>
      <c r="S159" s="388"/>
      <c r="T159" s="388">
        <v>0.0</v>
      </c>
      <c r="U159" s="389">
        <v>0.0</v>
      </c>
      <c r="V159" s="387">
        <v>60.0</v>
      </c>
      <c r="W159" s="388">
        <v>80.0</v>
      </c>
      <c r="X159" s="388">
        <v>100.0</v>
      </c>
      <c r="Y159" s="388">
        <v>80.0</v>
      </c>
      <c r="Z159" s="389">
        <v>60.0</v>
      </c>
      <c r="AA159" s="305"/>
      <c r="AB159" s="306"/>
      <c r="AC159" s="306"/>
    </row>
    <row r="160">
      <c r="A160" s="306" t="s">
        <v>1130</v>
      </c>
      <c r="B160" s="417" t="s">
        <v>1131</v>
      </c>
      <c r="C160" s="390">
        <f t="shared" si="1"/>
        <v>0</v>
      </c>
      <c r="D160" s="387">
        <v>3.0</v>
      </c>
      <c r="E160" s="388">
        <v>5.0</v>
      </c>
      <c r="F160" s="388">
        <v>2.0</v>
      </c>
      <c r="G160" s="388">
        <v>3.0</v>
      </c>
      <c r="H160" s="388">
        <v>2.0</v>
      </c>
      <c r="I160" s="388">
        <v>1.0</v>
      </c>
      <c r="J160" s="388">
        <v>1.0</v>
      </c>
      <c r="K160" s="389" t="s">
        <v>300</v>
      </c>
      <c r="L160" s="387">
        <v>4.0</v>
      </c>
      <c r="M160" s="388">
        <v>0.0</v>
      </c>
      <c r="N160" s="388">
        <v>0.0</v>
      </c>
      <c r="O160" s="388">
        <v>0.0</v>
      </c>
      <c r="P160" s="388">
        <v>0.0</v>
      </c>
      <c r="Q160" s="388">
        <v>0.0</v>
      </c>
      <c r="R160" s="388">
        <v>0.0</v>
      </c>
      <c r="S160" s="388"/>
      <c r="T160" s="388">
        <v>0.0</v>
      </c>
      <c r="U160" s="389">
        <v>0.0</v>
      </c>
      <c r="V160" s="387">
        <v>0.0</v>
      </c>
      <c r="W160" s="388">
        <v>0.0</v>
      </c>
      <c r="X160" s="388">
        <v>0.0</v>
      </c>
      <c r="Y160" s="388">
        <v>0.0</v>
      </c>
      <c r="Z160" s="389">
        <v>0.0</v>
      </c>
      <c r="AA160" s="305"/>
      <c r="AB160" s="306"/>
      <c r="AC160" s="306"/>
    </row>
    <row r="161">
      <c r="A161" s="306" t="s">
        <v>1132</v>
      </c>
      <c r="B161" s="417" t="s">
        <v>1133</v>
      </c>
      <c r="C161" s="390">
        <f t="shared" si="1"/>
        <v>0</v>
      </c>
      <c r="D161" s="387">
        <v>6.0</v>
      </c>
      <c r="E161" s="388">
        <v>10.0</v>
      </c>
      <c r="F161" s="388">
        <v>6.0</v>
      </c>
      <c r="G161" s="388">
        <v>5.0</v>
      </c>
      <c r="H161" s="388">
        <v>2.0</v>
      </c>
      <c r="I161" s="388">
        <v>1.0</v>
      </c>
      <c r="J161" s="388">
        <v>1.0</v>
      </c>
      <c r="K161" s="389" t="s">
        <v>300</v>
      </c>
      <c r="L161" s="387">
        <v>4.0</v>
      </c>
      <c r="M161" s="388">
        <v>0.0</v>
      </c>
      <c r="N161" s="388">
        <v>0.0</v>
      </c>
      <c r="O161" s="388">
        <v>0.0</v>
      </c>
      <c r="P161" s="388">
        <v>0.0</v>
      </c>
      <c r="Q161" s="388">
        <v>0.0</v>
      </c>
      <c r="R161" s="388">
        <v>0.0</v>
      </c>
      <c r="S161" s="388"/>
      <c r="T161" s="388">
        <v>0.0</v>
      </c>
      <c r="U161" s="389">
        <v>0.0</v>
      </c>
      <c r="V161" s="387">
        <v>0.0</v>
      </c>
      <c r="W161" s="388">
        <v>0.0</v>
      </c>
      <c r="X161" s="388">
        <v>0.0</v>
      </c>
      <c r="Y161" s="388">
        <v>0.0</v>
      </c>
      <c r="Z161" s="389">
        <v>0.0</v>
      </c>
      <c r="AA161" s="305"/>
      <c r="AB161" s="306"/>
      <c r="AC161" s="306"/>
    </row>
    <row r="162">
      <c r="A162" s="306" t="s">
        <v>1134</v>
      </c>
      <c r="B162" s="306" t="s">
        <v>1135</v>
      </c>
      <c r="C162" s="390">
        <f t="shared" si="1"/>
        <v>0</v>
      </c>
      <c r="D162" s="387">
        <v>2.0</v>
      </c>
      <c r="E162" s="388">
        <v>5.0</v>
      </c>
      <c r="F162" s="388">
        <v>1.0</v>
      </c>
      <c r="G162" s="388">
        <v>1.0</v>
      </c>
      <c r="H162" s="388">
        <v>1.0</v>
      </c>
      <c r="I162" s="388">
        <v>1.0</v>
      </c>
      <c r="J162" s="388">
        <v>1.0</v>
      </c>
      <c r="K162" s="389" t="s">
        <v>300</v>
      </c>
      <c r="L162" s="387">
        <v>4.0</v>
      </c>
      <c r="M162" s="388">
        <v>0.0</v>
      </c>
      <c r="N162" s="388">
        <v>0.0</v>
      </c>
      <c r="O162" s="388">
        <v>0.0</v>
      </c>
      <c r="P162" s="388">
        <v>0.0</v>
      </c>
      <c r="Q162" s="388">
        <v>0.0</v>
      </c>
      <c r="R162" s="388">
        <v>0.0</v>
      </c>
      <c r="S162" s="388"/>
      <c r="T162" s="388">
        <v>0.0</v>
      </c>
      <c r="U162" s="389">
        <v>0.0</v>
      </c>
      <c r="V162" s="387">
        <v>-10.0</v>
      </c>
      <c r="W162" s="388">
        <v>-10.0</v>
      </c>
      <c r="X162" s="388">
        <v>-10.0</v>
      </c>
      <c r="Y162" s="388">
        <v>-10.0</v>
      </c>
      <c r="Z162" s="389">
        <v>-10.0</v>
      </c>
      <c r="AA162" s="305"/>
      <c r="AB162" s="306"/>
      <c r="AC162" s="306"/>
    </row>
    <row r="163">
      <c r="A163" s="306" t="s">
        <v>1136</v>
      </c>
      <c r="B163" s="306" t="s">
        <v>1137</v>
      </c>
      <c r="C163" s="390">
        <f t="shared" si="1"/>
        <v>0</v>
      </c>
      <c r="D163" s="387">
        <v>27.0</v>
      </c>
      <c r="E163" s="388">
        <v>32.0</v>
      </c>
      <c r="F163" s="388">
        <v>20.0</v>
      </c>
      <c r="G163" s="388">
        <v>24.0</v>
      </c>
      <c r="H163" s="388">
        <v>21.0</v>
      </c>
      <c r="I163" s="388">
        <v>1.0</v>
      </c>
      <c r="J163" s="388">
        <v>1.0</v>
      </c>
      <c r="K163" s="389" t="s">
        <v>300</v>
      </c>
      <c r="L163" s="387">
        <v>4.0</v>
      </c>
      <c r="M163" s="388">
        <v>0.0</v>
      </c>
      <c r="N163" s="388">
        <v>0.0</v>
      </c>
      <c r="O163" s="388">
        <v>0.0</v>
      </c>
      <c r="P163" s="388">
        <v>0.0</v>
      </c>
      <c r="Q163" s="388">
        <v>0.0</v>
      </c>
      <c r="R163" s="388">
        <v>0.0</v>
      </c>
      <c r="S163" s="388"/>
      <c r="T163" s="388">
        <v>0.0</v>
      </c>
      <c r="U163" s="389">
        <v>0.0</v>
      </c>
      <c r="V163" s="387">
        <v>0.0</v>
      </c>
      <c r="W163" s="388">
        <v>0.0</v>
      </c>
      <c r="X163" s="388">
        <v>0.0</v>
      </c>
      <c r="Y163" s="388">
        <v>0.0</v>
      </c>
      <c r="Z163" s="389">
        <v>0.0</v>
      </c>
      <c r="AA163" s="305"/>
      <c r="AB163" s="306"/>
      <c r="AC163" s="306"/>
    </row>
    <row r="164">
      <c r="A164" s="306" t="s">
        <v>1138</v>
      </c>
      <c r="B164" s="306" t="s">
        <v>1028</v>
      </c>
      <c r="C164" s="390">
        <f t="shared" si="1"/>
        <v>0</v>
      </c>
      <c r="D164" s="387">
        <v>50.0</v>
      </c>
      <c r="E164" s="388">
        <v>50.0</v>
      </c>
      <c r="F164" s="388">
        <v>41.0</v>
      </c>
      <c r="G164" s="388">
        <v>51.0</v>
      </c>
      <c r="H164" s="388">
        <v>31.0</v>
      </c>
      <c r="I164" s="388">
        <v>1.0</v>
      </c>
      <c r="J164" s="388">
        <v>1.0</v>
      </c>
      <c r="K164" s="389" t="s">
        <v>300</v>
      </c>
      <c r="L164" s="387">
        <v>4.0</v>
      </c>
      <c r="M164" s="388"/>
      <c r="N164" s="388"/>
      <c r="O164" s="388"/>
      <c r="P164" s="388">
        <v>10.0</v>
      </c>
      <c r="Q164" s="388">
        <v>10.0</v>
      </c>
      <c r="R164" s="388"/>
      <c r="S164" s="388"/>
      <c r="T164" s="388"/>
      <c r="U164" s="389"/>
      <c r="V164" s="387">
        <v>10.0</v>
      </c>
      <c r="W164" s="388">
        <v>10.0</v>
      </c>
      <c r="X164" s="388">
        <v>10.0</v>
      </c>
      <c r="Y164" s="388">
        <v>10.0</v>
      </c>
      <c r="Z164" s="389">
        <v>10.0</v>
      </c>
      <c r="AA164" s="305"/>
      <c r="AB164" s="306"/>
      <c r="AC164" s="306"/>
    </row>
    <row r="165">
      <c r="A165" s="405" t="s">
        <v>1139</v>
      </c>
      <c r="B165" s="405"/>
      <c r="C165" s="406">
        <f t="shared" si="1"/>
        <v>0.05</v>
      </c>
      <c r="D165" s="407">
        <v>191.0</v>
      </c>
      <c r="E165" s="408">
        <v>130.0</v>
      </c>
      <c r="F165" s="408">
        <v>169.0</v>
      </c>
      <c r="G165" s="408">
        <v>190.0</v>
      </c>
      <c r="H165" s="408">
        <v>169.0</v>
      </c>
      <c r="I165" s="408">
        <v>1.0</v>
      </c>
      <c r="J165" s="408">
        <v>190.0</v>
      </c>
      <c r="K165" s="409"/>
      <c r="L165" s="407"/>
      <c r="M165" s="408">
        <v>0.0</v>
      </c>
      <c r="N165" s="408">
        <v>0.0</v>
      </c>
      <c r="O165" s="408">
        <v>0.0</v>
      </c>
      <c r="P165" s="408">
        <v>0.0</v>
      </c>
      <c r="Q165" s="408">
        <v>0.0</v>
      </c>
      <c r="R165" s="408">
        <v>0.0</v>
      </c>
      <c r="S165" s="408"/>
      <c r="T165" s="408">
        <v>0.0</v>
      </c>
      <c r="U165" s="409"/>
      <c r="V165" s="407">
        <v>70.0</v>
      </c>
      <c r="W165" s="408">
        <v>99.0</v>
      </c>
      <c r="X165" s="408">
        <v>99.0</v>
      </c>
      <c r="Y165" s="408">
        <v>159.0</v>
      </c>
      <c r="Z165" s="409">
        <v>149.0</v>
      </c>
      <c r="AA165" s="410"/>
      <c r="AB165" s="405"/>
      <c r="AC165" s="405"/>
    </row>
    <row r="166">
      <c r="A166" s="306" t="s">
        <v>1140</v>
      </c>
      <c r="B166" s="306" t="s">
        <v>1141</v>
      </c>
      <c r="C166" s="390">
        <f t="shared" si="1"/>
        <v>0</v>
      </c>
      <c r="D166" s="387">
        <v>2.0</v>
      </c>
      <c r="E166" s="388">
        <v>5.0</v>
      </c>
      <c r="F166" s="388">
        <v>1.0</v>
      </c>
      <c r="G166" s="388">
        <v>1.0</v>
      </c>
      <c r="H166" s="388">
        <v>1.0</v>
      </c>
      <c r="I166" s="388">
        <v>1.0</v>
      </c>
      <c r="J166" s="388">
        <v>1.0</v>
      </c>
      <c r="K166" s="389" t="s">
        <v>299</v>
      </c>
      <c r="L166" s="387">
        <v>4.0</v>
      </c>
      <c r="M166" s="388">
        <v>0.0</v>
      </c>
      <c r="N166" s="388">
        <v>0.0</v>
      </c>
      <c r="O166" s="388">
        <v>0.0</v>
      </c>
      <c r="P166" s="388">
        <v>0.0</v>
      </c>
      <c r="Q166" s="388">
        <v>0.0</v>
      </c>
      <c r="R166" s="388">
        <v>0.0</v>
      </c>
      <c r="S166" s="388"/>
      <c r="T166" s="388">
        <v>0.0</v>
      </c>
      <c r="U166" s="389">
        <v>0.0</v>
      </c>
      <c r="V166" s="387">
        <v>-15.0</v>
      </c>
      <c r="W166" s="388">
        <v>-15.0</v>
      </c>
      <c r="X166" s="388">
        <v>-15.0</v>
      </c>
      <c r="Y166" s="388">
        <v>-15.0</v>
      </c>
      <c r="Z166" s="389">
        <v>-15.0</v>
      </c>
      <c r="AA166" s="305"/>
      <c r="AB166" s="306"/>
      <c r="AC166" s="306"/>
    </row>
    <row r="167">
      <c r="A167" s="306" t="s">
        <v>1142</v>
      </c>
      <c r="B167" s="306" t="s">
        <v>1143</v>
      </c>
      <c r="C167" s="390">
        <f t="shared" si="1"/>
        <v>0</v>
      </c>
      <c r="D167" s="387">
        <v>5.0</v>
      </c>
      <c r="E167" s="388">
        <v>12.0</v>
      </c>
      <c r="F167" s="388">
        <v>3.0</v>
      </c>
      <c r="G167" s="388">
        <v>1.0</v>
      </c>
      <c r="H167" s="388">
        <v>4.0</v>
      </c>
      <c r="I167" s="388">
        <v>1.0</v>
      </c>
      <c r="J167" s="388">
        <v>1.0</v>
      </c>
      <c r="K167" s="389" t="s">
        <v>300</v>
      </c>
      <c r="L167" s="387">
        <v>6.0</v>
      </c>
      <c r="M167" s="388">
        <v>0.0</v>
      </c>
      <c r="N167" s="388">
        <v>0.0</v>
      </c>
      <c r="O167" s="388">
        <v>0.0</v>
      </c>
      <c r="P167" s="388">
        <v>12.0</v>
      </c>
      <c r="Q167" s="388">
        <v>12.0</v>
      </c>
      <c r="R167" s="388">
        <v>0.0</v>
      </c>
      <c r="S167" s="388"/>
      <c r="T167" s="388">
        <v>0.0</v>
      </c>
      <c r="U167" s="389">
        <v>0.0</v>
      </c>
      <c r="V167" s="387">
        <v>0.0</v>
      </c>
      <c r="W167" s="388">
        <v>0.0</v>
      </c>
      <c r="X167" s="388">
        <v>0.0</v>
      </c>
      <c r="Y167" s="388">
        <v>0.0</v>
      </c>
      <c r="Z167" s="389">
        <v>0.0</v>
      </c>
      <c r="AA167" s="305"/>
      <c r="AB167" s="306"/>
      <c r="AC167" s="306"/>
    </row>
    <row r="168">
      <c r="A168" s="306" t="s">
        <v>1142</v>
      </c>
      <c r="B168" s="306" t="s">
        <v>1144</v>
      </c>
      <c r="C168" s="390">
        <f t="shared" si="1"/>
        <v>0</v>
      </c>
      <c r="D168" s="387">
        <v>5.0</v>
      </c>
      <c r="E168" s="388">
        <v>12.0</v>
      </c>
      <c r="F168" s="388">
        <v>3.0</v>
      </c>
      <c r="G168" s="388">
        <v>1.0</v>
      </c>
      <c r="H168" s="388">
        <v>4.0</v>
      </c>
      <c r="I168" s="388">
        <v>1.0</v>
      </c>
      <c r="J168" s="388">
        <v>1.0</v>
      </c>
      <c r="K168" s="389" t="s">
        <v>299</v>
      </c>
      <c r="L168" s="387">
        <v>6.0</v>
      </c>
      <c r="M168" s="388">
        <v>0.0</v>
      </c>
      <c r="N168" s="388">
        <v>0.0</v>
      </c>
      <c r="O168" s="388">
        <v>0.0</v>
      </c>
      <c r="P168" s="388">
        <v>12.0</v>
      </c>
      <c r="Q168" s="388">
        <v>12.0</v>
      </c>
      <c r="R168" s="388">
        <v>0.0</v>
      </c>
      <c r="S168" s="388"/>
      <c r="T168" s="388">
        <v>0.0</v>
      </c>
      <c r="U168" s="389">
        <v>0.0</v>
      </c>
      <c r="V168" s="387">
        <v>0.0</v>
      </c>
      <c r="W168" s="388">
        <v>0.0</v>
      </c>
      <c r="X168" s="388">
        <v>0.0</v>
      </c>
      <c r="Y168" s="388">
        <v>0.0</v>
      </c>
      <c r="Z168" s="389">
        <v>0.0</v>
      </c>
      <c r="AA168" s="305"/>
      <c r="AB168" s="306"/>
      <c r="AC168" s="306"/>
    </row>
    <row r="169">
      <c r="A169" s="405" t="s">
        <v>1145</v>
      </c>
      <c r="B169" s="405"/>
      <c r="C169" s="406">
        <f t="shared" si="1"/>
        <v>0</v>
      </c>
      <c r="D169" s="407">
        <v>145.0</v>
      </c>
      <c r="E169" s="408">
        <v>115.0</v>
      </c>
      <c r="F169" s="408">
        <v>130.0</v>
      </c>
      <c r="G169" s="408">
        <v>130.0</v>
      </c>
      <c r="H169" s="408">
        <v>131.0</v>
      </c>
      <c r="I169" s="408">
        <v>1.0</v>
      </c>
      <c r="J169" s="408">
        <v>1.0</v>
      </c>
      <c r="K169" s="409"/>
      <c r="L169" s="407"/>
      <c r="M169" s="408">
        <v>0.0</v>
      </c>
      <c r="N169" s="408">
        <v>0.0</v>
      </c>
      <c r="O169" s="408">
        <v>0.0</v>
      </c>
      <c r="P169" s="408">
        <v>0.0</v>
      </c>
      <c r="Q169" s="408">
        <v>0.0</v>
      </c>
      <c r="R169" s="408">
        <v>0.0</v>
      </c>
      <c r="S169" s="408"/>
      <c r="T169" s="408">
        <v>0.0</v>
      </c>
      <c r="U169" s="409">
        <v>0.0</v>
      </c>
      <c r="V169" s="407">
        <v>0.0</v>
      </c>
      <c r="W169" s="408">
        <v>0.0</v>
      </c>
      <c r="X169" s="408">
        <v>0.0</v>
      </c>
      <c r="Y169" s="408">
        <v>0.0</v>
      </c>
      <c r="Z169" s="409">
        <v>0.0</v>
      </c>
      <c r="AA169" s="410"/>
      <c r="AB169" s="405"/>
      <c r="AC169" s="405"/>
    </row>
    <row r="170">
      <c r="A170" s="405" t="s">
        <v>1146</v>
      </c>
      <c r="B170" s="405"/>
      <c r="C170" s="406">
        <f t="shared" si="1"/>
        <v>0</v>
      </c>
      <c r="D170" s="407">
        <v>149.0</v>
      </c>
      <c r="E170" s="408">
        <v>128.0</v>
      </c>
      <c r="F170" s="408">
        <v>133.0</v>
      </c>
      <c r="G170" s="408">
        <v>126.0</v>
      </c>
      <c r="H170" s="408">
        <v>135.0</v>
      </c>
      <c r="I170" s="408">
        <v>1.0</v>
      </c>
      <c r="J170" s="408">
        <v>1.0</v>
      </c>
      <c r="K170" s="409"/>
      <c r="L170" s="407"/>
      <c r="M170" s="408">
        <v>0.0</v>
      </c>
      <c r="N170" s="408">
        <v>0.0</v>
      </c>
      <c r="O170" s="408">
        <v>0.0</v>
      </c>
      <c r="P170" s="408">
        <v>0.0</v>
      </c>
      <c r="Q170" s="408">
        <v>0.0</v>
      </c>
      <c r="R170" s="408">
        <v>0.0</v>
      </c>
      <c r="S170" s="408"/>
      <c r="T170" s="408">
        <v>0.0</v>
      </c>
      <c r="U170" s="409">
        <v>0.0</v>
      </c>
      <c r="V170" s="407">
        <v>0.0</v>
      </c>
      <c r="W170" s="408">
        <v>0.0</v>
      </c>
      <c r="X170" s="408">
        <v>0.0</v>
      </c>
      <c r="Y170" s="408">
        <v>0.0</v>
      </c>
      <c r="Z170" s="409">
        <v>0.0</v>
      </c>
      <c r="AA170" s="410"/>
      <c r="AB170" s="405"/>
      <c r="AC170" s="405"/>
    </row>
    <row r="171">
      <c r="A171" s="306" t="s">
        <v>1147</v>
      </c>
      <c r="B171" s="306" t="s">
        <v>969</v>
      </c>
      <c r="C171" s="390">
        <f t="shared" si="1"/>
        <v>0</v>
      </c>
      <c r="D171" s="387">
        <v>92.0</v>
      </c>
      <c r="E171" s="388">
        <v>87.0</v>
      </c>
      <c r="F171" s="388">
        <v>76.0</v>
      </c>
      <c r="G171" s="388">
        <v>78.0</v>
      </c>
      <c r="H171" s="388">
        <v>81.0</v>
      </c>
      <c r="I171" s="388">
        <v>1.0</v>
      </c>
      <c r="J171" s="388">
        <v>1.0</v>
      </c>
      <c r="K171" s="389" t="s">
        <v>301</v>
      </c>
      <c r="L171" s="387">
        <v>4.0</v>
      </c>
      <c r="M171" s="388">
        <v>0.0</v>
      </c>
      <c r="N171" s="388">
        <v>0.0</v>
      </c>
      <c r="O171" s="388">
        <v>0.0</v>
      </c>
      <c r="P171" s="388">
        <v>0.0</v>
      </c>
      <c r="Q171" s="388">
        <v>0.0</v>
      </c>
      <c r="R171" s="388">
        <v>0.0</v>
      </c>
      <c r="S171" s="388"/>
      <c r="T171" s="388">
        <v>0.0</v>
      </c>
      <c r="U171" s="389">
        <v>0.0</v>
      </c>
      <c r="V171" s="387">
        <v>0.0</v>
      </c>
      <c r="W171" s="388">
        <v>0.0</v>
      </c>
      <c r="X171" s="388">
        <v>0.0</v>
      </c>
      <c r="Y171" s="388">
        <v>-10.0</v>
      </c>
      <c r="Z171" s="389">
        <v>0.0</v>
      </c>
      <c r="AA171" s="305"/>
      <c r="AB171" s="306" t="s">
        <v>931</v>
      </c>
      <c r="AC171" s="306"/>
    </row>
    <row r="172">
      <c r="A172" s="306" t="s">
        <v>1148</v>
      </c>
      <c r="B172" s="417" t="s">
        <v>954</v>
      </c>
      <c r="C172" s="390">
        <f t="shared" si="1"/>
        <v>0</v>
      </c>
      <c r="D172" s="387">
        <v>100.0</v>
      </c>
      <c r="E172" s="388">
        <v>115.0</v>
      </c>
      <c r="F172" s="388">
        <v>90.0</v>
      </c>
      <c r="G172" s="388">
        <v>70.0</v>
      </c>
      <c r="H172" s="388">
        <v>80.0</v>
      </c>
      <c r="I172" s="388">
        <v>1.0</v>
      </c>
      <c r="J172" s="388">
        <v>1.0</v>
      </c>
      <c r="K172" s="389" t="s">
        <v>301</v>
      </c>
      <c r="L172" s="387">
        <v>4.0</v>
      </c>
      <c r="M172" s="388">
        <v>0.0</v>
      </c>
      <c r="N172" s="388">
        <v>0.0</v>
      </c>
      <c r="O172" s="388">
        <v>0.0</v>
      </c>
      <c r="P172" s="388">
        <v>0.0</v>
      </c>
      <c r="Q172" s="388">
        <v>0.0</v>
      </c>
      <c r="R172" s="388">
        <v>0.0</v>
      </c>
      <c r="S172" s="388"/>
      <c r="T172" s="388">
        <v>0.0</v>
      </c>
      <c r="U172" s="389">
        <v>0.0</v>
      </c>
      <c r="V172" s="387">
        <v>0.0</v>
      </c>
      <c r="W172" s="388">
        <v>0.0</v>
      </c>
      <c r="X172" s="388">
        <v>0.0</v>
      </c>
      <c r="Y172" s="388">
        <v>-10.0</v>
      </c>
      <c r="Z172" s="389">
        <v>0.0</v>
      </c>
      <c r="AA172" s="305"/>
      <c r="AB172" s="306" t="s">
        <v>931</v>
      </c>
      <c r="AC172" s="306"/>
    </row>
    <row r="173">
      <c r="A173" s="306" t="s">
        <v>1149</v>
      </c>
      <c r="B173" s="417" t="s">
        <v>954</v>
      </c>
      <c r="C173" s="390">
        <f t="shared" si="1"/>
        <v>0</v>
      </c>
      <c r="D173" s="387">
        <v>101.0</v>
      </c>
      <c r="E173" s="388">
        <v>120.0</v>
      </c>
      <c r="F173" s="388">
        <v>90.0</v>
      </c>
      <c r="G173" s="388">
        <v>90.0</v>
      </c>
      <c r="H173" s="388">
        <v>50.0</v>
      </c>
      <c r="I173" s="388">
        <v>1.0</v>
      </c>
      <c r="J173" s="388">
        <v>1.0</v>
      </c>
      <c r="K173" s="389" t="s">
        <v>301</v>
      </c>
      <c r="L173" s="387">
        <v>4.0</v>
      </c>
      <c r="M173" s="388">
        <v>0.0</v>
      </c>
      <c r="N173" s="388">
        <v>0.0</v>
      </c>
      <c r="O173" s="388">
        <v>0.0</v>
      </c>
      <c r="P173" s="388">
        <v>0.0</v>
      </c>
      <c r="Q173" s="388">
        <v>0.0</v>
      </c>
      <c r="R173" s="388">
        <v>0.0</v>
      </c>
      <c r="S173" s="388"/>
      <c r="T173" s="388">
        <v>0.0</v>
      </c>
      <c r="U173" s="389">
        <v>0.0</v>
      </c>
      <c r="V173" s="387">
        <v>0.0</v>
      </c>
      <c r="W173" s="388">
        <v>0.0</v>
      </c>
      <c r="X173" s="388">
        <v>0.0</v>
      </c>
      <c r="Y173" s="388">
        <v>-10.0</v>
      </c>
      <c r="Z173" s="389">
        <v>0.0</v>
      </c>
      <c r="AA173" s="305"/>
      <c r="AB173" s="306" t="s">
        <v>931</v>
      </c>
      <c r="AC173" s="306"/>
    </row>
    <row r="174">
      <c r="A174" s="319" t="s">
        <v>1150</v>
      </c>
      <c r="B174" s="411" t="s">
        <v>952</v>
      </c>
      <c r="C174" s="412">
        <f t="shared" si="1"/>
        <v>0</v>
      </c>
      <c r="D174" s="413">
        <v>104.0</v>
      </c>
      <c r="E174" s="414">
        <v>120.0</v>
      </c>
      <c r="F174" s="414">
        <v>76.0</v>
      </c>
      <c r="G174" s="414">
        <v>90.0</v>
      </c>
      <c r="H174" s="414">
        <v>81.0</v>
      </c>
      <c r="I174" s="414">
        <v>1.0</v>
      </c>
      <c r="J174" s="414">
        <v>1.0</v>
      </c>
      <c r="K174" s="415" t="s">
        <v>301</v>
      </c>
      <c r="L174" s="413">
        <v>4.0</v>
      </c>
      <c r="M174" s="178"/>
      <c r="N174" s="178"/>
      <c r="O174" s="178"/>
      <c r="P174" s="178"/>
      <c r="Q174" s="178"/>
      <c r="R174" s="178"/>
      <c r="S174" s="178"/>
      <c r="T174" s="178"/>
      <c r="U174" s="416"/>
      <c r="V174" s="413">
        <v>0.0</v>
      </c>
      <c r="W174" s="414">
        <v>0.0</v>
      </c>
      <c r="X174" s="414">
        <v>0.0</v>
      </c>
      <c r="Y174" s="414">
        <v>-10.0</v>
      </c>
      <c r="Z174" s="415">
        <v>0.0</v>
      </c>
      <c r="AA174" s="394"/>
      <c r="AB174" s="306" t="s">
        <v>931</v>
      </c>
      <c r="AC174" s="395"/>
    </row>
    <row r="175">
      <c r="A175" s="306" t="s">
        <v>1151</v>
      </c>
      <c r="B175" s="417" t="s">
        <v>954</v>
      </c>
      <c r="C175" s="390">
        <f t="shared" si="1"/>
        <v>0</v>
      </c>
      <c r="D175" s="387">
        <v>113.0</v>
      </c>
      <c r="E175" s="388">
        <v>130.0</v>
      </c>
      <c r="F175" s="388">
        <v>120.0</v>
      </c>
      <c r="G175" s="388">
        <v>90.0</v>
      </c>
      <c r="H175" s="388">
        <v>50.0</v>
      </c>
      <c r="I175" s="388">
        <v>1.0</v>
      </c>
      <c r="J175" s="388">
        <v>1.0</v>
      </c>
      <c r="K175" s="389" t="s">
        <v>301</v>
      </c>
      <c r="L175" s="387">
        <v>4.0</v>
      </c>
      <c r="M175" s="388">
        <v>0.0</v>
      </c>
      <c r="N175" s="388">
        <v>0.0</v>
      </c>
      <c r="O175" s="388">
        <v>0.0</v>
      </c>
      <c r="P175" s="388">
        <v>0.0</v>
      </c>
      <c r="Q175" s="388">
        <v>0.0</v>
      </c>
      <c r="R175" s="388">
        <v>0.0</v>
      </c>
      <c r="S175" s="388"/>
      <c r="T175" s="388">
        <v>0.0</v>
      </c>
      <c r="U175" s="389">
        <v>0.0</v>
      </c>
      <c r="V175" s="387">
        <v>0.0</v>
      </c>
      <c r="W175" s="388">
        <v>0.0</v>
      </c>
      <c r="X175" s="388">
        <v>0.0</v>
      </c>
      <c r="Y175" s="388">
        <v>-10.0</v>
      </c>
      <c r="Z175" s="389">
        <v>0.0</v>
      </c>
      <c r="AA175" s="305"/>
      <c r="AB175" s="306" t="s">
        <v>931</v>
      </c>
      <c r="AC175" s="306"/>
    </row>
    <row r="176">
      <c r="A176" s="306" t="s">
        <v>1152</v>
      </c>
      <c r="B176" s="424" t="s">
        <v>954</v>
      </c>
      <c r="C176" s="390">
        <f t="shared" si="1"/>
        <v>0.025</v>
      </c>
      <c r="D176" s="387">
        <v>200.0</v>
      </c>
      <c r="E176" s="388">
        <v>205.0</v>
      </c>
      <c r="F176" s="388">
        <v>197.0</v>
      </c>
      <c r="G176" s="388">
        <v>197.0</v>
      </c>
      <c r="H176" s="388">
        <v>85.0</v>
      </c>
      <c r="I176" s="388">
        <v>1.0</v>
      </c>
      <c r="J176" s="388">
        <v>1.0</v>
      </c>
      <c r="K176" s="389" t="s">
        <v>299</v>
      </c>
      <c r="L176" s="387">
        <v>4.0</v>
      </c>
      <c r="M176" s="388">
        <v>0.0</v>
      </c>
      <c r="N176" s="388">
        <v>0.0</v>
      </c>
      <c r="O176" s="388">
        <v>0.0</v>
      </c>
      <c r="P176" s="388">
        <v>0.0</v>
      </c>
      <c r="Q176" s="388">
        <v>0.0</v>
      </c>
      <c r="R176" s="388">
        <v>0.0</v>
      </c>
      <c r="S176" s="388"/>
      <c r="T176" s="388">
        <v>0.0</v>
      </c>
      <c r="U176" s="389">
        <v>0.0</v>
      </c>
      <c r="V176" s="387">
        <v>50.0</v>
      </c>
      <c r="W176" s="388">
        <v>50.0</v>
      </c>
      <c r="X176" s="388">
        <v>50.0</v>
      </c>
      <c r="Y176" s="388">
        <v>0.0</v>
      </c>
      <c r="Z176" s="389">
        <v>50.0</v>
      </c>
      <c r="AA176" s="305"/>
      <c r="AB176" s="306" t="s">
        <v>931</v>
      </c>
      <c r="AC176" s="306"/>
    </row>
    <row r="177">
      <c r="A177" s="405" t="s">
        <v>1153</v>
      </c>
      <c r="B177" s="405"/>
      <c r="C177" s="406">
        <f t="shared" si="1"/>
        <v>0.05</v>
      </c>
      <c r="D177" s="407">
        <v>281.0</v>
      </c>
      <c r="E177" s="408">
        <v>190.0</v>
      </c>
      <c r="F177" s="408"/>
      <c r="G177" s="426"/>
      <c r="H177" s="408">
        <v>220.0</v>
      </c>
      <c r="I177" s="426"/>
      <c r="J177" s="426"/>
      <c r="K177" s="427"/>
      <c r="L177" s="407"/>
      <c r="M177" s="408"/>
      <c r="N177" s="408"/>
      <c r="O177" s="408"/>
      <c r="P177" s="408"/>
      <c r="Q177" s="408"/>
      <c r="R177" s="408"/>
      <c r="S177" s="408"/>
      <c r="T177" s="408"/>
      <c r="U177" s="409"/>
      <c r="V177" s="407">
        <v>150.0</v>
      </c>
      <c r="W177" s="408">
        <v>163.0</v>
      </c>
      <c r="X177" s="408">
        <v>20.0</v>
      </c>
      <c r="Y177" s="408">
        <v>210.0</v>
      </c>
      <c r="Z177" s="409">
        <v>275.0</v>
      </c>
      <c r="AA177" s="410"/>
      <c r="AB177" s="405" t="s">
        <v>929</v>
      </c>
      <c r="AC177" s="405"/>
    </row>
    <row r="178">
      <c r="A178" s="405" t="s">
        <v>1154</v>
      </c>
      <c r="B178" s="405"/>
      <c r="C178" s="406">
        <f t="shared" si="1"/>
        <v>0</v>
      </c>
      <c r="D178" s="407">
        <v>79.0</v>
      </c>
      <c r="E178" s="408">
        <v>75.0</v>
      </c>
      <c r="F178" s="408">
        <v>68.0</v>
      </c>
      <c r="G178" s="408">
        <v>68.0</v>
      </c>
      <c r="H178" s="408">
        <v>68.0</v>
      </c>
      <c r="I178" s="408">
        <v>68.0</v>
      </c>
      <c r="J178" s="408">
        <v>1.0</v>
      </c>
      <c r="K178" s="409"/>
      <c r="L178" s="407"/>
      <c r="M178" s="408">
        <v>0.0</v>
      </c>
      <c r="N178" s="408">
        <v>0.0</v>
      </c>
      <c r="O178" s="408">
        <v>0.0</v>
      </c>
      <c r="P178" s="408">
        <v>0.0</v>
      </c>
      <c r="Q178" s="408">
        <v>0.0</v>
      </c>
      <c r="R178" s="408">
        <v>0.0</v>
      </c>
      <c r="S178" s="408"/>
      <c r="T178" s="408">
        <v>0.0</v>
      </c>
      <c r="U178" s="409"/>
      <c r="V178" s="407">
        <v>20.0</v>
      </c>
      <c r="W178" s="408">
        <v>40.0</v>
      </c>
      <c r="X178" s="408">
        <v>40.0</v>
      </c>
      <c r="Y178" s="408">
        <v>30.0</v>
      </c>
      <c r="Z178" s="409">
        <v>20.0</v>
      </c>
      <c r="AA178" s="410"/>
      <c r="AB178" s="405" t="s">
        <v>936</v>
      </c>
      <c r="AC178" s="405"/>
    </row>
    <row r="179">
      <c r="A179" s="319" t="s">
        <v>1155</v>
      </c>
      <c r="B179" s="316" t="s">
        <v>952</v>
      </c>
      <c r="C179" s="412">
        <f t="shared" si="1"/>
        <v>0</v>
      </c>
      <c r="D179" s="413">
        <v>88.0</v>
      </c>
      <c r="E179" s="414">
        <v>100.0</v>
      </c>
      <c r="F179" s="414">
        <v>68.0</v>
      </c>
      <c r="G179" s="414">
        <v>75.0</v>
      </c>
      <c r="H179" s="414">
        <v>68.0</v>
      </c>
      <c r="I179" s="414">
        <v>75.0</v>
      </c>
      <c r="J179" s="414">
        <v>1.0</v>
      </c>
      <c r="K179" s="415" t="s">
        <v>301</v>
      </c>
      <c r="L179" s="422">
        <v>4.0</v>
      </c>
      <c r="M179" s="325"/>
      <c r="N179" s="325"/>
      <c r="O179" s="325"/>
      <c r="P179" s="325"/>
      <c r="Q179" s="325"/>
      <c r="R179" s="325"/>
      <c r="S179" s="325"/>
      <c r="T179" s="325"/>
      <c r="U179" s="326"/>
      <c r="V179" s="422">
        <v>20.0</v>
      </c>
      <c r="W179" s="421">
        <v>40.0</v>
      </c>
      <c r="X179" s="421">
        <v>40.0</v>
      </c>
      <c r="Y179" s="421">
        <v>30.0</v>
      </c>
      <c r="Z179" s="423">
        <v>20.0</v>
      </c>
      <c r="AA179" s="305"/>
      <c r="AB179" s="306" t="s">
        <v>936</v>
      </c>
      <c r="AC179" s="306"/>
    </row>
    <row r="180">
      <c r="A180" s="306" t="s">
        <v>1156</v>
      </c>
      <c r="B180" s="306" t="s">
        <v>1157</v>
      </c>
      <c r="C180" s="390">
        <f t="shared" si="1"/>
        <v>0</v>
      </c>
      <c r="D180" s="387">
        <v>21.0</v>
      </c>
      <c r="E180" s="388">
        <v>27.0</v>
      </c>
      <c r="F180" s="388">
        <v>17.0</v>
      </c>
      <c r="G180" s="388">
        <v>18.0</v>
      </c>
      <c r="H180" s="388">
        <v>15.0</v>
      </c>
      <c r="I180" s="388">
        <v>1.0</v>
      </c>
      <c r="J180" s="388">
        <v>1.0</v>
      </c>
      <c r="K180" s="389" t="s">
        <v>301</v>
      </c>
      <c r="L180" s="387">
        <v>4.0</v>
      </c>
      <c r="M180" s="388">
        <v>0.0</v>
      </c>
      <c r="N180" s="388">
        <v>0.0</v>
      </c>
      <c r="O180" s="388">
        <v>0.0</v>
      </c>
      <c r="P180" s="388">
        <v>0.0</v>
      </c>
      <c r="Q180" s="388">
        <v>0.0</v>
      </c>
      <c r="R180" s="388">
        <v>0.0</v>
      </c>
      <c r="S180" s="388"/>
      <c r="T180" s="388">
        <v>0.0</v>
      </c>
      <c r="U180" s="389">
        <v>0.0</v>
      </c>
      <c r="V180" s="387">
        <v>0.0</v>
      </c>
      <c r="W180" s="388">
        <v>0.0</v>
      </c>
      <c r="X180" s="388">
        <v>0.0</v>
      </c>
      <c r="Y180" s="388">
        <v>0.0</v>
      </c>
      <c r="Z180" s="389">
        <v>0.0</v>
      </c>
      <c r="AA180" s="305"/>
      <c r="AB180" s="306"/>
      <c r="AC180" s="306"/>
    </row>
    <row r="181">
      <c r="A181" s="405" t="s">
        <v>1158</v>
      </c>
      <c r="B181" s="405"/>
      <c r="C181" s="406">
        <f t="shared" si="1"/>
        <v>0</v>
      </c>
      <c r="D181" s="407">
        <v>139.0</v>
      </c>
      <c r="E181" s="408">
        <v>146.0</v>
      </c>
      <c r="F181" s="408">
        <v>100.0</v>
      </c>
      <c r="G181" s="408">
        <v>101.0</v>
      </c>
      <c r="H181" s="408">
        <v>120.0</v>
      </c>
      <c r="I181" s="408">
        <v>150.0</v>
      </c>
      <c r="J181" s="408">
        <v>1.0</v>
      </c>
      <c r="K181" s="409"/>
      <c r="L181" s="407"/>
      <c r="M181" s="408">
        <v>0.0</v>
      </c>
      <c r="N181" s="408">
        <v>0.0</v>
      </c>
      <c r="O181" s="408">
        <v>0.0</v>
      </c>
      <c r="P181" s="408">
        <v>10.0</v>
      </c>
      <c r="Q181" s="408">
        <v>7.0</v>
      </c>
      <c r="R181" s="408">
        <v>0.0</v>
      </c>
      <c r="S181" s="408"/>
      <c r="T181" s="408">
        <v>0.0</v>
      </c>
      <c r="U181" s="409"/>
      <c r="V181" s="407">
        <v>12.0</v>
      </c>
      <c r="W181" s="408">
        <v>14.0</v>
      </c>
      <c r="X181" s="408">
        <v>14.0</v>
      </c>
      <c r="Y181" s="408">
        <v>18.0</v>
      </c>
      <c r="Z181" s="409">
        <v>5.0</v>
      </c>
      <c r="AA181" s="410"/>
      <c r="AB181" s="405"/>
      <c r="AC181" s="405"/>
    </row>
    <row r="182">
      <c r="A182" s="306" t="s">
        <v>1159</v>
      </c>
      <c r="B182" s="306" t="s">
        <v>1160</v>
      </c>
      <c r="C182" s="390">
        <f t="shared" si="1"/>
        <v>0</v>
      </c>
      <c r="D182" s="387">
        <v>20.0</v>
      </c>
      <c r="E182" s="388">
        <v>22.0</v>
      </c>
      <c r="F182" s="388">
        <v>17.0</v>
      </c>
      <c r="G182" s="388">
        <v>18.0</v>
      </c>
      <c r="H182" s="388">
        <v>13.0</v>
      </c>
      <c r="I182" s="388">
        <v>1.0</v>
      </c>
      <c r="J182" s="388">
        <v>1.0</v>
      </c>
      <c r="K182" s="389" t="s">
        <v>299</v>
      </c>
      <c r="L182" s="387">
        <v>5.0</v>
      </c>
      <c r="M182" s="388">
        <v>0.0</v>
      </c>
      <c r="N182" s="388">
        <v>0.0</v>
      </c>
      <c r="O182" s="388">
        <v>0.0</v>
      </c>
      <c r="P182" s="388">
        <v>9.0</v>
      </c>
      <c r="Q182" s="388">
        <v>7.0</v>
      </c>
      <c r="R182" s="388">
        <v>0.0</v>
      </c>
      <c r="S182" s="388"/>
      <c r="T182" s="388">
        <v>0.0</v>
      </c>
      <c r="U182" s="389">
        <v>0.0</v>
      </c>
      <c r="V182" s="387">
        <v>24.0</v>
      </c>
      <c r="W182" s="388">
        <v>14.0</v>
      </c>
      <c r="X182" s="388">
        <v>19.0</v>
      </c>
      <c r="Y182" s="388">
        <v>4.0</v>
      </c>
      <c r="Z182" s="389">
        <v>16.0</v>
      </c>
      <c r="AA182" s="305"/>
      <c r="AB182" s="306"/>
      <c r="AC182" s="306"/>
    </row>
    <row r="183">
      <c r="A183" s="306" t="s">
        <v>1161</v>
      </c>
      <c r="B183" s="306" t="s">
        <v>1119</v>
      </c>
      <c r="C183" s="390">
        <f t="shared" si="1"/>
        <v>0</v>
      </c>
      <c r="D183" s="387">
        <v>19.0</v>
      </c>
      <c r="E183" s="388">
        <v>22.0</v>
      </c>
      <c r="F183" s="388">
        <v>15.0</v>
      </c>
      <c r="G183" s="388">
        <v>15.0</v>
      </c>
      <c r="H183" s="388">
        <v>16.0</v>
      </c>
      <c r="I183" s="388">
        <v>1.0</v>
      </c>
      <c r="J183" s="388">
        <v>1.0</v>
      </c>
      <c r="K183" s="389" t="s">
        <v>299</v>
      </c>
      <c r="L183" s="387">
        <v>6.0</v>
      </c>
      <c r="M183" s="388">
        <v>0.0</v>
      </c>
      <c r="N183" s="388">
        <v>0.0</v>
      </c>
      <c r="O183" s="388">
        <v>0.0</v>
      </c>
      <c r="P183" s="388">
        <v>6.0</v>
      </c>
      <c r="Q183" s="388">
        <v>10.0</v>
      </c>
      <c r="R183" s="388">
        <v>0.0</v>
      </c>
      <c r="S183" s="388"/>
      <c r="T183" s="388">
        <v>0.0</v>
      </c>
      <c r="U183" s="389">
        <v>0.0</v>
      </c>
      <c r="V183" s="387">
        <v>5.0</v>
      </c>
      <c r="W183" s="388">
        <v>5.0</v>
      </c>
      <c r="X183" s="388">
        <v>5.0</v>
      </c>
      <c r="Y183" s="388">
        <v>-4.0</v>
      </c>
      <c r="Z183" s="389">
        <v>5.0</v>
      </c>
      <c r="AA183" s="305"/>
      <c r="AB183" s="306"/>
      <c r="AC183" s="306"/>
    </row>
    <row r="184">
      <c r="A184" s="306" t="s">
        <v>1162</v>
      </c>
      <c r="B184" s="306" t="s">
        <v>1119</v>
      </c>
      <c r="C184" s="390">
        <f t="shared" si="1"/>
        <v>0</v>
      </c>
      <c r="D184" s="387">
        <v>21.0</v>
      </c>
      <c r="E184" s="388">
        <v>22.0</v>
      </c>
      <c r="F184" s="388">
        <v>19.0</v>
      </c>
      <c r="G184" s="388">
        <v>18.0</v>
      </c>
      <c r="H184" s="388">
        <v>14.0</v>
      </c>
      <c r="I184" s="388">
        <v>1.0</v>
      </c>
      <c r="J184" s="388">
        <v>1.0</v>
      </c>
      <c r="K184" s="389" t="s">
        <v>300</v>
      </c>
      <c r="L184" s="387">
        <v>4.0</v>
      </c>
      <c r="M184" s="388">
        <v>0.0</v>
      </c>
      <c r="N184" s="388">
        <v>0.0</v>
      </c>
      <c r="O184" s="388">
        <v>0.0</v>
      </c>
      <c r="P184" s="388">
        <v>4.0</v>
      </c>
      <c r="Q184" s="388">
        <v>5.0</v>
      </c>
      <c r="R184" s="388">
        <v>0.0</v>
      </c>
      <c r="S184" s="388"/>
      <c r="T184" s="388">
        <v>0.0</v>
      </c>
      <c r="U184" s="389">
        <v>0.0</v>
      </c>
      <c r="V184" s="387">
        <v>18.0</v>
      </c>
      <c r="W184" s="388">
        <v>25.0</v>
      </c>
      <c r="X184" s="388">
        <v>19.0</v>
      </c>
      <c r="Y184" s="388">
        <v>-4.0</v>
      </c>
      <c r="Z184" s="389">
        <v>20.0</v>
      </c>
      <c r="AA184" s="305"/>
      <c r="AB184" s="306"/>
      <c r="AC184" s="306"/>
    </row>
    <row r="185">
      <c r="A185" s="306" t="s">
        <v>1163</v>
      </c>
      <c r="B185" s="306" t="s">
        <v>1164</v>
      </c>
      <c r="C185" s="390">
        <f t="shared" si="1"/>
        <v>0</v>
      </c>
      <c r="D185" s="387">
        <v>22.0</v>
      </c>
      <c r="E185" s="388">
        <v>22.0</v>
      </c>
      <c r="F185" s="388">
        <v>15.0</v>
      </c>
      <c r="G185" s="388">
        <v>15.0</v>
      </c>
      <c r="H185" s="388">
        <v>16.0</v>
      </c>
      <c r="I185" s="388">
        <v>1.0</v>
      </c>
      <c r="J185" s="388">
        <v>26.0</v>
      </c>
      <c r="K185" s="389" t="s">
        <v>1089</v>
      </c>
      <c r="L185" s="387">
        <v>6.0</v>
      </c>
      <c r="M185" s="388">
        <v>0.0</v>
      </c>
      <c r="N185" s="388">
        <v>0.0</v>
      </c>
      <c r="O185" s="388">
        <v>0.0</v>
      </c>
      <c r="P185" s="388">
        <v>6.0</v>
      </c>
      <c r="Q185" s="388">
        <v>10.0</v>
      </c>
      <c r="R185" s="388">
        <v>0.0</v>
      </c>
      <c r="S185" s="388"/>
      <c r="T185" s="388">
        <v>0.0</v>
      </c>
      <c r="U185" s="389">
        <v>10.0</v>
      </c>
      <c r="V185" s="387">
        <v>13.0</v>
      </c>
      <c r="W185" s="388">
        <v>17.0</v>
      </c>
      <c r="X185" s="388">
        <v>14.0</v>
      </c>
      <c r="Y185" s="388">
        <v>-4.0</v>
      </c>
      <c r="Z185" s="389">
        <v>15.0</v>
      </c>
      <c r="AA185" s="305"/>
      <c r="AB185" s="306"/>
      <c r="AC185" s="306"/>
    </row>
    <row r="186">
      <c r="A186" s="306" t="s">
        <v>1163</v>
      </c>
      <c r="B186" s="306" t="s">
        <v>1165</v>
      </c>
      <c r="C186" s="390">
        <f t="shared" si="1"/>
        <v>0</v>
      </c>
      <c r="D186" s="387">
        <v>22.0</v>
      </c>
      <c r="E186" s="388">
        <v>22.0</v>
      </c>
      <c r="F186" s="388">
        <v>15.0</v>
      </c>
      <c r="G186" s="388">
        <v>15.0</v>
      </c>
      <c r="H186" s="388">
        <v>16.0</v>
      </c>
      <c r="I186" s="388">
        <v>1.0</v>
      </c>
      <c r="J186" s="388">
        <v>26.0</v>
      </c>
      <c r="K186" s="389" t="s">
        <v>299</v>
      </c>
      <c r="L186" s="387">
        <v>6.0</v>
      </c>
      <c r="M186" s="388">
        <v>0.0</v>
      </c>
      <c r="N186" s="388">
        <v>0.0</v>
      </c>
      <c r="O186" s="388">
        <v>0.0</v>
      </c>
      <c r="P186" s="388">
        <v>6.0</v>
      </c>
      <c r="Q186" s="388">
        <v>10.0</v>
      </c>
      <c r="R186" s="388">
        <v>0.0</v>
      </c>
      <c r="S186" s="388"/>
      <c r="T186" s="388">
        <v>0.0</v>
      </c>
      <c r="U186" s="389">
        <v>0.0</v>
      </c>
      <c r="V186" s="387">
        <v>5.0</v>
      </c>
      <c r="W186" s="388">
        <v>5.0</v>
      </c>
      <c r="X186" s="388">
        <v>5.0</v>
      </c>
      <c r="Y186" s="388">
        <v>-4.0</v>
      </c>
      <c r="Z186" s="389">
        <v>5.0</v>
      </c>
      <c r="AA186" s="305"/>
      <c r="AB186" s="306"/>
      <c r="AC186" s="306"/>
    </row>
    <row r="187">
      <c r="A187" s="306" t="s">
        <v>1162</v>
      </c>
      <c r="B187" s="306" t="s">
        <v>1072</v>
      </c>
      <c r="C187" s="390">
        <f t="shared" si="1"/>
        <v>0</v>
      </c>
      <c r="D187" s="387">
        <v>21.0</v>
      </c>
      <c r="E187" s="388">
        <v>22.0</v>
      </c>
      <c r="F187" s="388">
        <v>19.0</v>
      </c>
      <c r="G187" s="388">
        <v>18.0</v>
      </c>
      <c r="H187" s="388">
        <v>14.0</v>
      </c>
      <c r="I187" s="388">
        <v>1.0</v>
      </c>
      <c r="J187" s="388">
        <v>1.0</v>
      </c>
      <c r="K187" s="389" t="s">
        <v>299</v>
      </c>
      <c r="L187" s="387">
        <v>4.0</v>
      </c>
      <c r="M187" s="388">
        <v>0.0</v>
      </c>
      <c r="N187" s="388">
        <v>0.0</v>
      </c>
      <c r="O187" s="388">
        <v>0.0</v>
      </c>
      <c r="P187" s="388">
        <v>4.0</v>
      </c>
      <c r="Q187" s="388">
        <v>5.0</v>
      </c>
      <c r="R187" s="388">
        <v>0.0</v>
      </c>
      <c r="S187" s="388"/>
      <c r="T187" s="388">
        <v>0.0</v>
      </c>
      <c r="U187" s="389">
        <v>0.0</v>
      </c>
      <c r="V187" s="387">
        <v>24.0</v>
      </c>
      <c r="W187" s="388">
        <v>30.0</v>
      </c>
      <c r="X187" s="388">
        <v>25.0</v>
      </c>
      <c r="Y187" s="388">
        <v>-9.0</v>
      </c>
      <c r="Z187" s="389">
        <v>25.0</v>
      </c>
      <c r="AA187" s="305"/>
      <c r="AB187" s="306"/>
      <c r="AC187" s="306"/>
    </row>
    <row r="188">
      <c r="A188" s="306" t="s">
        <v>1166</v>
      </c>
      <c r="B188" s="306" t="s">
        <v>1167</v>
      </c>
      <c r="C188" s="390">
        <f t="shared" si="1"/>
        <v>0</v>
      </c>
      <c r="D188" s="387">
        <v>44.0</v>
      </c>
      <c r="E188" s="388">
        <v>49.0</v>
      </c>
      <c r="F188" s="388">
        <v>35.0</v>
      </c>
      <c r="G188" s="388">
        <v>36.0</v>
      </c>
      <c r="H188" s="388">
        <v>37.0</v>
      </c>
      <c r="I188" s="388">
        <v>1.0</v>
      </c>
      <c r="J188" s="388">
        <v>1.0</v>
      </c>
      <c r="K188" s="389" t="s">
        <v>299</v>
      </c>
      <c r="L188" s="387">
        <v>4.0</v>
      </c>
      <c r="M188" s="388">
        <v>0.0</v>
      </c>
      <c r="N188" s="388">
        <v>0.0</v>
      </c>
      <c r="O188" s="388">
        <v>0.0</v>
      </c>
      <c r="P188" s="388">
        <v>0.0</v>
      </c>
      <c r="Q188" s="388">
        <v>0.0</v>
      </c>
      <c r="R188" s="388">
        <v>0.0</v>
      </c>
      <c r="S188" s="388"/>
      <c r="T188" s="388">
        <v>0.0</v>
      </c>
      <c r="U188" s="389">
        <v>0.0</v>
      </c>
      <c r="V188" s="387">
        <v>0.0</v>
      </c>
      <c r="W188" s="388">
        <v>0.0</v>
      </c>
      <c r="X188" s="388">
        <v>0.0</v>
      </c>
      <c r="Y188" s="388">
        <v>0.0</v>
      </c>
      <c r="Z188" s="389">
        <v>0.0</v>
      </c>
      <c r="AA188" s="305"/>
      <c r="AB188" s="306"/>
      <c r="AC188" s="306"/>
    </row>
    <row r="189">
      <c r="A189" s="306" t="s">
        <v>1168</v>
      </c>
      <c r="B189" s="306" t="s">
        <v>981</v>
      </c>
      <c r="C189" s="390">
        <f t="shared" si="1"/>
        <v>0</v>
      </c>
      <c r="D189" s="387">
        <v>29.0</v>
      </c>
      <c r="E189" s="388">
        <v>35.0</v>
      </c>
      <c r="F189" s="388">
        <v>22.0</v>
      </c>
      <c r="G189" s="388">
        <v>22.0</v>
      </c>
      <c r="H189" s="388">
        <v>25.0</v>
      </c>
      <c r="I189" s="388">
        <v>1.0</v>
      </c>
      <c r="J189" s="388">
        <v>1.0</v>
      </c>
      <c r="K189" s="389" t="s">
        <v>301</v>
      </c>
      <c r="L189" s="387">
        <v>6.0</v>
      </c>
      <c r="M189" s="388">
        <v>0.0</v>
      </c>
      <c r="N189" s="388">
        <v>0.0</v>
      </c>
      <c r="O189" s="388">
        <v>0.0</v>
      </c>
      <c r="P189" s="388">
        <v>8.0</v>
      </c>
      <c r="Q189" s="388">
        <v>13.0</v>
      </c>
      <c r="R189" s="388">
        <v>0.0</v>
      </c>
      <c r="S189" s="388"/>
      <c r="T189" s="388">
        <v>0.0</v>
      </c>
      <c r="U189" s="389">
        <v>0.0</v>
      </c>
      <c r="V189" s="387">
        <v>12.0</v>
      </c>
      <c r="W189" s="388">
        <v>14.0</v>
      </c>
      <c r="X189" s="388">
        <v>10.0</v>
      </c>
      <c r="Y189" s="388">
        <v>-1.0</v>
      </c>
      <c r="Z189" s="389">
        <v>11.0</v>
      </c>
      <c r="AA189" s="305"/>
      <c r="AB189" s="306"/>
      <c r="AC189" s="306"/>
    </row>
    <row r="190">
      <c r="A190" s="405" t="s">
        <v>1169</v>
      </c>
      <c r="B190" s="405"/>
      <c r="C190" s="406">
        <f t="shared" si="1"/>
        <v>0.15</v>
      </c>
      <c r="D190" s="407">
        <v>115.0</v>
      </c>
      <c r="E190" s="408">
        <v>100.0</v>
      </c>
      <c r="F190" s="408">
        <v>100.0</v>
      </c>
      <c r="G190" s="408">
        <v>100.0</v>
      </c>
      <c r="H190" s="408">
        <v>100.0</v>
      </c>
      <c r="I190" s="408">
        <v>1.0</v>
      </c>
      <c r="J190" s="408">
        <v>1.0</v>
      </c>
      <c r="K190" s="409"/>
      <c r="L190" s="407"/>
      <c r="M190" s="408">
        <v>75.0</v>
      </c>
      <c r="N190" s="408">
        <v>75.0</v>
      </c>
      <c r="O190" s="408">
        <v>75.0</v>
      </c>
      <c r="P190" s="408">
        <v>0.0</v>
      </c>
      <c r="Q190" s="408">
        <v>75.0</v>
      </c>
      <c r="R190" s="408">
        <v>0.0</v>
      </c>
      <c r="S190" s="408"/>
      <c r="T190" s="408">
        <v>0.0</v>
      </c>
      <c r="U190" s="409"/>
      <c r="V190" s="407">
        <v>259.0</v>
      </c>
      <c r="W190" s="408">
        <v>257.0</v>
      </c>
      <c r="X190" s="408">
        <v>241.0</v>
      </c>
      <c r="Y190" s="408">
        <v>-11.0</v>
      </c>
      <c r="Z190" s="409">
        <v>250.0</v>
      </c>
      <c r="AA190" s="410"/>
      <c r="AB190" s="405"/>
      <c r="AC190" s="405"/>
    </row>
    <row r="191">
      <c r="A191" s="306" t="s">
        <v>1170</v>
      </c>
      <c r="B191" s="306" t="s">
        <v>1171</v>
      </c>
      <c r="C191" s="390">
        <f t="shared" si="1"/>
        <v>0</v>
      </c>
      <c r="D191" s="387">
        <v>122.0</v>
      </c>
      <c r="E191" s="388">
        <v>116.0</v>
      </c>
      <c r="F191" s="388">
        <v>105.0</v>
      </c>
      <c r="G191" s="388">
        <v>104.0</v>
      </c>
      <c r="H191" s="388">
        <v>102.0</v>
      </c>
      <c r="I191" s="388">
        <v>1.0</v>
      </c>
      <c r="J191" s="388">
        <v>1.0</v>
      </c>
      <c r="K191" s="389" t="s">
        <v>300</v>
      </c>
      <c r="L191" s="387">
        <v>4.0</v>
      </c>
      <c r="M191" s="388">
        <v>0.0</v>
      </c>
      <c r="N191" s="388">
        <v>0.0</v>
      </c>
      <c r="O191" s="388">
        <v>0.0</v>
      </c>
      <c r="P191" s="388">
        <v>0.0</v>
      </c>
      <c r="Q191" s="388">
        <v>0.0</v>
      </c>
      <c r="R191" s="388">
        <v>0.0</v>
      </c>
      <c r="S191" s="388"/>
      <c r="T191" s="388">
        <v>0.0</v>
      </c>
      <c r="U191" s="389">
        <v>0.0</v>
      </c>
      <c r="V191" s="387">
        <v>0.0</v>
      </c>
      <c r="W191" s="388">
        <v>0.0</v>
      </c>
      <c r="X191" s="388">
        <v>0.0</v>
      </c>
      <c r="Y191" s="388">
        <v>0.0</v>
      </c>
      <c r="Z191" s="389">
        <v>0.0</v>
      </c>
      <c r="AA191" s="305"/>
      <c r="AB191" s="306"/>
      <c r="AC191" s="306"/>
    </row>
    <row r="192">
      <c r="A192" s="319" t="s">
        <v>1172</v>
      </c>
      <c r="B192" s="316" t="s">
        <v>952</v>
      </c>
      <c r="C192" s="412">
        <f t="shared" si="1"/>
        <v>0</v>
      </c>
      <c r="D192" s="422">
        <v>136.0</v>
      </c>
      <c r="E192" s="421">
        <v>150.0</v>
      </c>
      <c r="F192" s="421">
        <v>105.0</v>
      </c>
      <c r="G192" s="421">
        <v>120.0</v>
      </c>
      <c r="H192" s="421">
        <v>102.0</v>
      </c>
      <c r="I192" s="421">
        <v>1.0</v>
      </c>
      <c r="J192" s="421">
        <v>1.0</v>
      </c>
      <c r="K192" s="423" t="s">
        <v>300</v>
      </c>
      <c r="L192" s="422">
        <v>4.0</v>
      </c>
      <c r="M192" s="325"/>
      <c r="N192" s="325"/>
      <c r="O192" s="325"/>
      <c r="P192" s="325"/>
      <c r="Q192" s="325"/>
      <c r="R192" s="325"/>
      <c r="S192" s="325"/>
      <c r="T192" s="325"/>
      <c r="U192" s="326"/>
      <c r="V192" s="329"/>
      <c r="W192" s="325"/>
      <c r="X192" s="325"/>
      <c r="Y192" s="325"/>
      <c r="Z192" s="326"/>
      <c r="AA192" s="305"/>
      <c r="AB192" s="306"/>
      <c r="AC192" s="306"/>
    </row>
    <row r="193">
      <c r="A193" s="306" t="s">
        <v>1173</v>
      </c>
      <c r="B193" s="306" t="s">
        <v>955</v>
      </c>
      <c r="C193" s="390">
        <f t="shared" si="1"/>
        <v>0.025</v>
      </c>
      <c r="D193" s="387">
        <v>69.0</v>
      </c>
      <c r="E193" s="388">
        <v>82.0</v>
      </c>
      <c r="F193" s="388">
        <v>54.0</v>
      </c>
      <c r="G193" s="388">
        <v>55.0</v>
      </c>
      <c r="H193" s="388">
        <v>54.0</v>
      </c>
      <c r="I193" s="388">
        <v>1.0</v>
      </c>
      <c r="J193" s="388">
        <v>1.0</v>
      </c>
      <c r="K193" s="389" t="s">
        <v>301</v>
      </c>
      <c r="L193" s="387">
        <v>5.0</v>
      </c>
      <c r="M193" s="388">
        <v>0.0</v>
      </c>
      <c r="N193" s="388">
        <v>0.0</v>
      </c>
      <c r="O193" s="388">
        <v>0.0</v>
      </c>
      <c r="P193" s="388">
        <v>20.0</v>
      </c>
      <c r="Q193" s="388">
        <v>22.0</v>
      </c>
      <c r="R193" s="388">
        <v>0.0</v>
      </c>
      <c r="S193" s="388"/>
      <c r="T193" s="388">
        <v>0.0</v>
      </c>
      <c r="U193" s="389">
        <v>0.0</v>
      </c>
      <c r="V193" s="387">
        <v>87.0</v>
      </c>
      <c r="W193" s="388">
        <v>84.0</v>
      </c>
      <c r="X193" s="388">
        <v>76.0</v>
      </c>
      <c r="Y193" s="388">
        <v>-10.0</v>
      </c>
      <c r="Z193" s="389">
        <v>79.0</v>
      </c>
      <c r="AA193" s="305"/>
      <c r="AB193" s="306"/>
      <c r="AC193" s="306"/>
    </row>
    <row r="194">
      <c r="A194" s="306" t="s">
        <v>1174</v>
      </c>
      <c r="B194" s="306" t="s">
        <v>1175</v>
      </c>
      <c r="C194" s="390">
        <f t="shared" si="1"/>
        <v>0</v>
      </c>
      <c r="D194" s="387">
        <v>28.0</v>
      </c>
      <c r="E194" s="388">
        <v>35.0</v>
      </c>
      <c r="F194" s="388">
        <v>18.0</v>
      </c>
      <c r="G194" s="388">
        <v>22.0</v>
      </c>
      <c r="H194" s="388">
        <v>26.0</v>
      </c>
      <c r="I194" s="388">
        <v>1.0</v>
      </c>
      <c r="J194" s="388">
        <v>1.0</v>
      </c>
      <c r="K194" s="389" t="s">
        <v>299</v>
      </c>
      <c r="L194" s="387">
        <v>6.0</v>
      </c>
      <c r="M194" s="388">
        <v>0.0</v>
      </c>
      <c r="N194" s="388">
        <v>0.0</v>
      </c>
      <c r="O194" s="388">
        <v>0.0</v>
      </c>
      <c r="P194" s="388">
        <v>18.0</v>
      </c>
      <c r="Q194" s="388">
        <v>16.0</v>
      </c>
      <c r="R194" s="388">
        <v>0.0</v>
      </c>
      <c r="S194" s="388"/>
      <c r="T194" s="388">
        <v>0.0</v>
      </c>
      <c r="U194" s="389">
        <v>0.0</v>
      </c>
      <c r="V194" s="387">
        <v>0.0</v>
      </c>
      <c r="W194" s="388">
        <v>0.0</v>
      </c>
      <c r="X194" s="388">
        <v>0.0</v>
      </c>
      <c r="Y194" s="388">
        <v>0.0</v>
      </c>
      <c r="Z194" s="389">
        <v>0.0</v>
      </c>
      <c r="AA194" s="305"/>
      <c r="AB194" s="306"/>
      <c r="AC194" s="306"/>
    </row>
    <row r="195">
      <c r="A195" s="306" t="s">
        <v>1176</v>
      </c>
      <c r="B195" s="306" t="s">
        <v>1177</v>
      </c>
      <c r="C195" s="390">
        <f t="shared" si="1"/>
        <v>0</v>
      </c>
      <c r="D195" s="387">
        <v>28.0</v>
      </c>
      <c r="E195" s="388">
        <v>29.0</v>
      </c>
      <c r="F195" s="388">
        <v>22.0</v>
      </c>
      <c r="G195" s="388">
        <v>24.0</v>
      </c>
      <c r="H195" s="388">
        <v>24.0</v>
      </c>
      <c r="I195" s="388">
        <v>1.0</v>
      </c>
      <c r="J195" s="388">
        <v>1.0</v>
      </c>
      <c r="K195" s="389" t="s">
        <v>299</v>
      </c>
      <c r="L195" s="387">
        <v>4.0</v>
      </c>
      <c r="M195" s="388">
        <v>0.0</v>
      </c>
      <c r="N195" s="388">
        <v>0.0</v>
      </c>
      <c r="O195" s="388">
        <v>0.0</v>
      </c>
      <c r="P195" s="388">
        <v>0.0</v>
      </c>
      <c r="Q195" s="388">
        <v>0.0</v>
      </c>
      <c r="R195" s="388">
        <v>0.0</v>
      </c>
      <c r="S195" s="388"/>
      <c r="T195" s="388">
        <v>0.0</v>
      </c>
      <c r="U195" s="389">
        <v>0.0</v>
      </c>
      <c r="V195" s="387">
        <v>0.0</v>
      </c>
      <c r="W195" s="388">
        <v>0.0</v>
      </c>
      <c r="X195" s="388">
        <v>0.0</v>
      </c>
      <c r="Y195" s="388">
        <v>0.0</v>
      </c>
      <c r="Z195" s="389">
        <v>0.0</v>
      </c>
      <c r="AA195" s="305"/>
      <c r="AB195" s="306"/>
      <c r="AC195" s="306"/>
    </row>
    <row r="196">
      <c r="A196" s="306" t="s">
        <v>1178</v>
      </c>
      <c r="B196" s="306" t="s">
        <v>1179</v>
      </c>
      <c r="C196" s="390">
        <f t="shared" si="1"/>
        <v>0</v>
      </c>
      <c r="D196" s="387">
        <v>42.0</v>
      </c>
      <c r="E196" s="388">
        <v>49.0</v>
      </c>
      <c r="F196" s="388">
        <v>33.0</v>
      </c>
      <c r="G196" s="388">
        <v>31.0</v>
      </c>
      <c r="H196" s="388">
        <v>36.0</v>
      </c>
      <c r="I196" s="388">
        <v>1.0</v>
      </c>
      <c r="J196" s="388">
        <v>1.0</v>
      </c>
      <c r="K196" s="389" t="s">
        <v>300</v>
      </c>
      <c r="L196" s="387">
        <v>6.0</v>
      </c>
      <c r="M196" s="388">
        <v>0.0</v>
      </c>
      <c r="N196" s="388">
        <v>0.0</v>
      </c>
      <c r="O196" s="388">
        <v>0.0</v>
      </c>
      <c r="P196" s="388">
        <v>8.0</v>
      </c>
      <c r="Q196" s="388">
        <v>10.0</v>
      </c>
      <c r="R196" s="388">
        <v>0.0</v>
      </c>
      <c r="S196" s="388"/>
      <c r="T196" s="388">
        <v>0.0</v>
      </c>
      <c r="U196" s="389">
        <v>0.0</v>
      </c>
      <c r="V196" s="387">
        <v>1.0</v>
      </c>
      <c r="W196" s="388">
        <v>1.0</v>
      </c>
      <c r="X196" s="388">
        <v>0.0</v>
      </c>
      <c r="Y196" s="388">
        <v>0.0</v>
      </c>
      <c r="Z196" s="389">
        <v>0.0</v>
      </c>
      <c r="AA196" s="305"/>
      <c r="AB196" s="306"/>
      <c r="AC196" s="306"/>
    </row>
    <row r="197">
      <c r="A197" s="306" t="s">
        <v>1180</v>
      </c>
      <c r="B197" s="306" t="s">
        <v>943</v>
      </c>
      <c r="C197" s="390">
        <f t="shared" si="1"/>
        <v>0</v>
      </c>
      <c r="D197" s="387">
        <v>19.0</v>
      </c>
      <c r="E197" s="388">
        <v>25.0</v>
      </c>
      <c r="F197" s="388">
        <v>15.0</v>
      </c>
      <c r="G197" s="388">
        <v>10.0</v>
      </c>
      <c r="H197" s="388">
        <v>20.0</v>
      </c>
      <c r="I197" s="388">
        <v>1.0</v>
      </c>
      <c r="J197" s="388">
        <v>1.0</v>
      </c>
      <c r="K197" s="389" t="s">
        <v>299</v>
      </c>
      <c r="L197" s="387">
        <v>4.0</v>
      </c>
      <c r="M197" s="388"/>
      <c r="N197" s="388"/>
      <c r="O197" s="388"/>
      <c r="P197" s="388"/>
      <c r="Q197" s="388"/>
      <c r="R197" s="388"/>
      <c r="S197" s="388"/>
      <c r="T197" s="388"/>
      <c r="U197" s="389"/>
      <c r="V197" s="387">
        <v>0.0</v>
      </c>
      <c r="W197" s="388">
        <v>0.0</v>
      </c>
      <c r="X197" s="388">
        <v>0.0</v>
      </c>
      <c r="Y197" s="388">
        <v>0.0</v>
      </c>
      <c r="Z197" s="389">
        <v>0.0</v>
      </c>
      <c r="AA197" s="305"/>
      <c r="AB197" s="306"/>
      <c r="AC197" s="306"/>
    </row>
    <row r="198">
      <c r="A198" s="306" t="s">
        <v>1181</v>
      </c>
      <c r="B198" s="306" t="s">
        <v>1081</v>
      </c>
      <c r="C198" s="390">
        <f t="shared" si="1"/>
        <v>0.075</v>
      </c>
      <c r="D198" s="387">
        <v>194.0</v>
      </c>
      <c r="E198" s="388">
        <v>300.0</v>
      </c>
      <c r="F198" s="388">
        <v>1.0</v>
      </c>
      <c r="G198" s="388">
        <v>1.0</v>
      </c>
      <c r="H198" s="388">
        <v>100.0</v>
      </c>
      <c r="I198" s="388">
        <v>210.0</v>
      </c>
      <c r="J198" s="388">
        <v>210.0</v>
      </c>
      <c r="K198" s="389"/>
      <c r="L198" s="387"/>
      <c r="M198" s="388"/>
      <c r="N198" s="388"/>
      <c r="O198" s="388"/>
      <c r="P198" s="388"/>
      <c r="Q198" s="388"/>
      <c r="R198" s="388"/>
      <c r="S198" s="388"/>
      <c r="T198" s="388"/>
      <c r="U198" s="389"/>
      <c r="V198" s="387">
        <v>160.0</v>
      </c>
      <c r="W198" s="388">
        <v>160.0</v>
      </c>
      <c r="X198" s="388">
        <v>160.0</v>
      </c>
      <c r="Y198" s="388">
        <v>160.0</v>
      </c>
      <c r="Z198" s="389">
        <v>0.0</v>
      </c>
      <c r="AA198" s="305"/>
      <c r="AB198" s="306"/>
      <c r="AC198" s="306"/>
    </row>
    <row r="199">
      <c r="A199" s="405" t="s">
        <v>1182</v>
      </c>
      <c r="B199" s="405"/>
      <c r="C199" s="406">
        <f t="shared" si="1"/>
        <v>0.075</v>
      </c>
      <c r="D199" s="407">
        <v>120.0</v>
      </c>
      <c r="E199" s="408">
        <v>100.0</v>
      </c>
      <c r="F199" s="408">
        <v>100.0</v>
      </c>
      <c r="G199" s="408">
        <v>100.0</v>
      </c>
      <c r="H199" s="408">
        <v>120.0</v>
      </c>
      <c r="I199" s="408">
        <v>1.0</v>
      </c>
      <c r="J199" s="408">
        <v>1.0</v>
      </c>
      <c r="K199" s="409"/>
      <c r="L199" s="407"/>
      <c r="M199" s="408">
        <v>0.0</v>
      </c>
      <c r="N199" s="408">
        <v>0.0</v>
      </c>
      <c r="O199" s="408">
        <v>0.0</v>
      </c>
      <c r="P199" s="408">
        <v>60.0</v>
      </c>
      <c r="Q199" s="408">
        <v>60.0</v>
      </c>
      <c r="R199" s="408">
        <v>0.0</v>
      </c>
      <c r="S199" s="408"/>
      <c r="T199" s="408">
        <v>0.0</v>
      </c>
      <c r="U199" s="409">
        <v>0.0</v>
      </c>
      <c r="V199" s="407">
        <v>30.0</v>
      </c>
      <c r="W199" s="408">
        <v>60.0</v>
      </c>
      <c r="X199" s="408">
        <v>30.0</v>
      </c>
      <c r="Y199" s="408">
        <v>0.0</v>
      </c>
      <c r="Z199" s="409">
        <v>0.0</v>
      </c>
      <c r="AA199" s="410"/>
      <c r="AB199" s="405"/>
      <c r="AC199" s="405"/>
    </row>
    <row r="200">
      <c r="A200" s="405" t="s">
        <v>1183</v>
      </c>
      <c r="B200" s="405"/>
      <c r="C200" s="406">
        <f t="shared" si="1"/>
        <v>0.075</v>
      </c>
      <c r="D200" s="407">
        <v>121.0</v>
      </c>
      <c r="E200" s="408">
        <v>80.0</v>
      </c>
      <c r="F200" s="408">
        <v>100.0</v>
      </c>
      <c r="G200" s="408">
        <v>120.0</v>
      </c>
      <c r="H200" s="408">
        <v>120.0</v>
      </c>
      <c r="I200" s="408">
        <v>1.0</v>
      </c>
      <c r="J200" s="408">
        <v>1.0</v>
      </c>
      <c r="K200" s="409"/>
      <c r="L200" s="407"/>
      <c r="M200" s="408">
        <v>0.0</v>
      </c>
      <c r="N200" s="408">
        <v>0.0</v>
      </c>
      <c r="O200" s="408">
        <v>0.0</v>
      </c>
      <c r="P200" s="408">
        <v>60.0</v>
      </c>
      <c r="Q200" s="408">
        <v>60.0</v>
      </c>
      <c r="R200" s="408">
        <v>0.0</v>
      </c>
      <c r="S200" s="408"/>
      <c r="T200" s="408">
        <v>0.0</v>
      </c>
      <c r="U200" s="409">
        <v>0.0</v>
      </c>
      <c r="V200" s="407">
        <v>30.0</v>
      </c>
      <c r="W200" s="408">
        <v>60.0</v>
      </c>
      <c r="X200" s="408">
        <v>30.0</v>
      </c>
      <c r="Y200" s="408">
        <v>0.0</v>
      </c>
      <c r="Z200" s="409">
        <v>0.0</v>
      </c>
      <c r="AA200" s="410"/>
      <c r="AB200" s="405"/>
      <c r="AC200" s="405"/>
    </row>
    <row r="201">
      <c r="A201" s="405" t="s">
        <v>1184</v>
      </c>
      <c r="B201" s="405"/>
      <c r="C201" s="406">
        <f t="shared" si="1"/>
        <v>0.075</v>
      </c>
      <c r="D201" s="407">
        <v>123.0</v>
      </c>
      <c r="E201" s="408">
        <v>80.0</v>
      </c>
      <c r="F201" s="408">
        <v>120.0</v>
      </c>
      <c r="G201" s="408">
        <v>120.0</v>
      </c>
      <c r="H201" s="408">
        <v>100.0</v>
      </c>
      <c r="I201" s="408">
        <v>1.0</v>
      </c>
      <c r="J201" s="408">
        <v>1.0</v>
      </c>
      <c r="K201" s="409"/>
      <c r="L201" s="407"/>
      <c r="M201" s="408">
        <v>0.0</v>
      </c>
      <c r="N201" s="408">
        <v>0.0</v>
      </c>
      <c r="O201" s="408">
        <v>0.0</v>
      </c>
      <c r="P201" s="408">
        <v>60.0</v>
      </c>
      <c r="Q201" s="408">
        <v>60.0</v>
      </c>
      <c r="R201" s="408">
        <v>0.0</v>
      </c>
      <c r="S201" s="408"/>
      <c r="T201" s="408">
        <v>0.0</v>
      </c>
      <c r="U201" s="409">
        <v>0.0</v>
      </c>
      <c r="V201" s="407">
        <v>30.0</v>
      </c>
      <c r="W201" s="408">
        <v>60.0</v>
      </c>
      <c r="X201" s="408">
        <v>30.0</v>
      </c>
      <c r="Y201" s="408">
        <v>0.0</v>
      </c>
      <c r="Z201" s="409">
        <v>0.0</v>
      </c>
      <c r="AA201" s="410"/>
      <c r="AB201" s="405"/>
      <c r="AC201" s="405"/>
    </row>
    <row r="202">
      <c r="A202" s="405" t="s">
        <v>1185</v>
      </c>
      <c r="B202" s="405"/>
      <c r="C202" s="406">
        <f t="shared" si="1"/>
        <v>0.075</v>
      </c>
      <c r="D202" s="407">
        <v>124.0</v>
      </c>
      <c r="E202" s="408">
        <v>80.0</v>
      </c>
      <c r="F202" s="408">
        <v>140.0</v>
      </c>
      <c r="G202" s="408">
        <v>120.0</v>
      </c>
      <c r="H202" s="408">
        <v>80.0</v>
      </c>
      <c r="I202" s="408">
        <v>1.0</v>
      </c>
      <c r="J202" s="408">
        <v>1.0</v>
      </c>
      <c r="K202" s="409"/>
      <c r="L202" s="407"/>
      <c r="M202" s="408">
        <v>0.0</v>
      </c>
      <c r="N202" s="408">
        <v>0.0</v>
      </c>
      <c r="O202" s="408">
        <v>0.0</v>
      </c>
      <c r="P202" s="408">
        <v>60.0</v>
      </c>
      <c r="Q202" s="408">
        <v>60.0</v>
      </c>
      <c r="R202" s="408">
        <v>0.0</v>
      </c>
      <c r="S202" s="408"/>
      <c r="T202" s="408">
        <v>0.0</v>
      </c>
      <c r="U202" s="409">
        <v>0.0</v>
      </c>
      <c r="V202" s="407">
        <v>30.0</v>
      </c>
      <c r="W202" s="408">
        <v>60.0</v>
      </c>
      <c r="X202" s="408">
        <v>30.0</v>
      </c>
      <c r="Y202" s="408">
        <v>0.0</v>
      </c>
      <c r="Z202" s="409">
        <v>0.0</v>
      </c>
      <c r="AA202" s="410"/>
      <c r="AB202" s="405"/>
      <c r="AC202" s="405"/>
    </row>
    <row r="203">
      <c r="A203" s="405" t="s">
        <v>1186</v>
      </c>
      <c r="B203" s="405"/>
      <c r="C203" s="406">
        <f t="shared" si="1"/>
        <v>0.075</v>
      </c>
      <c r="D203" s="407">
        <v>122.0</v>
      </c>
      <c r="E203" s="408">
        <v>150.0</v>
      </c>
      <c r="F203" s="408">
        <v>100.0</v>
      </c>
      <c r="G203" s="408">
        <v>100.0</v>
      </c>
      <c r="H203" s="408">
        <v>80.0</v>
      </c>
      <c r="I203" s="408">
        <v>1.0</v>
      </c>
      <c r="J203" s="408">
        <v>1.0</v>
      </c>
      <c r="K203" s="409"/>
      <c r="L203" s="407"/>
      <c r="M203" s="408">
        <v>0.0</v>
      </c>
      <c r="N203" s="408">
        <v>0.0</v>
      </c>
      <c r="O203" s="408">
        <v>0.0</v>
      </c>
      <c r="P203" s="408">
        <v>60.0</v>
      </c>
      <c r="Q203" s="408">
        <v>60.0</v>
      </c>
      <c r="R203" s="408">
        <v>0.0</v>
      </c>
      <c r="S203" s="408"/>
      <c r="T203" s="408">
        <v>0.0</v>
      </c>
      <c r="U203" s="409"/>
      <c r="V203" s="407">
        <v>45.0</v>
      </c>
      <c r="W203" s="408">
        <v>45.0</v>
      </c>
      <c r="X203" s="408">
        <v>45.0</v>
      </c>
      <c r="Y203" s="408">
        <v>2000.0</v>
      </c>
      <c r="Z203" s="409">
        <v>2000.0</v>
      </c>
      <c r="AA203" s="410"/>
      <c r="AB203" s="405"/>
      <c r="AC203" s="405"/>
    </row>
    <row r="204">
      <c r="A204" s="405" t="s">
        <v>1187</v>
      </c>
      <c r="B204" s="405"/>
      <c r="C204" s="406">
        <f t="shared" si="1"/>
        <v>0.125</v>
      </c>
      <c r="D204" s="407">
        <v>213.0</v>
      </c>
      <c r="E204" s="408">
        <v>255.0</v>
      </c>
      <c r="F204" s="408">
        <v>200.0</v>
      </c>
      <c r="G204" s="408">
        <v>200.0</v>
      </c>
      <c r="H204" s="408">
        <v>80.0</v>
      </c>
      <c r="I204" s="408">
        <v>1.0</v>
      </c>
      <c r="J204" s="408">
        <v>1.0</v>
      </c>
      <c r="K204" s="409"/>
      <c r="L204" s="407"/>
      <c r="M204" s="408">
        <v>0.0</v>
      </c>
      <c r="N204" s="408">
        <v>0.0</v>
      </c>
      <c r="O204" s="408">
        <v>0.0</v>
      </c>
      <c r="P204" s="408">
        <v>60.0</v>
      </c>
      <c r="Q204" s="408">
        <v>60.0</v>
      </c>
      <c r="R204" s="408">
        <v>0.0</v>
      </c>
      <c r="S204" s="408"/>
      <c r="T204" s="408">
        <v>0.0</v>
      </c>
      <c r="U204" s="409"/>
      <c r="V204" s="407">
        <v>45.0</v>
      </c>
      <c r="W204" s="408">
        <v>45.0</v>
      </c>
      <c r="X204" s="408">
        <v>45.0</v>
      </c>
      <c r="Y204" s="408">
        <v>2000.0</v>
      </c>
      <c r="Z204" s="409">
        <v>2000.0</v>
      </c>
      <c r="AA204" s="410"/>
      <c r="AB204" s="405"/>
      <c r="AC204" s="405"/>
    </row>
    <row r="205">
      <c r="A205" s="306" t="s">
        <v>1188</v>
      </c>
      <c r="B205" s="417" t="s">
        <v>1189</v>
      </c>
      <c r="C205" s="390">
        <f t="shared" si="1"/>
        <v>0</v>
      </c>
      <c r="D205" s="387">
        <v>53.0</v>
      </c>
      <c r="E205" s="388">
        <v>70.0</v>
      </c>
      <c r="F205" s="388">
        <v>40.0</v>
      </c>
      <c r="G205" s="388">
        <v>40.0</v>
      </c>
      <c r="H205" s="388">
        <v>40.0</v>
      </c>
      <c r="I205" s="388">
        <v>1.0</v>
      </c>
      <c r="J205" s="388">
        <v>1.0</v>
      </c>
      <c r="K205" s="389" t="s">
        <v>301</v>
      </c>
      <c r="L205" s="387">
        <v>5.0</v>
      </c>
      <c r="M205" s="388">
        <v>0.0</v>
      </c>
      <c r="N205" s="388">
        <v>0.0</v>
      </c>
      <c r="O205" s="388">
        <v>0.0</v>
      </c>
      <c r="P205" s="388">
        <v>29.0</v>
      </c>
      <c r="Q205" s="388">
        <v>31.0</v>
      </c>
      <c r="R205" s="388">
        <v>0.0</v>
      </c>
      <c r="S205" s="388"/>
      <c r="T205" s="388">
        <v>0.0</v>
      </c>
      <c r="U205" s="389">
        <v>0.0</v>
      </c>
      <c r="V205" s="387">
        <v>0.0</v>
      </c>
      <c r="W205" s="388">
        <v>3.0</v>
      </c>
      <c r="X205" s="388">
        <v>2.0</v>
      </c>
      <c r="Y205" s="388">
        <v>0.0</v>
      </c>
      <c r="Z205" s="389">
        <v>0.0</v>
      </c>
      <c r="AA205" s="305"/>
      <c r="AB205" s="306"/>
      <c r="AC205" s="306"/>
    </row>
    <row r="206">
      <c r="A206" s="319" t="s">
        <v>1190</v>
      </c>
      <c r="B206" s="411" t="s">
        <v>952</v>
      </c>
      <c r="C206" s="412">
        <f t="shared" si="1"/>
        <v>0</v>
      </c>
      <c r="D206" s="413">
        <v>67.0</v>
      </c>
      <c r="E206" s="414">
        <v>100.0</v>
      </c>
      <c r="F206" s="414">
        <v>40.0</v>
      </c>
      <c r="G206" s="414">
        <v>60.0</v>
      </c>
      <c r="H206" s="414">
        <v>40.0</v>
      </c>
      <c r="I206" s="414">
        <v>1.0</v>
      </c>
      <c r="J206" s="414">
        <v>1.0</v>
      </c>
      <c r="K206" s="415" t="s">
        <v>301</v>
      </c>
      <c r="L206" s="413">
        <v>5.0</v>
      </c>
      <c r="M206" s="178"/>
      <c r="N206" s="178"/>
      <c r="O206" s="178"/>
      <c r="P206" s="414">
        <v>29.0</v>
      </c>
      <c r="Q206" s="414">
        <v>31.0</v>
      </c>
      <c r="R206" s="178"/>
      <c r="S206" s="178"/>
      <c r="T206" s="178"/>
      <c r="U206" s="416"/>
      <c r="V206" s="413">
        <v>0.0</v>
      </c>
      <c r="W206" s="414">
        <v>3.0</v>
      </c>
      <c r="X206" s="414">
        <v>2.0</v>
      </c>
      <c r="Y206" s="414">
        <v>0.0</v>
      </c>
      <c r="Z206" s="415">
        <v>0.0</v>
      </c>
      <c r="AA206" s="394"/>
      <c r="AB206" s="395"/>
      <c r="AC206" s="395"/>
    </row>
    <row r="207">
      <c r="A207" s="306" t="s">
        <v>1191</v>
      </c>
      <c r="B207" s="417" t="s">
        <v>943</v>
      </c>
      <c r="C207" s="390">
        <f t="shared" si="1"/>
        <v>0</v>
      </c>
      <c r="D207" s="387">
        <v>61.0</v>
      </c>
      <c r="E207" s="388">
        <v>52.0</v>
      </c>
      <c r="F207" s="388">
        <v>50.0</v>
      </c>
      <c r="G207" s="388">
        <v>55.0</v>
      </c>
      <c r="H207" s="388">
        <v>43.0</v>
      </c>
      <c r="I207" s="388">
        <v>1.0</v>
      </c>
      <c r="J207" s="388">
        <v>1.0</v>
      </c>
      <c r="K207" s="389" t="s">
        <v>299</v>
      </c>
      <c r="L207" s="387">
        <v>4.0</v>
      </c>
      <c r="M207" s="388"/>
      <c r="N207" s="388"/>
      <c r="O207" s="388"/>
      <c r="P207" s="388"/>
      <c r="Q207" s="388"/>
      <c r="R207" s="388"/>
      <c r="S207" s="388"/>
      <c r="T207" s="388"/>
      <c r="U207" s="389"/>
      <c r="V207" s="387">
        <v>20.0</v>
      </c>
      <c r="W207" s="388">
        <v>17.0</v>
      </c>
      <c r="X207" s="388">
        <v>12.0</v>
      </c>
      <c r="Y207" s="388">
        <v>13.0</v>
      </c>
      <c r="Z207" s="389">
        <v>13.0</v>
      </c>
      <c r="AA207" s="305"/>
      <c r="AB207" s="306"/>
      <c r="AC207" s="306"/>
    </row>
    <row r="208">
      <c r="A208" s="306" t="s">
        <v>1192</v>
      </c>
      <c r="B208" s="417" t="s">
        <v>1189</v>
      </c>
      <c r="C208" s="390">
        <f t="shared" si="1"/>
        <v>0</v>
      </c>
      <c r="D208" s="387">
        <v>57.0</v>
      </c>
      <c r="E208" s="388">
        <v>59.0</v>
      </c>
      <c r="F208" s="388">
        <v>47.0</v>
      </c>
      <c r="G208" s="388">
        <v>47.0</v>
      </c>
      <c r="H208" s="388">
        <v>47.0</v>
      </c>
      <c r="I208" s="388">
        <v>1.0</v>
      </c>
      <c r="J208" s="388">
        <v>1.0</v>
      </c>
      <c r="K208" s="389" t="s">
        <v>301</v>
      </c>
      <c r="L208" s="387">
        <v>4.0</v>
      </c>
      <c r="M208" s="388">
        <v>0.0</v>
      </c>
      <c r="N208" s="388">
        <v>0.0</v>
      </c>
      <c r="O208" s="388">
        <v>0.0</v>
      </c>
      <c r="P208" s="388">
        <v>0.0</v>
      </c>
      <c r="Q208" s="388">
        <v>0.0</v>
      </c>
      <c r="R208" s="388">
        <v>0.0</v>
      </c>
      <c r="S208" s="388"/>
      <c r="T208" s="388">
        <v>0.0</v>
      </c>
      <c r="U208" s="389">
        <v>0.0</v>
      </c>
      <c r="V208" s="387">
        <v>30.0</v>
      </c>
      <c r="W208" s="388">
        <v>40.0</v>
      </c>
      <c r="X208" s="388">
        <v>20.0</v>
      </c>
      <c r="Y208" s="388">
        <v>10.0</v>
      </c>
      <c r="Z208" s="389">
        <v>30.0</v>
      </c>
      <c r="AA208" s="305"/>
      <c r="AB208" s="306"/>
      <c r="AC208" s="306"/>
    </row>
    <row r="209">
      <c r="A209" s="306" t="s">
        <v>1193</v>
      </c>
      <c r="B209" s="306" t="s">
        <v>1006</v>
      </c>
      <c r="C209" s="390">
        <f t="shared" si="1"/>
        <v>0</v>
      </c>
      <c r="D209" s="387">
        <v>13.0</v>
      </c>
      <c r="E209" s="388">
        <v>15.0</v>
      </c>
      <c r="F209" s="388">
        <v>10.0</v>
      </c>
      <c r="G209" s="388">
        <v>10.0</v>
      </c>
      <c r="H209" s="388">
        <v>12.0</v>
      </c>
      <c r="I209" s="388">
        <v>1.0</v>
      </c>
      <c r="J209" s="388">
        <v>1.0</v>
      </c>
      <c r="K209" s="389" t="s">
        <v>305</v>
      </c>
      <c r="L209" s="387">
        <v>4.0</v>
      </c>
      <c r="M209" s="388">
        <v>0.0</v>
      </c>
      <c r="N209" s="388">
        <v>0.0</v>
      </c>
      <c r="O209" s="388">
        <v>0.0</v>
      </c>
      <c r="P209" s="388">
        <v>0.0</v>
      </c>
      <c r="Q209" s="388">
        <v>0.0</v>
      </c>
      <c r="R209" s="388">
        <v>0.0</v>
      </c>
      <c r="S209" s="388"/>
      <c r="T209" s="388">
        <v>0.0</v>
      </c>
      <c r="U209" s="389">
        <v>0.0</v>
      </c>
      <c r="V209" s="387">
        <v>0.0</v>
      </c>
      <c r="W209" s="388">
        <v>0.0</v>
      </c>
      <c r="X209" s="388">
        <v>0.0</v>
      </c>
      <c r="Y209" s="388">
        <v>0.0</v>
      </c>
      <c r="Z209" s="389">
        <v>0.0</v>
      </c>
      <c r="AA209" s="305"/>
      <c r="AB209" s="306"/>
      <c r="AC209" s="306"/>
    </row>
    <row r="210">
      <c r="A210" s="306" t="s">
        <v>1194</v>
      </c>
      <c r="B210" s="417"/>
      <c r="C210" s="390">
        <f t="shared" si="1"/>
        <v>0</v>
      </c>
      <c r="D210" s="387">
        <v>2.0</v>
      </c>
      <c r="E210" s="388">
        <v>8.0</v>
      </c>
      <c r="F210" s="388">
        <v>1.0</v>
      </c>
      <c r="G210" s="388">
        <v>1.0</v>
      </c>
      <c r="H210" s="388">
        <v>1.0</v>
      </c>
      <c r="I210" s="388">
        <v>1.0</v>
      </c>
      <c r="J210" s="388">
        <v>1.0</v>
      </c>
      <c r="K210" s="389" t="s">
        <v>300</v>
      </c>
      <c r="L210" s="387">
        <v>4.0</v>
      </c>
      <c r="M210" s="388">
        <v>0.0</v>
      </c>
      <c r="N210" s="388">
        <v>0.0</v>
      </c>
      <c r="O210" s="388">
        <v>0.0</v>
      </c>
      <c r="P210" s="388">
        <v>0.0</v>
      </c>
      <c r="Q210" s="388">
        <v>0.0</v>
      </c>
      <c r="R210" s="388">
        <v>0.0</v>
      </c>
      <c r="S210" s="388"/>
      <c r="T210" s="388">
        <v>0.0</v>
      </c>
      <c r="U210" s="389">
        <v>0.0</v>
      </c>
      <c r="V210" s="387">
        <v>-42.0</v>
      </c>
      <c r="W210" s="388">
        <v>-42.0</v>
      </c>
      <c r="X210" s="388">
        <v>-42.0</v>
      </c>
      <c r="Y210" s="388">
        <v>-42.0</v>
      </c>
      <c r="Z210" s="389">
        <v>-42.0</v>
      </c>
      <c r="AA210" s="305"/>
      <c r="AB210" s="306"/>
      <c r="AC210" s="306"/>
    </row>
    <row r="211">
      <c r="A211" s="306" t="s">
        <v>1195</v>
      </c>
      <c r="B211" s="417" t="s">
        <v>979</v>
      </c>
      <c r="C211" s="390">
        <f t="shared" si="1"/>
        <v>0</v>
      </c>
      <c r="D211" s="387">
        <v>66.0</v>
      </c>
      <c r="E211" s="388">
        <v>60.0</v>
      </c>
      <c r="F211" s="388">
        <v>1.0</v>
      </c>
      <c r="G211" s="388">
        <v>1.0</v>
      </c>
      <c r="H211" s="388">
        <v>60.0</v>
      </c>
      <c r="I211" s="388">
        <v>75.0</v>
      </c>
      <c r="J211" s="388">
        <v>1.0</v>
      </c>
      <c r="K211" s="389" t="s">
        <v>299</v>
      </c>
      <c r="L211" s="387">
        <v>4.0</v>
      </c>
      <c r="M211" s="388">
        <v>0.0</v>
      </c>
      <c r="N211" s="388">
        <v>0.0</v>
      </c>
      <c r="O211" s="388">
        <v>0.0</v>
      </c>
      <c r="P211" s="388">
        <v>0.0</v>
      </c>
      <c r="Q211" s="388">
        <v>0.0</v>
      </c>
      <c r="R211" s="388">
        <v>0.0</v>
      </c>
      <c r="S211" s="388"/>
      <c r="T211" s="388">
        <v>0.0</v>
      </c>
      <c r="U211" s="389">
        <v>0.0</v>
      </c>
      <c r="V211" s="387">
        <v>0.0</v>
      </c>
      <c r="W211" s="388">
        <v>0.0</v>
      </c>
      <c r="X211" s="388">
        <v>0.0</v>
      </c>
      <c r="Y211" s="388">
        <v>40.0</v>
      </c>
      <c r="Z211" s="389">
        <v>0.0</v>
      </c>
      <c r="AA211" s="305"/>
      <c r="AB211" s="306"/>
      <c r="AC211" s="306"/>
    </row>
    <row r="212">
      <c r="A212" s="306" t="s">
        <v>1196</v>
      </c>
      <c r="B212" s="306" t="s">
        <v>969</v>
      </c>
      <c r="C212" s="390">
        <f t="shared" si="1"/>
        <v>0.05</v>
      </c>
      <c r="D212" s="387">
        <v>189.0</v>
      </c>
      <c r="E212" s="388">
        <v>165.0</v>
      </c>
      <c r="F212" s="388">
        <v>165.0</v>
      </c>
      <c r="G212" s="388">
        <v>165.0</v>
      </c>
      <c r="H212" s="388">
        <v>165.0</v>
      </c>
      <c r="I212" s="388">
        <v>100.0</v>
      </c>
      <c r="J212" s="388">
        <v>1.0</v>
      </c>
      <c r="K212" s="389" t="s">
        <v>301</v>
      </c>
      <c r="L212" s="387">
        <v>4.0</v>
      </c>
      <c r="M212" s="388">
        <v>0.0</v>
      </c>
      <c r="N212" s="388">
        <v>0.0</v>
      </c>
      <c r="O212" s="388">
        <v>0.0</v>
      </c>
      <c r="P212" s="388">
        <v>0.0</v>
      </c>
      <c r="Q212" s="388">
        <v>0.0</v>
      </c>
      <c r="R212" s="388">
        <v>0.0</v>
      </c>
      <c r="S212" s="388"/>
      <c r="T212" s="388">
        <v>0.0</v>
      </c>
      <c r="U212" s="389">
        <v>0.0</v>
      </c>
      <c r="V212" s="387">
        <v>50.0</v>
      </c>
      <c r="W212" s="388">
        <v>70.0</v>
      </c>
      <c r="X212" s="388">
        <v>70.0</v>
      </c>
      <c r="Y212" s="388">
        <v>30.0</v>
      </c>
      <c r="Z212" s="389">
        <v>90.0</v>
      </c>
      <c r="AA212" s="305"/>
      <c r="AB212" s="306" t="s">
        <v>936</v>
      </c>
      <c r="AC212" s="306"/>
    </row>
    <row r="213">
      <c r="A213" s="306" t="s">
        <v>1197</v>
      </c>
      <c r="B213" s="417" t="s">
        <v>954</v>
      </c>
      <c r="C213" s="390">
        <f t="shared" si="1"/>
        <v>0.05</v>
      </c>
      <c r="D213" s="387">
        <v>215.0</v>
      </c>
      <c r="E213" s="388">
        <v>195.0</v>
      </c>
      <c r="F213" s="388">
        <v>185.0</v>
      </c>
      <c r="G213" s="388">
        <v>185.0</v>
      </c>
      <c r="H213" s="388">
        <v>185.0</v>
      </c>
      <c r="I213" s="388">
        <v>120.0</v>
      </c>
      <c r="J213" s="388">
        <v>1.0</v>
      </c>
      <c r="K213" s="389" t="s">
        <v>301</v>
      </c>
      <c r="L213" s="387">
        <v>4.0</v>
      </c>
      <c r="M213" s="388">
        <v>0.0</v>
      </c>
      <c r="N213" s="388">
        <v>0.0</v>
      </c>
      <c r="O213" s="388">
        <v>0.0</v>
      </c>
      <c r="P213" s="388">
        <v>0.0</v>
      </c>
      <c r="Q213" s="388">
        <v>0.0</v>
      </c>
      <c r="R213" s="388">
        <v>0.0</v>
      </c>
      <c r="S213" s="388"/>
      <c r="T213" s="388">
        <v>0.0</v>
      </c>
      <c r="U213" s="389">
        <v>0.0</v>
      </c>
      <c r="V213" s="387">
        <v>50.0</v>
      </c>
      <c r="W213" s="388">
        <v>70.0</v>
      </c>
      <c r="X213" s="388">
        <v>70.0</v>
      </c>
      <c r="Y213" s="388">
        <v>30.0</v>
      </c>
      <c r="Z213" s="389">
        <v>90.0</v>
      </c>
      <c r="AA213" s="305"/>
      <c r="AB213" s="306" t="s">
        <v>936</v>
      </c>
      <c r="AC213" s="306"/>
    </row>
    <row r="214">
      <c r="A214" s="306" t="s">
        <v>1198</v>
      </c>
      <c r="B214" s="417" t="s">
        <v>971</v>
      </c>
      <c r="C214" s="390">
        <f t="shared" si="1"/>
        <v>0</v>
      </c>
      <c r="D214" s="387">
        <v>47.0</v>
      </c>
      <c r="E214" s="388">
        <v>47.0</v>
      </c>
      <c r="F214" s="388">
        <v>40.0</v>
      </c>
      <c r="G214" s="388">
        <v>40.0</v>
      </c>
      <c r="H214" s="388">
        <v>40.0</v>
      </c>
      <c r="I214" s="388">
        <v>1.0</v>
      </c>
      <c r="J214" s="388">
        <v>1.0</v>
      </c>
      <c r="K214" s="389" t="s">
        <v>299</v>
      </c>
      <c r="L214" s="387">
        <v>4.0</v>
      </c>
      <c r="M214" s="388">
        <v>0.0</v>
      </c>
      <c r="N214" s="388">
        <v>0.0</v>
      </c>
      <c r="O214" s="388">
        <v>0.0</v>
      </c>
      <c r="P214" s="388">
        <v>0.0</v>
      </c>
      <c r="Q214" s="388">
        <v>0.0</v>
      </c>
      <c r="R214" s="388">
        <v>0.0</v>
      </c>
      <c r="S214" s="388"/>
      <c r="T214" s="388">
        <v>0.0</v>
      </c>
      <c r="U214" s="389">
        <v>0.0</v>
      </c>
      <c r="V214" s="387">
        <v>79.0</v>
      </c>
      <c r="W214" s="388">
        <v>63.0</v>
      </c>
      <c r="X214" s="388">
        <v>47.0</v>
      </c>
      <c r="Y214" s="388">
        <v>0.0</v>
      </c>
      <c r="Z214" s="389">
        <v>0.0</v>
      </c>
      <c r="AA214" s="305"/>
      <c r="AB214" s="306"/>
      <c r="AC214" s="306"/>
    </row>
    <row r="215">
      <c r="A215" s="306" t="s">
        <v>1199</v>
      </c>
      <c r="B215" s="417" t="s">
        <v>1200</v>
      </c>
      <c r="C215" s="390">
        <f t="shared" si="1"/>
        <v>0.025</v>
      </c>
      <c r="D215" s="387">
        <v>165.0</v>
      </c>
      <c r="E215" s="388">
        <v>40.0</v>
      </c>
      <c r="F215" s="388">
        <v>160.0</v>
      </c>
      <c r="G215" s="388">
        <v>160.0</v>
      </c>
      <c r="H215" s="388">
        <v>95.0</v>
      </c>
      <c r="I215" s="388">
        <v>160.0</v>
      </c>
      <c r="J215" s="388">
        <v>160.0</v>
      </c>
      <c r="K215" s="389" t="s">
        <v>299</v>
      </c>
      <c r="L215" s="387">
        <v>6.0</v>
      </c>
      <c r="M215" s="388">
        <v>45.0</v>
      </c>
      <c r="N215" s="388">
        <v>45.0</v>
      </c>
      <c r="O215" s="388">
        <v>45.0</v>
      </c>
      <c r="P215" s="388"/>
      <c r="Q215" s="388">
        <v>45.0</v>
      </c>
      <c r="R215" s="388">
        <v>45.0</v>
      </c>
      <c r="S215" s="388">
        <v>45.0</v>
      </c>
      <c r="T215" s="388">
        <v>45.0</v>
      </c>
      <c r="U215" s="389">
        <v>45.0</v>
      </c>
      <c r="V215" s="387">
        <v>25.0</v>
      </c>
      <c r="W215" s="388">
        <v>25.0</v>
      </c>
      <c r="X215" s="388">
        <v>25.0</v>
      </c>
      <c r="Y215" s="388">
        <v>25.0</v>
      </c>
      <c r="Z215" s="389">
        <v>25.0</v>
      </c>
      <c r="AA215" s="305"/>
      <c r="AB215" s="306"/>
      <c r="AC215" s="306"/>
    </row>
    <row r="216">
      <c r="A216" s="306" t="s">
        <v>1201</v>
      </c>
      <c r="B216" s="417" t="s">
        <v>1200</v>
      </c>
      <c r="C216" s="390">
        <f t="shared" si="1"/>
        <v>0</v>
      </c>
      <c r="D216" s="387">
        <v>70.0</v>
      </c>
      <c r="E216" s="388">
        <v>15.0</v>
      </c>
      <c r="F216" s="388">
        <v>1.0</v>
      </c>
      <c r="G216" s="388">
        <v>1.0</v>
      </c>
      <c r="H216" s="388">
        <v>95.0</v>
      </c>
      <c r="I216" s="388">
        <v>1.0</v>
      </c>
      <c r="J216" s="388">
        <v>120.0</v>
      </c>
      <c r="K216" s="389" t="s">
        <v>299</v>
      </c>
      <c r="L216" s="387">
        <v>4.0</v>
      </c>
      <c r="M216" s="388"/>
      <c r="N216" s="388"/>
      <c r="O216" s="388"/>
      <c r="P216" s="388"/>
      <c r="Q216" s="388"/>
      <c r="R216" s="388"/>
      <c r="S216" s="388"/>
      <c r="T216" s="388">
        <v>25.0</v>
      </c>
      <c r="U216" s="389">
        <v>25.0</v>
      </c>
      <c r="V216" s="387">
        <v>0.0</v>
      </c>
      <c r="W216" s="388">
        <v>0.0</v>
      </c>
      <c r="X216" s="388">
        <v>0.0</v>
      </c>
      <c r="Y216" s="388">
        <v>0.0</v>
      </c>
      <c r="Z216" s="389">
        <v>25.0</v>
      </c>
      <c r="AA216" s="305"/>
      <c r="AB216" s="306"/>
      <c r="AC216" s="306"/>
    </row>
    <row r="217">
      <c r="A217" s="306" t="s">
        <v>1202</v>
      </c>
      <c r="B217" s="417" t="s">
        <v>1200</v>
      </c>
      <c r="C217" s="390">
        <f t="shared" si="1"/>
        <v>0</v>
      </c>
      <c r="D217" s="387">
        <v>70.0</v>
      </c>
      <c r="E217" s="388">
        <v>15.0</v>
      </c>
      <c r="F217" s="388">
        <v>1.0</v>
      </c>
      <c r="G217" s="388">
        <v>1.0</v>
      </c>
      <c r="H217" s="388">
        <v>95.0</v>
      </c>
      <c r="I217" s="388">
        <v>120.0</v>
      </c>
      <c r="J217" s="388">
        <v>1.0</v>
      </c>
      <c r="K217" s="389" t="s">
        <v>299</v>
      </c>
      <c r="L217" s="387">
        <v>4.0</v>
      </c>
      <c r="M217" s="388"/>
      <c r="N217" s="388"/>
      <c r="O217" s="388"/>
      <c r="P217" s="388"/>
      <c r="Q217" s="388"/>
      <c r="R217" s="388">
        <v>25.0</v>
      </c>
      <c r="S217" s="388">
        <v>25.0</v>
      </c>
      <c r="T217" s="388"/>
      <c r="U217" s="389"/>
      <c r="V217" s="387">
        <v>0.0</v>
      </c>
      <c r="W217" s="388">
        <v>0.0</v>
      </c>
      <c r="X217" s="388">
        <v>0.0</v>
      </c>
      <c r="Y217" s="388">
        <v>25.0</v>
      </c>
      <c r="Z217" s="389">
        <v>0.0</v>
      </c>
      <c r="AA217" s="305"/>
      <c r="AB217" s="306"/>
      <c r="AC217" s="306"/>
    </row>
    <row r="218">
      <c r="A218" s="405" t="s">
        <v>1203</v>
      </c>
      <c r="B218" s="428" t="s">
        <v>1200</v>
      </c>
      <c r="C218" s="406">
        <f t="shared" si="1"/>
        <v>0</v>
      </c>
      <c r="D218" s="407">
        <v>70.0</v>
      </c>
      <c r="E218" s="408">
        <v>15.0</v>
      </c>
      <c r="F218" s="408">
        <v>120.0</v>
      </c>
      <c r="G218" s="408">
        <v>120.0</v>
      </c>
      <c r="H218" s="408">
        <v>95.0</v>
      </c>
      <c r="I218" s="408">
        <v>1.0</v>
      </c>
      <c r="J218" s="408">
        <v>1.0</v>
      </c>
      <c r="K218" s="409" t="s">
        <v>299</v>
      </c>
      <c r="L218" s="407">
        <v>4.0</v>
      </c>
      <c r="M218" s="408">
        <v>25.0</v>
      </c>
      <c r="N218" s="408">
        <v>25.0</v>
      </c>
      <c r="O218" s="408">
        <v>25.0</v>
      </c>
      <c r="P218" s="408"/>
      <c r="Q218" s="408">
        <v>25.0</v>
      </c>
      <c r="R218" s="408"/>
      <c r="S218" s="408"/>
      <c r="T218" s="408"/>
      <c r="U218" s="409"/>
      <c r="V218" s="407">
        <v>25.0</v>
      </c>
      <c r="W218" s="408">
        <v>25.0</v>
      </c>
      <c r="X218" s="408">
        <v>25.0</v>
      </c>
      <c r="Y218" s="408">
        <v>0.0</v>
      </c>
      <c r="Z218" s="409">
        <v>0.0</v>
      </c>
      <c r="AA218" s="410"/>
      <c r="AB218" s="405"/>
      <c r="AC218" s="405"/>
    </row>
    <row r="219">
      <c r="A219" s="405" t="s">
        <v>1204</v>
      </c>
      <c r="B219" s="428" t="s">
        <v>1200</v>
      </c>
      <c r="C219" s="406">
        <f t="shared" si="1"/>
        <v>0</v>
      </c>
      <c r="D219" s="407">
        <v>240.0</v>
      </c>
      <c r="E219" s="408">
        <v>75.0</v>
      </c>
      <c r="F219" s="408">
        <v>210.0</v>
      </c>
      <c r="G219" s="408">
        <v>290.0</v>
      </c>
      <c r="H219" s="408">
        <v>120.0</v>
      </c>
      <c r="I219" s="408">
        <v>120.0</v>
      </c>
      <c r="J219" s="408">
        <v>220.0</v>
      </c>
      <c r="K219" s="409" t="s">
        <v>301</v>
      </c>
      <c r="L219" s="407"/>
      <c r="M219" s="408"/>
      <c r="N219" s="408"/>
      <c r="O219" s="408"/>
      <c r="P219" s="408"/>
      <c r="Q219" s="408"/>
      <c r="R219" s="408"/>
      <c r="S219" s="408"/>
      <c r="T219" s="408"/>
      <c r="U219" s="409"/>
      <c r="V219" s="407"/>
      <c r="W219" s="408"/>
      <c r="X219" s="408"/>
      <c r="Y219" s="408"/>
      <c r="Z219" s="409"/>
      <c r="AA219" s="410"/>
      <c r="AB219" s="405"/>
      <c r="AC219" s="405"/>
    </row>
    <row r="220">
      <c r="A220" s="306" t="s">
        <v>1205</v>
      </c>
      <c r="B220" s="417" t="s">
        <v>1200</v>
      </c>
      <c r="C220" s="390">
        <f t="shared" si="1"/>
        <v>0</v>
      </c>
      <c r="D220" s="422">
        <v>250.0</v>
      </c>
      <c r="E220" s="421">
        <v>80.0</v>
      </c>
      <c r="F220" s="421">
        <v>1.0</v>
      </c>
      <c r="G220" s="421">
        <v>1.0</v>
      </c>
      <c r="H220" s="421">
        <v>100.0</v>
      </c>
      <c r="I220" s="421">
        <v>1.0</v>
      </c>
      <c r="J220" s="421">
        <v>1.0</v>
      </c>
      <c r="K220" s="423" t="s">
        <v>299</v>
      </c>
      <c r="L220" s="422">
        <v>3.0</v>
      </c>
      <c r="M220" s="316"/>
      <c r="N220" s="316"/>
      <c r="O220" s="316"/>
      <c r="P220" s="316"/>
      <c r="Q220" s="316"/>
      <c r="R220" s="316"/>
      <c r="S220" s="316"/>
      <c r="T220" s="316"/>
      <c r="U220" s="317"/>
      <c r="V220" s="422">
        <v>0.0</v>
      </c>
      <c r="W220" s="421">
        <v>0.0</v>
      </c>
      <c r="X220" s="421">
        <v>0.0</v>
      </c>
      <c r="Y220" s="421">
        <v>0.0</v>
      </c>
      <c r="Z220" s="423">
        <v>0.0</v>
      </c>
      <c r="AA220" s="305"/>
      <c r="AB220" s="306"/>
      <c r="AC220" s="306"/>
    </row>
    <row r="221">
      <c r="A221" s="306" t="s">
        <v>1206</v>
      </c>
      <c r="B221" s="417" t="s">
        <v>1200</v>
      </c>
      <c r="C221" s="390">
        <f t="shared" si="1"/>
        <v>0</v>
      </c>
      <c r="D221" s="387">
        <v>85.0</v>
      </c>
      <c r="E221" s="388">
        <v>25.0</v>
      </c>
      <c r="F221" s="388">
        <v>0.0</v>
      </c>
      <c r="G221" s="388">
        <v>0.0</v>
      </c>
      <c r="H221" s="388">
        <v>55.0</v>
      </c>
      <c r="I221" s="388">
        <v>120.0</v>
      </c>
      <c r="J221" s="388">
        <v>120.0</v>
      </c>
      <c r="K221" s="389" t="s">
        <v>299</v>
      </c>
      <c r="L221" s="387">
        <v>3.0</v>
      </c>
      <c r="M221" s="388"/>
      <c r="N221" s="388"/>
      <c r="O221" s="388"/>
      <c r="P221" s="388"/>
      <c r="Q221" s="388"/>
      <c r="R221" s="388"/>
      <c r="S221" s="388"/>
      <c r="T221" s="388">
        <v>30.0</v>
      </c>
      <c r="U221" s="389">
        <v>30.0</v>
      </c>
      <c r="V221" s="387">
        <v>30.0</v>
      </c>
      <c r="W221" s="388">
        <v>30.0</v>
      </c>
      <c r="X221" s="388">
        <v>30.0</v>
      </c>
      <c r="Y221" s="388">
        <v>-20.0</v>
      </c>
      <c r="Z221" s="389">
        <v>45.0</v>
      </c>
      <c r="AA221" s="305"/>
      <c r="AB221" s="306"/>
      <c r="AC221" s="306"/>
    </row>
    <row r="222">
      <c r="A222" s="306" t="s">
        <v>1207</v>
      </c>
      <c r="B222" s="417" t="s">
        <v>1200</v>
      </c>
      <c r="C222" s="390">
        <f t="shared" si="1"/>
        <v>0</v>
      </c>
      <c r="D222" s="387">
        <v>32.0</v>
      </c>
      <c r="E222" s="388">
        <v>10.0</v>
      </c>
      <c r="F222" s="388">
        <v>1.0</v>
      </c>
      <c r="G222" s="388">
        <v>1.0</v>
      </c>
      <c r="H222" s="388">
        <v>15.0</v>
      </c>
      <c r="I222" s="388">
        <v>15.0</v>
      </c>
      <c r="J222" s="388">
        <v>1.0</v>
      </c>
      <c r="K222" s="389" t="s">
        <v>299</v>
      </c>
      <c r="L222" s="387">
        <v>4.0</v>
      </c>
      <c r="M222" s="388"/>
      <c r="N222" s="388"/>
      <c r="O222" s="388"/>
      <c r="P222" s="388"/>
      <c r="Q222" s="388"/>
      <c r="R222" s="388"/>
      <c r="S222" s="388"/>
      <c r="T222" s="388"/>
      <c r="U222" s="389"/>
      <c r="V222" s="387">
        <v>-20.0</v>
      </c>
      <c r="W222" s="388">
        <v>-20.0</v>
      </c>
      <c r="X222" s="388">
        <v>-20.0</v>
      </c>
      <c r="Y222" s="388">
        <v>-20.0</v>
      </c>
      <c r="Z222" s="389">
        <v>-20.0</v>
      </c>
      <c r="AA222" s="305"/>
      <c r="AB222" s="306"/>
      <c r="AC222" s="306"/>
    </row>
    <row r="223">
      <c r="A223" s="405" t="s">
        <v>1208</v>
      </c>
      <c r="B223" s="428" t="s">
        <v>1200</v>
      </c>
      <c r="C223" s="406">
        <f t="shared" si="1"/>
        <v>0</v>
      </c>
      <c r="D223" s="407">
        <v>370.0</v>
      </c>
      <c r="E223" s="408">
        <v>130.0</v>
      </c>
      <c r="F223" s="408">
        <v>140.0</v>
      </c>
      <c r="G223" s="408">
        <v>180.0</v>
      </c>
      <c r="H223" s="408">
        <v>60.0</v>
      </c>
      <c r="I223" s="408">
        <v>90.0</v>
      </c>
      <c r="J223" s="408">
        <v>250.0</v>
      </c>
      <c r="K223" s="409" t="s">
        <v>299</v>
      </c>
      <c r="L223" s="407"/>
      <c r="M223" s="408"/>
      <c r="N223" s="408"/>
      <c r="O223" s="408"/>
      <c r="P223" s="408"/>
      <c r="Q223" s="408"/>
      <c r="R223" s="408"/>
      <c r="S223" s="408"/>
      <c r="T223" s="408">
        <v>40.0</v>
      </c>
      <c r="U223" s="409">
        <v>50.0</v>
      </c>
      <c r="V223" s="407">
        <v>0.0</v>
      </c>
      <c r="W223" s="408">
        <v>0.0</v>
      </c>
      <c r="X223" s="408">
        <v>0.0</v>
      </c>
      <c r="Y223" s="408">
        <v>0.0</v>
      </c>
      <c r="Z223" s="409">
        <v>0.0</v>
      </c>
      <c r="AA223" s="410"/>
      <c r="AB223" s="405"/>
      <c r="AC223" s="405"/>
    </row>
    <row r="224">
      <c r="A224" s="405" t="s">
        <v>1209</v>
      </c>
      <c r="B224" s="428" t="s">
        <v>1200</v>
      </c>
      <c r="C224" s="406">
        <f t="shared" si="1"/>
        <v>0</v>
      </c>
      <c r="D224" s="407">
        <v>490.0</v>
      </c>
      <c r="E224" s="408">
        <v>220.0</v>
      </c>
      <c r="F224" s="408">
        <v>370.0</v>
      </c>
      <c r="G224" s="408">
        <v>510.0</v>
      </c>
      <c r="H224" s="408">
        <v>260.0</v>
      </c>
      <c r="I224" s="408">
        <v>300.0</v>
      </c>
      <c r="J224" s="408">
        <v>510.0</v>
      </c>
      <c r="K224" s="409" t="s">
        <v>300</v>
      </c>
      <c r="L224" s="407"/>
      <c r="M224" s="408"/>
      <c r="N224" s="408"/>
      <c r="O224" s="408"/>
      <c r="P224" s="408"/>
      <c r="Q224" s="408"/>
      <c r="R224" s="408">
        <v>80.0</v>
      </c>
      <c r="S224" s="408"/>
      <c r="T224" s="408"/>
      <c r="U224" s="409"/>
      <c r="V224" s="407">
        <v>0.0</v>
      </c>
      <c r="W224" s="408">
        <v>0.0</v>
      </c>
      <c r="X224" s="408">
        <v>0.0</v>
      </c>
      <c r="Y224" s="408">
        <v>0.0</v>
      </c>
      <c r="Z224" s="409">
        <v>0.0</v>
      </c>
      <c r="AA224" s="410"/>
      <c r="AB224" s="405"/>
      <c r="AC224" s="405"/>
    </row>
    <row r="225">
      <c r="A225" s="306" t="s">
        <v>1210</v>
      </c>
      <c r="B225" s="417" t="s">
        <v>1200</v>
      </c>
      <c r="C225" s="390">
        <f t="shared" si="1"/>
        <v>0</v>
      </c>
      <c r="D225" s="387">
        <v>900.0</v>
      </c>
      <c r="E225" s="388">
        <v>350.0</v>
      </c>
      <c r="F225" s="388">
        <v>750.0</v>
      </c>
      <c r="G225" s="388">
        <v>1020.0</v>
      </c>
      <c r="H225" s="388">
        <v>480.0</v>
      </c>
      <c r="I225" s="388">
        <v>510.0</v>
      </c>
      <c r="J225" s="388">
        <v>1020.0</v>
      </c>
      <c r="K225" s="389" t="s">
        <v>300</v>
      </c>
      <c r="L225" s="387">
        <v>4.0</v>
      </c>
      <c r="M225" s="388">
        <v>80.0</v>
      </c>
      <c r="N225" s="388">
        <v>80.0</v>
      </c>
      <c r="O225" s="388">
        <v>80.0</v>
      </c>
      <c r="P225" s="388"/>
      <c r="Q225" s="388"/>
      <c r="R225" s="388">
        <v>100.0</v>
      </c>
      <c r="S225" s="388">
        <v>75.0</v>
      </c>
      <c r="T225" s="388">
        <v>80.0</v>
      </c>
      <c r="U225" s="389"/>
      <c r="V225" s="387">
        <v>0.0</v>
      </c>
      <c r="W225" s="388">
        <v>0.0</v>
      </c>
      <c r="X225" s="388">
        <v>0.0</v>
      </c>
      <c r="Y225" s="388">
        <v>0.0</v>
      </c>
      <c r="Z225" s="389">
        <v>0.0</v>
      </c>
      <c r="AA225" s="305"/>
      <c r="AB225" s="306"/>
      <c r="AC225" s="306"/>
    </row>
    <row r="226">
      <c r="A226" s="306" t="s">
        <v>1211</v>
      </c>
      <c r="B226" s="417" t="s">
        <v>986</v>
      </c>
      <c r="C226" s="390">
        <f t="shared" si="1"/>
        <v>0</v>
      </c>
      <c r="D226" s="387">
        <v>78.0</v>
      </c>
      <c r="E226" s="388">
        <v>75.0</v>
      </c>
      <c r="F226" s="388">
        <v>45.0</v>
      </c>
      <c r="G226" s="388">
        <v>45.0</v>
      </c>
      <c r="H226" s="388">
        <v>120.0</v>
      </c>
      <c r="I226" s="388">
        <v>45.0</v>
      </c>
      <c r="J226" s="388">
        <v>1.0</v>
      </c>
      <c r="K226" s="389" t="s">
        <v>305</v>
      </c>
      <c r="L226" s="387">
        <v>4.0</v>
      </c>
      <c r="M226" s="388">
        <v>0.0</v>
      </c>
      <c r="N226" s="388">
        <v>0.0</v>
      </c>
      <c r="O226" s="388">
        <v>0.0</v>
      </c>
      <c r="P226" s="388">
        <v>0.0</v>
      </c>
      <c r="Q226" s="388">
        <v>0.0</v>
      </c>
      <c r="R226" s="388">
        <v>0.0</v>
      </c>
      <c r="S226" s="388"/>
      <c r="T226" s="388">
        <v>0.0</v>
      </c>
      <c r="U226" s="389">
        <v>0.0</v>
      </c>
      <c r="V226" s="387">
        <v>0.0</v>
      </c>
      <c r="W226" s="388">
        <v>0.0</v>
      </c>
      <c r="X226" s="388">
        <v>0.0</v>
      </c>
      <c r="Y226" s="388">
        <v>0.0</v>
      </c>
      <c r="Z226" s="389">
        <v>0.0</v>
      </c>
      <c r="AA226" s="305"/>
      <c r="AB226" s="306"/>
      <c r="AC226" s="306"/>
    </row>
    <row r="227">
      <c r="A227" s="306" t="s">
        <v>1212</v>
      </c>
      <c r="B227" s="417" t="s">
        <v>1054</v>
      </c>
      <c r="C227" s="390">
        <f t="shared" si="1"/>
        <v>0</v>
      </c>
      <c r="D227" s="387">
        <v>53.0</v>
      </c>
      <c r="E227" s="388">
        <v>60.0</v>
      </c>
      <c r="F227" s="388">
        <v>43.0</v>
      </c>
      <c r="G227" s="388">
        <v>43.0</v>
      </c>
      <c r="H227" s="388">
        <v>43.0</v>
      </c>
      <c r="I227" s="388">
        <v>1.0</v>
      </c>
      <c r="J227" s="388">
        <v>1.0</v>
      </c>
      <c r="K227" s="389" t="s">
        <v>299</v>
      </c>
      <c r="L227" s="387">
        <v>6.0</v>
      </c>
      <c r="M227" s="388">
        <v>0.0</v>
      </c>
      <c r="N227" s="388">
        <v>0.0</v>
      </c>
      <c r="O227" s="388">
        <v>0.0</v>
      </c>
      <c r="P227" s="388">
        <v>22.0</v>
      </c>
      <c r="Q227" s="388">
        <v>20.0</v>
      </c>
      <c r="R227" s="388">
        <v>0.0</v>
      </c>
      <c r="S227" s="388"/>
      <c r="T227" s="388">
        <v>0.0</v>
      </c>
      <c r="U227" s="389">
        <v>0.0</v>
      </c>
      <c r="V227" s="387">
        <v>0.0</v>
      </c>
      <c r="W227" s="388">
        <v>0.0</v>
      </c>
      <c r="X227" s="388">
        <v>0.0</v>
      </c>
      <c r="Y227" s="388">
        <v>0.0</v>
      </c>
      <c r="Z227" s="389">
        <v>0.0</v>
      </c>
      <c r="AA227" s="305"/>
      <c r="AB227" s="306"/>
      <c r="AC227" s="306"/>
    </row>
    <row r="228">
      <c r="A228" s="405" t="s">
        <v>1213</v>
      </c>
      <c r="B228" s="405"/>
      <c r="C228" s="406">
        <f t="shared" si="1"/>
        <v>0</v>
      </c>
      <c r="D228" s="407">
        <v>58.0</v>
      </c>
      <c r="E228" s="408">
        <v>70.0</v>
      </c>
      <c r="F228" s="408">
        <v>46.0</v>
      </c>
      <c r="G228" s="408">
        <v>48.0</v>
      </c>
      <c r="H228" s="408">
        <v>43.0</v>
      </c>
      <c r="I228" s="408">
        <v>1.0</v>
      </c>
      <c r="J228" s="408">
        <v>1.0</v>
      </c>
      <c r="K228" s="409"/>
      <c r="L228" s="407"/>
      <c r="M228" s="408">
        <v>0.0</v>
      </c>
      <c r="N228" s="408">
        <v>0.0</v>
      </c>
      <c r="O228" s="408">
        <v>0.0</v>
      </c>
      <c r="P228" s="408">
        <v>22.0</v>
      </c>
      <c r="Q228" s="408">
        <v>21.0</v>
      </c>
      <c r="R228" s="408">
        <v>0.0</v>
      </c>
      <c r="S228" s="408"/>
      <c r="T228" s="408">
        <v>0.0</v>
      </c>
      <c r="U228" s="409">
        <v>0.0</v>
      </c>
      <c r="V228" s="407">
        <v>0.0</v>
      </c>
      <c r="W228" s="408">
        <v>0.0</v>
      </c>
      <c r="X228" s="408">
        <v>0.0</v>
      </c>
      <c r="Y228" s="408">
        <v>0.0</v>
      </c>
      <c r="Z228" s="409">
        <v>0.0</v>
      </c>
      <c r="AA228" s="410"/>
      <c r="AB228" s="405"/>
      <c r="AC228" s="405"/>
    </row>
    <row r="229">
      <c r="A229" s="405" t="s">
        <v>1214</v>
      </c>
      <c r="B229" s="405"/>
      <c r="C229" s="406">
        <f t="shared" si="1"/>
        <v>0.075</v>
      </c>
      <c r="D229" s="407">
        <v>195.0</v>
      </c>
      <c r="E229" s="408">
        <v>170.0</v>
      </c>
      <c r="F229" s="408">
        <v>170.0</v>
      </c>
      <c r="G229" s="408">
        <v>170.0</v>
      </c>
      <c r="H229" s="408">
        <v>170.0</v>
      </c>
      <c r="I229" s="408">
        <v>170.0</v>
      </c>
      <c r="J229" s="408">
        <v>1.0</v>
      </c>
      <c r="K229" s="409"/>
      <c r="L229" s="407"/>
      <c r="M229" s="408">
        <v>0.0</v>
      </c>
      <c r="N229" s="408">
        <v>0.0</v>
      </c>
      <c r="O229" s="408">
        <v>0.0</v>
      </c>
      <c r="P229" s="408">
        <v>50.0</v>
      </c>
      <c r="Q229" s="408">
        <v>50.0</v>
      </c>
      <c r="R229" s="408">
        <v>0.0</v>
      </c>
      <c r="S229" s="408"/>
      <c r="T229" s="408">
        <v>0.0</v>
      </c>
      <c r="U229" s="409">
        <v>0.0</v>
      </c>
      <c r="V229" s="407">
        <v>0.0</v>
      </c>
      <c r="W229" s="408">
        <v>50.0</v>
      </c>
      <c r="X229" s="408">
        <v>0.0</v>
      </c>
      <c r="Y229" s="408">
        <v>50.0</v>
      </c>
      <c r="Z229" s="409">
        <v>0.0</v>
      </c>
      <c r="AA229" s="410"/>
      <c r="AB229" s="405" t="s">
        <v>931</v>
      </c>
      <c r="AC229" s="405"/>
    </row>
    <row r="230">
      <c r="A230" s="405" t="s">
        <v>1215</v>
      </c>
      <c r="B230" s="405"/>
      <c r="C230" s="406">
        <f t="shared" si="1"/>
        <v>0.15</v>
      </c>
      <c r="D230" s="407">
        <v>327.0</v>
      </c>
      <c r="E230" s="408">
        <v>255.0</v>
      </c>
      <c r="F230" s="408">
        <v>340.0</v>
      </c>
      <c r="G230" s="408">
        <v>340.0</v>
      </c>
      <c r="H230" s="408">
        <v>170.0</v>
      </c>
      <c r="I230" s="408">
        <v>340.0</v>
      </c>
      <c r="J230" s="408">
        <v>1.0</v>
      </c>
      <c r="K230" s="409"/>
      <c r="L230" s="407"/>
      <c r="M230" s="408">
        <v>0.0</v>
      </c>
      <c r="N230" s="408">
        <v>0.0</v>
      </c>
      <c r="O230" s="408">
        <v>0.0</v>
      </c>
      <c r="P230" s="408">
        <v>50.0</v>
      </c>
      <c r="Q230" s="408">
        <v>50.0</v>
      </c>
      <c r="R230" s="408">
        <v>0.0</v>
      </c>
      <c r="S230" s="408"/>
      <c r="T230" s="408">
        <v>0.0</v>
      </c>
      <c r="U230" s="409">
        <v>0.0</v>
      </c>
      <c r="V230" s="407">
        <v>0.0</v>
      </c>
      <c r="W230" s="408">
        <v>50.0</v>
      </c>
      <c r="X230" s="408">
        <v>0.0</v>
      </c>
      <c r="Y230" s="408">
        <v>50.0</v>
      </c>
      <c r="Z230" s="409">
        <v>0.0</v>
      </c>
      <c r="AA230" s="410"/>
      <c r="AB230" s="405" t="s">
        <v>931</v>
      </c>
      <c r="AC230" s="405"/>
    </row>
    <row r="231">
      <c r="A231" s="306" t="s">
        <v>1216</v>
      </c>
      <c r="B231" s="306" t="s">
        <v>969</v>
      </c>
      <c r="C231" s="390">
        <f t="shared" si="1"/>
        <v>0</v>
      </c>
      <c r="D231" s="387">
        <v>141.0</v>
      </c>
      <c r="E231" s="388">
        <v>170.0</v>
      </c>
      <c r="F231" s="388">
        <v>110.0</v>
      </c>
      <c r="G231" s="388">
        <v>110.0</v>
      </c>
      <c r="H231" s="388">
        <v>110.0</v>
      </c>
      <c r="I231" s="388">
        <v>1.0</v>
      </c>
      <c r="J231" s="388">
        <v>1.0</v>
      </c>
      <c r="K231" s="389" t="s">
        <v>299</v>
      </c>
      <c r="L231" s="387">
        <v>4.0</v>
      </c>
      <c r="M231" s="388">
        <v>0.0</v>
      </c>
      <c r="N231" s="388">
        <v>0.0</v>
      </c>
      <c r="O231" s="388">
        <v>0.0</v>
      </c>
      <c r="P231" s="388">
        <v>0.0</v>
      </c>
      <c r="Q231" s="388">
        <v>0.0</v>
      </c>
      <c r="R231" s="388">
        <v>0.0</v>
      </c>
      <c r="S231" s="388"/>
      <c r="T231" s="388">
        <v>0.0</v>
      </c>
      <c r="U231" s="389">
        <v>0.0</v>
      </c>
      <c r="V231" s="387">
        <v>25.0</v>
      </c>
      <c r="W231" s="388">
        <v>25.0</v>
      </c>
      <c r="X231" s="388">
        <v>5.0</v>
      </c>
      <c r="Y231" s="388">
        <v>50.0</v>
      </c>
      <c r="Z231" s="389">
        <v>50.0</v>
      </c>
      <c r="AA231" s="305"/>
      <c r="AB231" s="306" t="s">
        <v>1217</v>
      </c>
      <c r="AC231" s="306"/>
    </row>
    <row r="232">
      <c r="A232" s="405" t="s">
        <v>1218</v>
      </c>
      <c r="B232" s="405"/>
      <c r="C232" s="406">
        <f t="shared" si="1"/>
        <v>0.05</v>
      </c>
      <c r="D232" s="407">
        <v>333.0</v>
      </c>
      <c r="E232" s="408">
        <v>255.0</v>
      </c>
      <c r="F232" s="408">
        <v>300.0</v>
      </c>
      <c r="G232" s="408">
        <v>300.0</v>
      </c>
      <c r="H232" s="408">
        <v>300.0</v>
      </c>
      <c r="I232" s="408">
        <v>150.0</v>
      </c>
      <c r="J232" s="408">
        <v>1.0</v>
      </c>
      <c r="K232" s="409"/>
      <c r="L232" s="407"/>
      <c r="M232" s="408">
        <v>0.0</v>
      </c>
      <c r="N232" s="408">
        <v>0.0</v>
      </c>
      <c r="O232" s="408">
        <v>0.0</v>
      </c>
      <c r="P232" s="408">
        <v>0.0</v>
      </c>
      <c r="Q232" s="408">
        <v>0.0</v>
      </c>
      <c r="R232" s="408">
        <v>0.0</v>
      </c>
      <c r="S232" s="408"/>
      <c r="T232" s="408">
        <v>0.0</v>
      </c>
      <c r="U232" s="409"/>
      <c r="V232" s="407">
        <v>50.0</v>
      </c>
      <c r="W232" s="408">
        <v>50.0</v>
      </c>
      <c r="X232" s="408">
        <v>10.0</v>
      </c>
      <c r="Y232" s="408">
        <v>100.0</v>
      </c>
      <c r="Z232" s="409">
        <v>100.0</v>
      </c>
      <c r="AA232" s="410"/>
      <c r="AB232" s="405" t="s">
        <v>1217</v>
      </c>
      <c r="AC232" s="405"/>
    </row>
    <row r="233">
      <c r="A233" s="405" t="s">
        <v>1219</v>
      </c>
      <c r="B233" s="405"/>
      <c r="C233" s="406">
        <f t="shared" si="1"/>
        <v>0.125</v>
      </c>
      <c r="D233" s="407">
        <v>333.0</v>
      </c>
      <c r="E233" s="408">
        <v>255.0</v>
      </c>
      <c r="F233" s="408">
        <v>300.0</v>
      </c>
      <c r="G233" s="408">
        <v>300.0</v>
      </c>
      <c r="H233" s="408">
        <v>300.0</v>
      </c>
      <c r="I233" s="408">
        <v>150.0</v>
      </c>
      <c r="J233" s="408">
        <v>1.0</v>
      </c>
      <c r="K233" s="409"/>
      <c r="L233" s="407"/>
      <c r="M233" s="408">
        <v>0.0</v>
      </c>
      <c r="N233" s="408">
        <v>0.0</v>
      </c>
      <c r="O233" s="408">
        <v>0.0</v>
      </c>
      <c r="P233" s="408">
        <v>0.0</v>
      </c>
      <c r="Q233" s="408">
        <v>0.0</v>
      </c>
      <c r="R233" s="408">
        <v>0.0</v>
      </c>
      <c r="S233" s="408"/>
      <c r="T233" s="408">
        <v>0.0</v>
      </c>
      <c r="U233" s="409"/>
      <c r="V233" s="407">
        <v>100.0</v>
      </c>
      <c r="W233" s="408">
        <v>100.0</v>
      </c>
      <c r="X233" s="408">
        <v>100.0</v>
      </c>
      <c r="Y233" s="408">
        <v>10.0</v>
      </c>
      <c r="Z233" s="409">
        <v>10.0</v>
      </c>
      <c r="AA233" s="410"/>
      <c r="AB233" s="405" t="s">
        <v>1217</v>
      </c>
      <c r="AC233" s="405"/>
    </row>
    <row r="234">
      <c r="A234" s="306" t="s">
        <v>1220</v>
      </c>
      <c r="B234" s="306" t="s">
        <v>969</v>
      </c>
      <c r="C234" s="390">
        <f t="shared" si="1"/>
        <v>0</v>
      </c>
      <c r="D234" s="387">
        <v>85.0</v>
      </c>
      <c r="E234" s="388">
        <v>90.0</v>
      </c>
      <c r="F234" s="388">
        <v>70.0</v>
      </c>
      <c r="G234" s="388">
        <v>70.0</v>
      </c>
      <c r="H234" s="388">
        <v>70.0</v>
      </c>
      <c r="I234" s="388">
        <v>1.0</v>
      </c>
      <c r="J234" s="388">
        <v>1.0</v>
      </c>
      <c r="K234" s="389" t="s">
        <v>299</v>
      </c>
      <c r="L234" s="387">
        <v>4.0</v>
      </c>
      <c r="M234" s="388">
        <v>0.0</v>
      </c>
      <c r="N234" s="388">
        <v>0.0</v>
      </c>
      <c r="O234" s="388">
        <v>0.0</v>
      </c>
      <c r="P234" s="388">
        <v>0.0</v>
      </c>
      <c r="Q234" s="388">
        <v>0.0</v>
      </c>
      <c r="R234" s="388">
        <v>0.0</v>
      </c>
      <c r="S234" s="388"/>
      <c r="T234" s="388">
        <v>0.0</v>
      </c>
      <c r="U234" s="389">
        <v>0.0</v>
      </c>
      <c r="V234" s="387">
        <v>25.0</v>
      </c>
      <c r="W234" s="388">
        <v>25.0</v>
      </c>
      <c r="X234" s="388">
        <v>5.0</v>
      </c>
      <c r="Y234" s="388">
        <v>50.0</v>
      </c>
      <c r="Z234" s="389">
        <v>50.0</v>
      </c>
      <c r="AA234" s="305"/>
      <c r="AB234" s="306" t="s">
        <v>1217</v>
      </c>
      <c r="AC234" s="306"/>
    </row>
    <row r="235">
      <c r="A235" s="306" t="s">
        <v>1221</v>
      </c>
      <c r="B235" s="306" t="s">
        <v>969</v>
      </c>
      <c r="C235" s="390">
        <f t="shared" si="1"/>
        <v>0</v>
      </c>
      <c r="D235" s="387">
        <v>28.0</v>
      </c>
      <c r="E235" s="388">
        <v>40.0</v>
      </c>
      <c r="F235" s="388">
        <v>20.0</v>
      </c>
      <c r="G235" s="388">
        <v>20.0</v>
      </c>
      <c r="H235" s="388">
        <v>20.0</v>
      </c>
      <c r="I235" s="388">
        <v>1.0</v>
      </c>
      <c r="J235" s="388">
        <v>1.0</v>
      </c>
      <c r="K235" s="389" t="s">
        <v>299</v>
      </c>
      <c r="L235" s="387">
        <v>4.0</v>
      </c>
      <c r="M235" s="388">
        <v>0.0</v>
      </c>
      <c r="N235" s="388">
        <v>0.0</v>
      </c>
      <c r="O235" s="388">
        <v>0.0</v>
      </c>
      <c r="P235" s="388">
        <v>0.0</v>
      </c>
      <c r="Q235" s="388">
        <v>0.0</v>
      </c>
      <c r="R235" s="388">
        <v>0.0</v>
      </c>
      <c r="S235" s="388"/>
      <c r="T235" s="388">
        <v>0.0</v>
      </c>
      <c r="U235" s="389">
        <v>0.0</v>
      </c>
      <c r="V235" s="387">
        <v>5.0</v>
      </c>
      <c r="W235" s="388">
        <v>5.0</v>
      </c>
      <c r="X235" s="388">
        <v>1.0</v>
      </c>
      <c r="Y235" s="388">
        <v>10.0</v>
      </c>
      <c r="Z235" s="389">
        <v>10.0</v>
      </c>
      <c r="AA235" s="305"/>
      <c r="AB235" s="306" t="s">
        <v>1217</v>
      </c>
      <c r="AC235" s="306"/>
    </row>
    <row r="236">
      <c r="A236" s="405" t="s">
        <v>200</v>
      </c>
      <c r="B236" s="405"/>
      <c r="C236" s="406">
        <f t="shared" si="1"/>
        <v>0</v>
      </c>
      <c r="D236" s="407">
        <v>98.0</v>
      </c>
      <c r="E236" s="408">
        <v>100.0</v>
      </c>
      <c r="F236" s="408">
        <v>1.0</v>
      </c>
      <c r="G236" s="408">
        <v>1.0</v>
      </c>
      <c r="H236" s="408">
        <v>100.0</v>
      </c>
      <c r="I236" s="408">
        <v>1.0</v>
      </c>
      <c r="J236" s="408">
        <v>100.0</v>
      </c>
      <c r="K236" s="409"/>
      <c r="L236" s="407"/>
      <c r="M236" s="408">
        <v>0.0</v>
      </c>
      <c r="N236" s="408">
        <v>0.0</v>
      </c>
      <c r="O236" s="408">
        <v>0.0</v>
      </c>
      <c r="P236" s="408">
        <v>0.0</v>
      </c>
      <c r="Q236" s="408">
        <v>0.0</v>
      </c>
      <c r="R236" s="408">
        <v>0.0</v>
      </c>
      <c r="S236" s="408"/>
      <c r="T236" s="408">
        <v>134.0</v>
      </c>
      <c r="U236" s="409">
        <v>55.0</v>
      </c>
      <c r="V236" s="407">
        <v>79.0</v>
      </c>
      <c r="W236" s="408">
        <v>71.0</v>
      </c>
      <c r="X236" s="408">
        <v>90.0</v>
      </c>
      <c r="Y236" s="408">
        <v>106.0</v>
      </c>
      <c r="Z236" s="409">
        <v>100.0</v>
      </c>
      <c r="AA236" s="410"/>
      <c r="AB236" s="405"/>
      <c r="AC236" s="405"/>
    </row>
    <row r="237">
      <c r="A237" s="405" t="s">
        <v>1222</v>
      </c>
      <c r="B237" s="405"/>
      <c r="C237" s="406">
        <f t="shared" si="1"/>
        <v>0</v>
      </c>
      <c r="D237" s="407">
        <v>360.0</v>
      </c>
      <c r="E237" s="408">
        <v>160.0</v>
      </c>
      <c r="F237" s="408">
        <v>320.0</v>
      </c>
      <c r="G237" s="408">
        <v>480.0</v>
      </c>
      <c r="H237" s="408">
        <v>240.0</v>
      </c>
      <c r="I237" s="408">
        <v>240.0</v>
      </c>
      <c r="J237" s="408">
        <v>480.0</v>
      </c>
      <c r="K237" s="409"/>
      <c r="L237" s="407"/>
      <c r="M237" s="408">
        <v>0.0</v>
      </c>
      <c r="N237" s="408">
        <v>0.0</v>
      </c>
      <c r="O237" s="408">
        <v>0.0</v>
      </c>
      <c r="P237" s="408">
        <v>0.0</v>
      </c>
      <c r="Q237" s="408">
        <v>0.0</v>
      </c>
      <c r="R237" s="408">
        <v>60.0</v>
      </c>
      <c r="S237" s="408"/>
      <c r="T237" s="408">
        <v>0.0</v>
      </c>
      <c r="U237" s="409"/>
      <c r="V237" s="407">
        <v>0.0</v>
      </c>
      <c r="W237" s="408">
        <v>0.0</v>
      </c>
      <c r="X237" s="408">
        <v>0.0</v>
      </c>
      <c r="Y237" s="408">
        <v>0.0</v>
      </c>
      <c r="Z237" s="409">
        <v>0.0</v>
      </c>
      <c r="AA237" s="410"/>
      <c r="AB237" s="405"/>
      <c r="AC237" s="405"/>
    </row>
    <row r="238">
      <c r="A238" s="405" t="s">
        <v>1223</v>
      </c>
      <c r="B238" s="405"/>
      <c r="C238" s="406">
        <f t="shared" si="1"/>
        <v>0</v>
      </c>
      <c r="D238" s="407">
        <v>112.0</v>
      </c>
      <c r="E238" s="408">
        <v>170.0</v>
      </c>
      <c r="F238" s="408">
        <v>75.0</v>
      </c>
      <c r="G238" s="408">
        <v>78.0</v>
      </c>
      <c r="H238" s="408">
        <v>80.0</v>
      </c>
      <c r="I238" s="408">
        <v>1.0</v>
      </c>
      <c r="J238" s="408">
        <v>1.0</v>
      </c>
      <c r="K238" s="409"/>
      <c r="L238" s="407"/>
      <c r="M238" s="408">
        <v>0.0</v>
      </c>
      <c r="N238" s="408">
        <v>0.0</v>
      </c>
      <c r="O238" s="408">
        <v>0.0</v>
      </c>
      <c r="P238" s="408">
        <v>0.0</v>
      </c>
      <c r="Q238" s="408">
        <v>0.0</v>
      </c>
      <c r="R238" s="408">
        <v>0.0</v>
      </c>
      <c r="S238" s="408"/>
      <c r="T238" s="408">
        <v>0.0</v>
      </c>
      <c r="U238" s="409"/>
      <c r="V238" s="407">
        <v>0.0</v>
      </c>
      <c r="W238" s="408">
        <v>0.0</v>
      </c>
      <c r="X238" s="408">
        <v>0.0</v>
      </c>
      <c r="Y238" s="408">
        <v>0.0</v>
      </c>
      <c r="Z238" s="409">
        <v>0.0</v>
      </c>
      <c r="AA238" s="410"/>
      <c r="AB238" s="405"/>
      <c r="AC238" s="405"/>
    </row>
    <row r="239">
      <c r="A239" s="405" t="s">
        <v>1224</v>
      </c>
      <c r="B239" s="405"/>
      <c r="C239" s="406">
        <f t="shared" si="1"/>
        <v>0</v>
      </c>
      <c r="D239" s="407">
        <v>192.0</v>
      </c>
      <c r="E239" s="408">
        <v>255.0</v>
      </c>
      <c r="F239" s="408">
        <v>165.0</v>
      </c>
      <c r="G239" s="408">
        <v>170.0</v>
      </c>
      <c r="H239" s="408">
        <v>80.0</v>
      </c>
      <c r="I239" s="408">
        <v>1.0</v>
      </c>
      <c r="J239" s="408">
        <v>1.0</v>
      </c>
      <c r="K239" s="409"/>
      <c r="L239" s="407"/>
      <c r="M239" s="408">
        <v>0.0</v>
      </c>
      <c r="N239" s="408">
        <v>0.0</v>
      </c>
      <c r="O239" s="408">
        <v>0.0</v>
      </c>
      <c r="P239" s="408">
        <v>0.0</v>
      </c>
      <c r="Q239" s="408">
        <v>0.0</v>
      </c>
      <c r="R239" s="408">
        <v>0.0</v>
      </c>
      <c r="S239" s="408"/>
      <c r="T239" s="408">
        <v>0.0</v>
      </c>
      <c r="U239" s="409"/>
      <c r="V239" s="407">
        <v>0.0</v>
      </c>
      <c r="W239" s="408">
        <v>0.0</v>
      </c>
      <c r="X239" s="408">
        <v>0.0</v>
      </c>
      <c r="Y239" s="408">
        <v>0.0</v>
      </c>
      <c r="Z239" s="409">
        <v>0.0</v>
      </c>
      <c r="AA239" s="410"/>
      <c r="AB239" s="405"/>
      <c r="AC239" s="405"/>
    </row>
    <row r="240">
      <c r="A240" s="405" t="s">
        <v>1225</v>
      </c>
      <c r="B240" s="405"/>
      <c r="C240" s="406">
        <f t="shared" si="1"/>
        <v>0.075</v>
      </c>
      <c r="D240" s="407">
        <v>276.0</v>
      </c>
      <c r="E240" s="408">
        <v>240.0</v>
      </c>
      <c r="F240" s="408">
        <v>240.0</v>
      </c>
      <c r="G240" s="408">
        <v>240.0</v>
      </c>
      <c r="H240" s="408">
        <v>240.0</v>
      </c>
      <c r="I240" s="408">
        <v>240.0</v>
      </c>
      <c r="J240" s="408">
        <v>1.0</v>
      </c>
      <c r="K240" s="409"/>
      <c r="L240" s="407"/>
      <c r="M240" s="408">
        <v>0.0</v>
      </c>
      <c r="N240" s="408">
        <v>0.0</v>
      </c>
      <c r="O240" s="408">
        <v>0.0</v>
      </c>
      <c r="P240" s="408">
        <v>0.0</v>
      </c>
      <c r="Q240" s="408">
        <v>0.0</v>
      </c>
      <c r="R240" s="408">
        <v>0.0</v>
      </c>
      <c r="S240" s="408"/>
      <c r="T240" s="408">
        <v>0.0</v>
      </c>
      <c r="U240" s="409"/>
      <c r="V240" s="407">
        <v>70.0</v>
      </c>
      <c r="W240" s="408">
        <v>90.0</v>
      </c>
      <c r="X240" s="408">
        <v>90.0</v>
      </c>
      <c r="Y240" s="408">
        <v>80.0</v>
      </c>
      <c r="Z240" s="409">
        <v>70.0</v>
      </c>
      <c r="AA240" s="410"/>
      <c r="AB240" s="405" t="s">
        <v>936</v>
      </c>
      <c r="AC240" s="405"/>
    </row>
    <row r="241">
      <c r="A241" s="405" t="s">
        <v>1226</v>
      </c>
      <c r="B241" s="405"/>
      <c r="C241" s="406">
        <f t="shared" si="1"/>
        <v>0</v>
      </c>
      <c r="D241" s="407">
        <v>47.0</v>
      </c>
      <c r="E241" s="408">
        <v>60.0</v>
      </c>
      <c r="F241" s="408">
        <v>35.0</v>
      </c>
      <c r="G241" s="408">
        <v>30.0</v>
      </c>
      <c r="H241" s="408">
        <v>30.0</v>
      </c>
      <c r="I241" s="408">
        <v>1.0</v>
      </c>
      <c r="J241" s="408">
        <v>1.0</v>
      </c>
      <c r="K241" s="409"/>
      <c r="L241" s="407"/>
      <c r="M241" s="408">
        <v>0.0</v>
      </c>
      <c r="N241" s="408">
        <v>0.0</v>
      </c>
      <c r="O241" s="408">
        <v>0.0</v>
      </c>
      <c r="P241" s="408">
        <v>0.0</v>
      </c>
      <c r="Q241" s="408">
        <v>0.0</v>
      </c>
      <c r="R241" s="408">
        <v>0.0</v>
      </c>
      <c r="S241" s="408"/>
      <c r="T241" s="408">
        <v>0.0</v>
      </c>
      <c r="U241" s="409"/>
      <c r="V241" s="407">
        <v>0.0</v>
      </c>
      <c r="W241" s="408">
        <v>0.0</v>
      </c>
      <c r="X241" s="408">
        <v>0.0</v>
      </c>
      <c r="Y241" s="408">
        <v>0.0</v>
      </c>
      <c r="Z241" s="409">
        <v>0.0</v>
      </c>
      <c r="AA241" s="410"/>
      <c r="AB241" s="405"/>
      <c r="AC241" s="405"/>
    </row>
    <row r="242">
      <c r="A242" s="405" t="s">
        <v>1227</v>
      </c>
      <c r="B242" s="405"/>
      <c r="C242" s="406">
        <f t="shared" si="1"/>
        <v>0</v>
      </c>
      <c r="D242" s="407">
        <v>188.0</v>
      </c>
      <c r="E242" s="408">
        <v>150.0</v>
      </c>
      <c r="F242" s="408">
        <v>140.0</v>
      </c>
      <c r="G242" s="408">
        <v>120.0</v>
      </c>
      <c r="H242" s="408">
        <v>30.0</v>
      </c>
      <c r="I242" s="408">
        <v>1.0</v>
      </c>
      <c r="J242" s="408">
        <v>1.0</v>
      </c>
      <c r="K242" s="409"/>
      <c r="L242" s="407"/>
      <c r="M242" s="408">
        <v>0.0</v>
      </c>
      <c r="N242" s="408">
        <v>0.0</v>
      </c>
      <c r="O242" s="408">
        <v>0.0</v>
      </c>
      <c r="P242" s="408">
        <v>0.0</v>
      </c>
      <c r="Q242" s="408">
        <v>0.0</v>
      </c>
      <c r="R242" s="408">
        <v>0.0</v>
      </c>
      <c r="S242" s="408"/>
      <c r="T242" s="408">
        <v>0.0</v>
      </c>
      <c r="U242" s="409"/>
      <c r="V242" s="407">
        <v>0.0</v>
      </c>
      <c r="W242" s="408">
        <v>0.0</v>
      </c>
      <c r="X242" s="408">
        <v>0.0</v>
      </c>
      <c r="Y242" s="408">
        <v>0.0</v>
      </c>
      <c r="Z242" s="409">
        <v>0.0</v>
      </c>
      <c r="AA242" s="410"/>
      <c r="AB242" s="405"/>
      <c r="AC242" s="405"/>
    </row>
    <row r="243">
      <c r="A243" s="306" t="s">
        <v>1228</v>
      </c>
      <c r="B243" s="306" t="s">
        <v>954</v>
      </c>
      <c r="C243" s="390">
        <f t="shared" si="1"/>
        <v>0</v>
      </c>
      <c r="D243" s="387">
        <v>107.0</v>
      </c>
      <c r="E243" s="388">
        <v>200.0</v>
      </c>
      <c r="F243" s="388">
        <v>50.0</v>
      </c>
      <c r="G243" s="388">
        <v>50.0</v>
      </c>
      <c r="H243" s="388">
        <v>100.0</v>
      </c>
      <c r="I243" s="388">
        <v>1.0</v>
      </c>
      <c r="J243" s="388">
        <v>1.0</v>
      </c>
      <c r="K243" s="389" t="s">
        <v>299</v>
      </c>
      <c r="L243" s="387">
        <v>4.0</v>
      </c>
      <c r="M243" s="388">
        <v>0.0</v>
      </c>
      <c r="N243" s="388">
        <v>0.0</v>
      </c>
      <c r="O243" s="388">
        <v>0.0</v>
      </c>
      <c r="P243" s="388">
        <v>0.0</v>
      </c>
      <c r="Q243" s="388">
        <v>0.0</v>
      </c>
      <c r="R243" s="388">
        <v>0.0</v>
      </c>
      <c r="S243" s="388"/>
      <c r="T243" s="388">
        <v>0.0</v>
      </c>
      <c r="U243" s="389">
        <v>0.0</v>
      </c>
      <c r="V243" s="387">
        <v>0.0</v>
      </c>
      <c r="W243" s="388">
        <v>0.0</v>
      </c>
      <c r="X243" s="388">
        <v>0.0</v>
      </c>
      <c r="Y243" s="388">
        <v>0.0</v>
      </c>
      <c r="Z243" s="389">
        <v>0.0</v>
      </c>
      <c r="AA243" s="305"/>
      <c r="AB243" s="306"/>
      <c r="AC243" s="306"/>
    </row>
    <row r="244">
      <c r="A244" s="306" t="s">
        <v>1229</v>
      </c>
      <c r="B244" s="306" t="s">
        <v>1230</v>
      </c>
      <c r="C244" s="390">
        <f t="shared" si="1"/>
        <v>0</v>
      </c>
      <c r="D244" s="387">
        <v>32.0</v>
      </c>
      <c r="E244" s="388">
        <v>30.0</v>
      </c>
      <c r="F244" s="388">
        <v>30.0</v>
      </c>
      <c r="G244" s="388">
        <v>29.0</v>
      </c>
      <c r="H244" s="388">
        <v>23.0</v>
      </c>
      <c r="I244" s="388">
        <v>1.0</v>
      </c>
      <c r="J244" s="388">
        <v>1.0</v>
      </c>
      <c r="K244" s="389" t="s">
        <v>300</v>
      </c>
      <c r="L244" s="387">
        <v>4.0</v>
      </c>
      <c r="M244" s="388">
        <v>0.0</v>
      </c>
      <c r="N244" s="388">
        <v>0.0</v>
      </c>
      <c r="O244" s="388">
        <v>0.0</v>
      </c>
      <c r="P244" s="388">
        <v>0.0</v>
      </c>
      <c r="Q244" s="388">
        <v>0.0</v>
      </c>
      <c r="R244" s="388">
        <v>0.0</v>
      </c>
      <c r="S244" s="388"/>
      <c r="T244" s="388">
        <v>0.0</v>
      </c>
      <c r="U244" s="389">
        <v>0.0</v>
      </c>
      <c r="V244" s="387">
        <v>5.0</v>
      </c>
      <c r="W244" s="388">
        <v>15.0</v>
      </c>
      <c r="X244" s="388">
        <v>15.0</v>
      </c>
      <c r="Y244" s="388">
        <v>0.0</v>
      </c>
      <c r="Z244" s="389">
        <v>5.0</v>
      </c>
      <c r="AA244" s="305"/>
      <c r="AB244" s="306"/>
      <c r="AC244" s="306"/>
    </row>
    <row r="245">
      <c r="A245" s="306" t="s">
        <v>1231</v>
      </c>
      <c r="B245" s="306" t="s">
        <v>955</v>
      </c>
      <c r="C245" s="390">
        <f t="shared" si="1"/>
        <v>0</v>
      </c>
      <c r="D245" s="387">
        <v>46.0</v>
      </c>
      <c r="E245" s="388">
        <v>52.0</v>
      </c>
      <c r="F245" s="388">
        <v>38.0</v>
      </c>
      <c r="G245" s="388">
        <v>40.0</v>
      </c>
      <c r="H245" s="388">
        <v>31.0</v>
      </c>
      <c r="I245" s="388">
        <v>1.0</v>
      </c>
      <c r="J245" s="388">
        <v>1.0</v>
      </c>
      <c r="K245" s="389" t="s">
        <v>301</v>
      </c>
      <c r="L245" s="387">
        <v>5.0</v>
      </c>
      <c r="M245" s="388">
        <v>0.0</v>
      </c>
      <c r="N245" s="388">
        <v>0.0</v>
      </c>
      <c r="O245" s="388">
        <v>0.0</v>
      </c>
      <c r="P245" s="388">
        <v>8.0</v>
      </c>
      <c r="Q245" s="388">
        <v>10.0</v>
      </c>
      <c r="R245" s="388">
        <v>0.0</v>
      </c>
      <c r="S245" s="388"/>
      <c r="T245" s="388">
        <v>0.0</v>
      </c>
      <c r="U245" s="389">
        <v>0.0</v>
      </c>
      <c r="V245" s="387">
        <v>39.0</v>
      </c>
      <c r="W245" s="388">
        <v>40.0</v>
      </c>
      <c r="X245" s="388">
        <v>36.0</v>
      </c>
      <c r="Y245" s="388">
        <v>-11.0</v>
      </c>
      <c r="Z245" s="389">
        <v>36.0</v>
      </c>
      <c r="AA245" s="305"/>
      <c r="AB245" s="306"/>
      <c r="AC245" s="306"/>
    </row>
    <row r="246">
      <c r="A246" s="306" t="s">
        <v>1232</v>
      </c>
      <c r="B246" s="306" t="s">
        <v>989</v>
      </c>
      <c r="C246" s="390">
        <f t="shared" si="1"/>
        <v>0</v>
      </c>
      <c r="D246" s="387">
        <v>21.0</v>
      </c>
      <c r="E246" s="388">
        <v>22.0</v>
      </c>
      <c r="F246" s="388">
        <v>19.0</v>
      </c>
      <c r="G246" s="388">
        <v>18.0</v>
      </c>
      <c r="H246" s="388">
        <v>14.0</v>
      </c>
      <c r="I246" s="388">
        <v>1.0</v>
      </c>
      <c r="J246" s="388">
        <v>1.0</v>
      </c>
      <c r="K246" s="389" t="s">
        <v>299</v>
      </c>
      <c r="L246" s="387">
        <v>4.0</v>
      </c>
      <c r="M246" s="388">
        <v>0.0</v>
      </c>
      <c r="N246" s="388">
        <v>0.0</v>
      </c>
      <c r="O246" s="388">
        <v>0.0</v>
      </c>
      <c r="P246" s="388">
        <v>9.0</v>
      </c>
      <c r="Q246" s="388">
        <v>7.0</v>
      </c>
      <c r="R246" s="388">
        <v>0.0</v>
      </c>
      <c r="S246" s="388"/>
      <c r="T246" s="388">
        <v>0.0</v>
      </c>
      <c r="U246" s="389">
        <v>0.0</v>
      </c>
      <c r="V246" s="387">
        <v>24.0</v>
      </c>
      <c r="W246" s="388">
        <v>14.0</v>
      </c>
      <c r="X246" s="388">
        <v>19.0</v>
      </c>
      <c r="Y246" s="388">
        <v>4.0</v>
      </c>
      <c r="Z246" s="389">
        <v>16.0</v>
      </c>
      <c r="AA246" s="305"/>
      <c r="AB246" s="306"/>
      <c r="AC246" s="306"/>
    </row>
    <row r="247">
      <c r="A247" s="306" t="s">
        <v>1233</v>
      </c>
      <c r="B247" s="306" t="s">
        <v>989</v>
      </c>
      <c r="C247" s="390">
        <f t="shared" si="1"/>
        <v>0</v>
      </c>
      <c r="D247" s="387">
        <v>84.0</v>
      </c>
      <c r="E247" s="388">
        <v>86.0</v>
      </c>
      <c r="F247" s="388">
        <v>75.0</v>
      </c>
      <c r="G247" s="388">
        <v>73.0</v>
      </c>
      <c r="H247" s="388">
        <v>61.0</v>
      </c>
      <c r="I247" s="388">
        <v>1.0</v>
      </c>
      <c r="J247" s="388">
        <v>1.0</v>
      </c>
      <c r="K247" s="389" t="s">
        <v>299</v>
      </c>
      <c r="L247" s="387">
        <v>4.0</v>
      </c>
      <c r="M247" s="388">
        <v>0.0</v>
      </c>
      <c r="N247" s="388">
        <v>0.0</v>
      </c>
      <c r="O247" s="388">
        <v>0.0</v>
      </c>
      <c r="P247" s="388">
        <v>17.0</v>
      </c>
      <c r="Q247" s="388">
        <v>15.0</v>
      </c>
      <c r="R247" s="388">
        <v>0.0</v>
      </c>
      <c r="S247" s="388"/>
      <c r="T247" s="388">
        <v>0.0</v>
      </c>
      <c r="U247" s="389">
        <v>0.0</v>
      </c>
      <c r="V247" s="387">
        <v>16.0</v>
      </c>
      <c r="W247" s="388">
        <v>16.0</v>
      </c>
      <c r="X247" s="388">
        <v>18.0</v>
      </c>
      <c r="Y247" s="388">
        <v>-12.0</v>
      </c>
      <c r="Z247" s="389">
        <v>27.0</v>
      </c>
      <c r="AA247" s="305"/>
      <c r="AB247" s="306"/>
      <c r="AC247" s="306"/>
    </row>
    <row r="248">
      <c r="A248" s="405" t="s">
        <v>1234</v>
      </c>
      <c r="B248" s="405"/>
      <c r="C248" s="406">
        <f t="shared" si="1"/>
        <v>0</v>
      </c>
      <c r="D248" s="407">
        <v>291.0</v>
      </c>
      <c r="E248" s="408">
        <v>255.0</v>
      </c>
      <c r="F248" s="408">
        <v>1.0</v>
      </c>
      <c r="G248" s="408">
        <v>1.0</v>
      </c>
      <c r="H248" s="408">
        <v>2.0</v>
      </c>
      <c r="I248" s="408">
        <v>2.0</v>
      </c>
      <c r="J248" s="408">
        <v>1.0</v>
      </c>
      <c r="K248" s="409"/>
      <c r="L248" s="407"/>
      <c r="M248" s="408">
        <v>0.0</v>
      </c>
      <c r="N248" s="408">
        <v>0.0</v>
      </c>
      <c r="O248" s="408">
        <v>0.0</v>
      </c>
      <c r="P248" s="408">
        <v>0.0</v>
      </c>
      <c r="Q248" s="408">
        <v>0.0</v>
      </c>
      <c r="R248" s="408">
        <v>0.0</v>
      </c>
      <c r="S248" s="408"/>
      <c r="T248" s="408">
        <v>0.0</v>
      </c>
      <c r="U248" s="409"/>
      <c r="V248" s="407"/>
      <c r="W248" s="408"/>
      <c r="X248" s="408"/>
      <c r="Y248" s="408">
        <v>130.0</v>
      </c>
      <c r="Z248" s="409">
        <v>300.0</v>
      </c>
      <c r="AA248" s="410"/>
      <c r="AB248" s="405"/>
      <c r="AC248" s="405"/>
    </row>
    <row r="249">
      <c r="A249" s="405" t="s">
        <v>1235</v>
      </c>
      <c r="B249" s="405"/>
      <c r="C249" s="406">
        <f t="shared" si="1"/>
        <v>0.4</v>
      </c>
      <c r="D249" s="407">
        <v>580.0</v>
      </c>
      <c r="E249" s="408">
        <v>255.0</v>
      </c>
      <c r="F249" s="408">
        <v>300.0</v>
      </c>
      <c r="G249" s="408">
        <v>200.0</v>
      </c>
      <c r="H249" s="408">
        <v>260.0</v>
      </c>
      <c r="I249" s="408">
        <v>200.0</v>
      </c>
      <c r="J249" s="408">
        <v>380.0</v>
      </c>
      <c r="K249" s="409"/>
      <c r="L249" s="407"/>
      <c r="M249" s="408">
        <v>0.0</v>
      </c>
      <c r="N249" s="408">
        <v>0.0</v>
      </c>
      <c r="O249" s="408">
        <v>0.0</v>
      </c>
      <c r="P249" s="408">
        <v>136.0</v>
      </c>
      <c r="Q249" s="408">
        <v>12.0</v>
      </c>
      <c r="R249" s="408">
        <v>0.0</v>
      </c>
      <c r="S249" s="408"/>
      <c r="T249" s="408">
        <v>120.0</v>
      </c>
      <c r="U249" s="409"/>
      <c r="V249" s="407">
        <v>180.0</v>
      </c>
      <c r="W249" s="408">
        <v>180.0</v>
      </c>
      <c r="X249" s="408">
        <v>180.0</v>
      </c>
      <c r="Y249" s="408">
        <v>200.0</v>
      </c>
      <c r="Z249" s="409">
        <v>200.0</v>
      </c>
      <c r="AA249" s="410"/>
      <c r="AB249" s="405"/>
      <c r="AC249" s="405"/>
    </row>
    <row r="250">
      <c r="A250" s="405" t="s">
        <v>1236</v>
      </c>
      <c r="B250" s="405"/>
      <c r="C250" s="406">
        <f t="shared" si="1"/>
        <v>0.375</v>
      </c>
      <c r="D250" s="407">
        <v>650.0</v>
      </c>
      <c r="E250" s="408">
        <v>255.0</v>
      </c>
      <c r="F250" s="408">
        <v>340.0</v>
      </c>
      <c r="G250" s="408">
        <v>300.0</v>
      </c>
      <c r="H250" s="408">
        <v>270.0</v>
      </c>
      <c r="I250" s="408">
        <v>200.0</v>
      </c>
      <c r="J250" s="408">
        <v>1.0</v>
      </c>
      <c r="K250" s="409"/>
      <c r="L250" s="407"/>
      <c r="M250" s="408">
        <v>0.0</v>
      </c>
      <c r="N250" s="408">
        <v>0.0</v>
      </c>
      <c r="O250" s="408">
        <v>0.0</v>
      </c>
      <c r="P250" s="408">
        <v>160.0</v>
      </c>
      <c r="Q250" s="408">
        <v>31.0</v>
      </c>
      <c r="R250" s="408">
        <v>0.0</v>
      </c>
      <c r="S250" s="408"/>
      <c r="T250" s="408">
        <v>0.0</v>
      </c>
      <c r="U250" s="409"/>
      <c r="V250" s="407">
        <v>80.0</v>
      </c>
      <c r="W250" s="408">
        <v>80.0</v>
      </c>
      <c r="X250" s="408">
        <v>80.0</v>
      </c>
      <c r="Y250" s="408">
        <v>130.0</v>
      </c>
      <c r="Z250" s="409">
        <v>80.0</v>
      </c>
      <c r="AA250" s="410"/>
      <c r="AB250" s="405" t="s">
        <v>931</v>
      </c>
      <c r="AC250" s="405"/>
    </row>
    <row r="251">
      <c r="A251" s="306" t="s">
        <v>1237</v>
      </c>
      <c r="B251" s="424" t="s">
        <v>986</v>
      </c>
      <c r="C251" s="390">
        <f t="shared" si="1"/>
        <v>0</v>
      </c>
      <c r="D251" s="387">
        <v>106.0</v>
      </c>
      <c r="E251" s="388">
        <v>97.0</v>
      </c>
      <c r="F251" s="388">
        <v>67.0</v>
      </c>
      <c r="G251" s="388">
        <v>105.0</v>
      </c>
      <c r="H251" s="388">
        <v>105.0</v>
      </c>
      <c r="I251" s="388">
        <v>1.0</v>
      </c>
      <c r="J251" s="388">
        <v>1.0</v>
      </c>
      <c r="K251" s="389" t="s">
        <v>299</v>
      </c>
      <c r="L251" s="387">
        <v>4.0</v>
      </c>
      <c r="M251" s="388">
        <v>0.0</v>
      </c>
      <c r="N251" s="388">
        <v>0.0</v>
      </c>
      <c r="O251" s="388">
        <v>0.0</v>
      </c>
      <c r="P251" s="388">
        <v>0.0</v>
      </c>
      <c r="Q251" s="388">
        <v>0.0</v>
      </c>
      <c r="R251" s="388">
        <v>0.0</v>
      </c>
      <c r="S251" s="388"/>
      <c r="T251" s="388">
        <v>0.0</v>
      </c>
      <c r="U251" s="389"/>
      <c r="V251" s="387">
        <v>0.0</v>
      </c>
      <c r="W251" s="388">
        <v>20.0</v>
      </c>
      <c r="X251" s="388">
        <v>20.0</v>
      </c>
      <c r="Y251" s="388">
        <v>0.0</v>
      </c>
      <c r="Z251" s="389">
        <v>0.0</v>
      </c>
      <c r="AA251" s="305"/>
      <c r="AB251" s="306" t="s">
        <v>1238</v>
      </c>
      <c r="AC251" s="306"/>
    </row>
    <row r="252">
      <c r="A252" s="405" t="s">
        <v>1239</v>
      </c>
      <c r="B252" s="405"/>
      <c r="C252" s="406">
        <f t="shared" si="1"/>
        <v>0.075</v>
      </c>
      <c r="D252" s="407">
        <v>252.0</v>
      </c>
      <c r="E252" s="408">
        <v>230.0</v>
      </c>
      <c r="F252" s="408">
        <v>240.0</v>
      </c>
      <c r="G252" s="408">
        <v>220.0</v>
      </c>
      <c r="H252" s="408">
        <v>220.0</v>
      </c>
      <c r="I252" s="408">
        <v>1.0</v>
      </c>
      <c r="J252" s="408">
        <v>1.0</v>
      </c>
      <c r="K252" s="409"/>
      <c r="L252" s="407"/>
      <c r="M252" s="408">
        <v>0.0</v>
      </c>
      <c r="N252" s="408">
        <v>0.0</v>
      </c>
      <c r="O252" s="408">
        <v>0.0</v>
      </c>
      <c r="P252" s="408">
        <v>0.0</v>
      </c>
      <c r="Q252" s="408">
        <v>0.0</v>
      </c>
      <c r="R252" s="408">
        <v>0.0</v>
      </c>
      <c r="S252" s="408"/>
      <c r="T252" s="408">
        <v>0.0</v>
      </c>
      <c r="U252" s="409"/>
      <c r="V252" s="407">
        <v>70.0</v>
      </c>
      <c r="W252" s="408">
        <v>90.0</v>
      </c>
      <c r="X252" s="408">
        <v>90.0</v>
      </c>
      <c r="Y252" s="408">
        <v>80.0</v>
      </c>
      <c r="Z252" s="409">
        <v>70.0</v>
      </c>
      <c r="AA252" s="410"/>
      <c r="AB252" s="405" t="s">
        <v>936</v>
      </c>
      <c r="AC252" s="405"/>
    </row>
    <row r="253">
      <c r="A253" s="306" t="s">
        <v>1240</v>
      </c>
      <c r="B253" s="306" t="s">
        <v>1241</v>
      </c>
      <c r="C253" s="390">
        <f t="shared" si="1"/>
        <v>0</v>
      </c>
      <c r="D253" s="387">
        <v>82.0</v>
      </c>
      <c r="E253" s="388">
        <v>79.0</v>
      </c>
      <c r="F253" s="388">
        <v>68.0</v>
      </c>
      <c r="G253" s="388">
        <v>70.0</v>
      </c>
      <c r="H253" s="388">
        <v>71.0</v>
      </c>
      <c r="I253" s="388">
        <v>1.0</v>
      </c>
      <c r="J253" s="388">
        <v>1.0</v>
      </c>
      <c r="K253" s="389" t="s">
        <v>301</v>
      </c>
      <c r="L253" s="387">
        <v>4.0</v>
      </c>
      <c r="M253" s="388">
        <v>0.0</v>
      </c>
      <c r="N253" s="388">
        <v>0.0</v>
      </c>
      <c r="O253" s="388">
        <v>0.0</v>
      </c>
      <c r="P253" s="388">
        <v>0.0</v>
      </c>
      <c r="Q253" s="388">
        <v>0.0</v>
      </c>
      <c r="R253" s="388">
        <v>0.0</v>
      </c>
      <c r="S253" s="388"/>
      <c r="T253" s="388">
        <v>0.0</v>
      </c>
      <c r="U253" s="389">
        <v>0.0</v>
      </c>
      <c r="V253" s="387">
        <v>0.0</v>
      </c>
      <c r="W253" s="388">
        <v>0.0</v>
      </c>
      <c r="X253" s="388">
        <v>0.0</v>
      </c>
      <c r="Y253" s="388">
        <v>-10.0</v>
      </c>
      <c r="Z253" s="389">
        <v>0.0</v>
      </c>
      <c r="AA253" s="305"/>
      <c r="AB253" s="306" t="s">
        <v>931</v>
      </c>
      <c r="AC253" s="306"/>
    </row>
    <row r="254">
      <c r="A254" s="306" t="s">
        <v>1242</v>
      </c>
      <c r="B254" s="417" t="s">
        <v>954</v>
      </c>
      <c r="C254" s="390">
        <f t="shared" si="1"/>
        <v>0</v>
      </c>
      <c r="D254" s="387">
        <v>87.0</v>
      </c>
      <c r="E254" s="388">
        <v>85.0</v>
      </c>
      <c r="F254" s="388">
        <v>80.0</v>
      </c>
      <c r="G254" s="388">
        <v>70.0</v>
      </c>
      <c r="H254" s="388">
        <v>71.0</v>
      </c>
      <c r="I254" s="388">
        <v>1.0</v>
      </c>
      <c r="J254" s="388">
        <v>1.0</v>
      </c>
      <c r="K254" s="389" t="s">
        <v>301</v>
      </c>
      <c r="L254" s="387">
        <v>4.0</v>
      </c>
      <c r="M254" s="388">
        <v>0.0</v>
      </c>
      <c r="N254" s="388">
        <v>0.0</v>
      </c>
      <c r="O254" s="388">
        <v>0.0</v>
      </c>
      <c r="P254" s="388">
        <v>0.0</v>
      </c>
      <c r="Q254" s="388">
        <v>0.0</v>
      </c>
      <c r="R254" s="388">
        <v>0.0</v>
      </c>
      <c r="S254" s="388"/>
      <c r="T254" s="388">
        <v>0.0</v>
      </c>
      <c r="U254" s="389">
        <v>0.0</v>
      </c>
      <c r="V254" s="387">
        <v>0.0</v>
      </c>
      <c r="W254" s="388">
        <v>0.0</v>
      </c>
      <c r="X254" s="388">
        <v>0.0</v>
      </c>
      <c r="Y254" s="388">
        <v>-10.0</v>
      </c>
      <c r="Z254" s="389">
        <v>0.0</v>
      </c>
      <c r="AA254" s="305"/>
      <c r="AB254" s="306" t="s">
        <v>931</v>
      </c>
      <c r="AC254" s="306"/>
    </row>
    <row r="255">
      <c r="A255" s="319" t="s">
        <v>1243</v>
      </c>
      <c r="B255" s="411" t="s">
        <v>952</v>
      </c>
      <c r="C255" s="412">
        <f t="shared" si="1"/>
        <v>0</v>
      </c>
      <c r="D255" s="413">
        <v>94.0</v>
      </c>
      <c r="E255" s="414">
        <v>110.0</v>
      </c>
      <c r="F255" s="414">
        <v>68.0</v>
      </c>
      <c r="G255" s="414">
        <v>85.0</v>
      </c>
      <c r="H255" s="414">
        <v>71.0</v>
      </c>
      <c r="I255" s="414">
        <v>1.0</v>
      </c>
      <c r="J255" s="414">
        <v>1.0</v>
      </c>
      <c r="K255" s="415" t="s">
        <v>301</v>
      </c>
      <c r="L255" s="413">
        <v>4.0</v>
      </c>
      <c r="M255" s="178"/>
      <c r="N255" s="178"/>
      <c r="O255" s="178"/>
      <c r="P255" s="178"/>
      <c r="Q255" s="178"/>
      <c r="R255" s="178"/>
      <c r="S255" s="178"/>
      <c r="T255" s="178"/>
      <c r="U255" s="416"/>
      <c r="V255" s="413">
        <v>0.0</v>
      </c>
      <c r="W255" s="414">
        <v>0.0</v>
      </c>
      <c r="X255" s="414">
        <v>0.0</v>
      </c>
      <c r="Y255" s="414">
        <v>-10.0</v>
      </c>
      <c r="Z255" s="415">
        <v>0.0</v>
      </c>
      <c r="AA255" s="394"/>
      <c r="AB255" s="306" t="s">
        <v>931</v>
      </c>
      <c r="AC255" s="395"/>
    </row>
    <row r="256">
      <c r="A256" s="306" t="s">
        <v>1244</v>
      </c>
      <c r="B256" s="306" t="s">
        <v>989</v>
      </c>
      <c r="C256" s="390">
        <f t="shared" si="1"/>
        <v>0</v>
      </c>
      <c r="D256" s="387">
        <v>53.0</v>
      </c>
      <c r="E256" s="388">
        <v>60.0</v>
      </c>
      <c r="F256" s="388">
        <v>43.0</v>
      </c>
      <c r="G256" s="388">
        <v>43.0</v>
      </c>
      <c r="H256" s="388">
        <v>43.0</v>
      </c>
      <c r="I256" s="388">
        <v>1.0</v>
      </c>
      <c r="J256" s="388">
        <v>43.0</v>
      </c>
      <c r="K256" s="389" t="s">
        <v>299</v>
      </c>
      <c r="L256" s="387">
        <v>4.0</v>
      </c>
      <c r="M256" s="388">
        <v>0.0</v>
      </c>
      <c r="N256" s="388">
        <v>0.0</v>
      </c>
      <c r="O256" s="388">
        <v>0.0</v>
      </c>
      <c r="P256" s="388">
        <v>22.0</v>
      </c>
      <c r="Q256" s="388">
        <v>20.0</v>
      </c>
      <c r="R256" s="388">
        <v>0.0</v>
      </c>
      <c r="S256" s="388"/>
      <c r="T256" s="388">
        <v>22.0</v>
      </c>
      <c r="U256" s="389">
        <v>20.0</v>
      </c>
      <c r="V256" s="387">
        <v>-10.0</v>
      </c>
      <c r="W256" s="388">
        <v>25.0</v>
      </c>
      <c r="X256" s="388">
        <v>0.0</v>
      </c>
      <c r="Y256" s="388">
        <v>0.0</v>
      </c>
      <c r="Z256" s="389">
        <v>0.0</v>
      </c>
      <c r="AA256" s="305"/>
      <c r="AB256" s="306"/>
      <c r="AC256" s="306"/>
    </row>
    <row r="257">
      <c r="A257" s="306" t="s">
        <v>1245</v>
      </c>
      <c r="B257" s="306" t="s">
        <v>989</v>
      </c>
      <c r="C257" s="390">
        <f t="shared" si="1"/>
        <v>0</v>
      </c>
      <c r="D257" s="387">
        <v>62.0</v>
      </c>
      <c r="E257" s="388">
        <v>60.0</v>
      </c>
      <c r="F257" s="388">
        <v>53.0</v>
      </c>
      <c r="G257" s="388">
        <v>53.0</v>
      </c>
      <c r="H257" s="388">
        <v>52.0</v>
      </c>
      <c r="I257" s="388">
        <v>1.0</v>
      </c>
      <c r="J257" s="388">
        <v>1.0</v>
      </c>
      <c r="K257" s="389" t="s">
        <v>299</v>
      </c>
      <c r="L257" s="387">
        <v>4.0</v>
      </c>
      <c r="M257" s="388">
        <v>0.0</v>
      </c>
      <c r="N257" s="388">
        <v>0.0</v>
      </c>
      <c r="O257" s="388">
        <v>0.0</v>
      </c>
      <c r="P257" s="388">
        <v>28.0</v>
      </c>
      <c r="Q257" s="388">
        <v>25.0</v>
      </c>
      <c r="R257" s="388">
        <v>0.0</v>
      </c>
      <c r="S257" s="388"/>
      <c r="T257" s="388">
        <v>28.0</v>
      </c>
      <c r="U257" s="389">
        <v>25.0</v>
      </c>
      <c r="V257" s="387">
        <v>-10.0</v>
      </c>
      <c r="W257" s="388">
        <v>20.0</v>
      </c>
      <c r="X257" s="388">
        <v>5.0</v>
      </c>
      <c r="Y257" s="388">
        <v>0.0</v>
      </c>
      <c r="Z257" s="389">
        <v>0.0</v>
      </c>
      <c r="AA257" s="305"/>
      <c r="AB257" s="306"/>
      <c r="AC257" s="306"/>
    </row>
    <row r="258">
      <c r="A258" s="306" t="s">
        <v>1246</v>
      </c>
      <c r="B258" s="306" t="s">
        <v>989</v>
      </c>
      <c r="C258" s="390">
        <f t="shared" si="1"/>
        <v>0</v>
      </c>
      <c r="D258" s="387">
        <v>73.0</v>
      </c>
      <c r="E258" s="388">
        <v>60.0</v>
      </c>
      <c r="F258" s="388">
        <v>65.0</v>
      </c>
      <c r="G258" s="388">
        <v>65.0</v>
      </c>
      <c r="H258" s="388">
        <v>65.0</v>
      </c>
      <c r="I258" s="388">
        <v>1.0</v>
      </c>
      <c r="J258" s="388">
        <v>1.0</v>
      </c>
      <c r="K258" s="389" t="s">
        <v>299</v>
      </c>
      <c r="L258" s="387">
        <v>4.0</v>
      </c>
      <c r="M258" s="388">
        <v>0.0</v>
      </c>
      <c r="N258" s="388">
        <v>0.0</v>
      </c>
      <c r="O258" s="388">
        <v>0.0</v>
      </c>
      <c r="P258" s="388">
        <v>34.0</v>
      </c>
      <c r="Q258" s="388">
        <v>30.0</v>
      </c>
      <c r="R258" s="388">
        <v>0.0</v>
      </c>
      <c r="S258" s="388"/>
      <c r="T258" s="388">
        <v>34.0</v>
      </c>
      <c r="U258" s="389">
        <v>30.0</v>
      </c>
      <c r="V258" s="387">
        <v>-10.0</v>
      </c>
      <c r="W258" s="388">
        <v>30.0</v>
      </c>
      <c r="X258" s="388">
        <v>10.0</v>
      </c>
      <c r="Y258" s="388">
        <v>0.0</v>
      </c>
      <c r="Z258" s="389">
        <v>0.0</v>
      </c>
      <c r="AA258" s="305"/>
      <c r="AB258" s="306"/>
      <c r="AC258" s="306"/>
    </row>
    <row r="259">
      <c r="A259" s="306" t="s">
        <v>1247</v>
      </c>
      <c r="B259" s="306" t="s">
        <v>989</v>
      </c>
      <c r="C259" s="390">
        <f t="shared" si="1"/>
        <v>0.05</v>
      </c>
      <c r="D259" s="387">
        <v>150.0</v>
      </c>
      <c r="E259" s="388">
        <v>150.0</v>
      </c>
      <c r="F259" s="388">
        <v>120.0</v>
      </c>
      <c r="G259" s="388">
        <v>120.0</v>
      </c>
      <c r="H259" s="388">
        <v>140.0</v>
      </c>
      <c r="I259" s="388">
        <v>130.0</v>
      </c>
      <c r="J259" s="388">
        <v>120.0</v>
      </c>
      <c r="K259" s="389" t="s">
        <v>299</v>
      </c>
      <c r="L259" s="387">
        <v>4.0</v>
      </c>
      <c r="M259" s="388">
        <v>0.0</v>
      </c>
      <c r="N259" s="388">
        <v>0.0</v>
      </c>
      <c r="O259" s="388">
        <v>0.0</v>
      </c>
      <c r="P259" s="388">
        <v>45.0</v>
      </c>
      <c r="Q259" s="388">
        <v>38.0</v>
      </c>
      <c r="R259" s="388">
        <v>0.0</v>
      </c>
      <c r="S259" s="388"/>
      <c r="T259" s="388">
        <v>45.0</v>
      </c>
      <c r="U259" s="389">
        <v>38.0</v>
      </c>
      <c r="V259" s="387">
        <v>-10.0</v>
      </c>
      <c r="W259" s="388">
        <v>40.0</v>
      </c>
      <c r="X259" s="388">
        <v>30.0</v>
      </c>
      <c r="Y259" s="388">
        <v>50.0</v>
      </c>
      <c r="Z259" s="389">
        <v>0.0</v>
      </c>
      <c r="AA259" s="305"/>
      <c r="AB259" s="306"/>
      <c r="AC259" s="306"/>
    </row>
    <row r="260">
      <c r="A260" s="306" t="s">
        <v>1248</v>
      </c>
      <c r="B260" s="306" t="s">
        <v>943</v>
      </c>
      <c r="C260" s="390">
        <f t="shared" si="1"/>
        <v>0</v>
      </c>
      <c r="D260" s="387">
        <v>68.0</v>
      </c>
      <c r="E260" s="388">
        <v>50.0</v>
      </c>
      <c r="F260" s="388">
        <v>60.0</v>
      </c>
      <c r="G260" s="388">
        <v>80.0</v>
      </c>
      <c r="H260" s="388">
        <v>40.0</v>
      </c>
      <c r="I260" s="388">
        <v>1.0</v>
      </c>
      <c r="J260" s="388">
        <v>1.0</v>
      </c>
      <c r="K260" s="389" t="s">
        <v>300</v>
      </c>
      <c r="L260" s="387">
        <v>4.0</v>
      </c>
      <c r="M260" s="388"/>
      <c r="N260" s="388"/>
      <c r="O260" s="388"/>
      <c r="P260" s="388"/>
      <c r="Q260" s="388"/>
      <c r="R260" s="388"/>
      <c r="S260" s="388"/>
      <c r="T260" s="388"/>
      <c r="U260" s="389"/>
      <c r="V260" s="387">
        <v>30.0</v>
      </c>
      <c r="W260" s="388">
        <v>50.0</v>
      </c>
      <c r="X260" s="388">
        <v>15.0</v>
      </c>
      <c r="Y260" s="388">
        <v>99.0</v>
      </c>
      <c r="Z260" s="389">
        <v>70.0</v>
      </c>
      <c r="AA260" s="305"/>
      <c r="AB260" s="306"/>
      <c r="AC260" s="306"/>
    </row>
    <row r="261">
      <c r="A261" s="405" t="s">
        <v>1249</v>
      </c>
      <c r="B261" s="405"/>
      <c r="C261" s="406">
        <f t="shared" si="1"/>
        <v>0.025</v>
      </c>
      <c r="D261" s="407">
        <v>106.0</v>
      </c>
      <c r="E261" s="408">
        <v>90.0</v>
      </c>
      <c r="F261" s="408">
        <v>100.0</v>
      </c>
      <c r="G261" s="408">
        <v>90.0</v>
      </c>
      <c r="H261" s="408">
        <v>90.0</v>
      </c>
      <c r="I261" s="408">
        <v>1.0</v>
      </c>
      <c r="J261" s="408">
        <v>1.0</v>
      </c>
      <c r="K261" s="409"/>
      <c r="L261" s="407"/>
      <c r="M261" s="408">
        <v>0.0</v>
      </c>
      <c r="N261" s="408">
        <v>0.0</v>
      </c>
      <c r="O261" s="408">
        <v>0.0</v>
      </c>
      <c r="P261" s="408">
        <v>0.0</v>
      </c>
      <c r="Q261" s="408">
        <v>30.0</v>
      </c>
      <c r="R261" s="408">
        <v>0.0</v>
      </c>
      <c r="S261" s="408"/>
      <c r="T261" s="408">
        <v>0.0</v>
      </c>
      <c r="U261" s="409"/>
      <c r="V261" s="407">
        <v>90.0</v>
      </c>
      <c r="W261" s="408">
        <v>90.0</v>
      </c>
      <c r="X261" s="408">
        <v>40.0</v>
      </c>
      <c r="Y261" s="408">
        <v>0.0</v>
      </c>
      <c r="Z261" s="409">
        <v>0.0</v>
      </c>
      <c r="AA261" s="410"/>
      <c r="AB261" s="405"/>
      <c r="AC261" s="405"/>
    </row>
    <row r="262">
      <c r="A262" s="405" t="s">
        <v>1250</v>
      </c>
      <c r="B262" s="405"/>
      <c r="C262" s="406">
        <f t="shared" si="1"/>
        <v>0.025</v>
      </c>
      <c r="D262" s="407">
        <v>98.0</v>
      </c>
      <c r="E262" s="408">
        <v>90.0</v>
      </c>
      <c r="F262" s="408">
        <v>105.0</v>
      </c>
      <c r="G262" s="408">
        <v>90.0</v>
      </c>
      <c r="H262" s="408">
        <v>50.0</v>
      </c>
      <c r="I262" s="408">
        <v>1.0</v>
      </c>
      <c r="J262" s="408">
        <v>90.0</v>
      </c>
      <c r="K262" s="409"/>
      <c r="L262" s="407"/>
      <c r="M262" s="408">
        <v>0.0</v>
      </c>
      <c r="N262" s="408">
        <v>0.0</v>
      </c>
      <c r="O262" s="408">
        <v>0.0</v>
      </c>
      <c r="P262" s="408">
        <v>0.0</v>
      </c>
      <c r="Q262" s="408">
        <v>0.0</v>
      </c>
      <c r="R262" s="408">
        <v>0.0</v>
      </c>
      <c r="S262" s="408"/>
      <c r="T262" s="408">
        <v>80.0</v>
      </c>
      <c r="U262" s="409"/>
      <c r="V262" s="407">
        <v>50.0</v>
      </c>
      <c r="W262" s="408">
        <v>90.0</v>
      </c>
      <c r="X262" s="408">
        <v>50.0</v>
      </c>
      <c r="Y262" s="408">
        <v>34.0</v>
      </c>
      <c r="Z262" s="409">
        <v>66.0</v>
      </c>
      <c r="AA262" s="410"/>
      <c r="AB262" s="405"/>
      <c r="AC262" s="405"/>
    </row>
    <row r="263">
      <c r="A263" s="306" t="s">
        <v>1251</v>
      </c>
      <c r="B263" s="306" t="s">
        <v>943</v>
      </c>
      <c r="C263" s="390">
        <f t="shared" si="1"/>
        <v>0.025</v>
      </c>
      <c r="D263" s="387">
        <v>159.0</v>
      </c>
      <c r="E263" s="388">
        <v>200.0</v>
      </c>
      <c r="F263" s="388">
        <v>125.0</v>
      </c>
      <c r="G263" s="388">
        <v>120.0</v>
      </c>
      <c r="H263" s="388">
        <v>90.0</v>
      </c>
      <c r="I263" s="388">
        <v>90.0</v>
      </c>
      <c r="J263" s="388">
        <v>90.0</v>
      </c>
      <c r="K263" s="389" t="s">
        <v>301</v>
      </c>
      <c r="L263" s="387">
        <v>6.0</v>
      </c>
      <c r="M263" s="388"/>
      <c r="N263" s="388"/>
      <c r="O263" s="388"/>
      <c r="P263" s="388"/>
      <c r="Q263" s="388"/>
      <c r="R263" s="388"/>
      <c r="S263" s="388"/>
      <c r="T263" s="388"/>
      <c r="U263" s="389"/>
      <c r="V263" s="387">
        <v>70.0</v>
      </c>
      <c r="W263" s="388">
        <v>70.0</v>
      </c>
      <c r="X263" s="388">
        <v>70.0</v>
      </c>
      <c r="Y263" s="388">
        <v>140.0</v>
      </c>
      <c r="Z263" s="389">
        <v>120.0</v>
      </c>
      <c r="AA263" s="305"/>
      <c r="AB263" s="306" t="s">
        <v>936</v>
      </c>
      <c r="AC263" s="306"/>
    </row>
    <row r="264">
      <c r="A264" s="306" t="s">
        <v>1252</v>
      </c>
      <c r="B264" s="306" t="s">
        <v>1253</v>
      </c>
      <c r="C264" s="390">
        <f t="shared" si="1"/>
        <v>0</v>
      </c>
      <c r="D264" s="387">
        <v>42.0</v>
      </c>
      <c r="E264" s="388">
        <v>44.0</v>
      </c>
      <c r="F264" s="388">
        <v>38.0</v>
      </c>
      <c r="G264" s="388">
        <v>38.0</v>
      </c>
      <c r="H264" s="388">
        <v>29.0</v>
      </c>
      <c r="I264" s="388">
        <v>1.0</v>
      </c>
      <c r="J264" s="388">
        <v>1.0</v>
      </c>
      <c r="K264" s="389" t="s">
        <v>301</v>
      </c>
      <c r="L264" s="387">
        <v>4.0</v>
      </c>
      <c r="M264" s="388">
        <v>0.0</v>
      </c>
      <c r="N264" s="388">
        <v>0.0</v>
      </c>
      <c r="O264" s="388">
        <v>0.0</v>
      </c>
      <c r="P264" s="388">
        <v>0.0</v>
      </c>
      <c r="Q264" s="388">
        <v>0.0</v>
      </c>
      <c r="R264" s="388">
        <v>0.0</v>
      </c>
      <c r="S264" s="388"/>
      <c r="T264" s="388">
        <v>0.0</v>
      </c>
      <c r="U264" s="389">
        <v>0.0</v>
      </c>
      <c r="V264" s="387">
        <v>10.0</v>
      </c>
      <c r="W264" s="388">
        <v>5.0</v>
      </c>
      <c r="X264" s="388">
        <v>15.0</v>
      </c>
      <c r="Y264" s="388">
        <v>5.0</v>
      </c>
      <c r="Z264" s="389">
        <v>10.0</v>
      </c>
      <c r="AA264" s="305"/>
      <c r="AB264" s="306"/>
      <c r="AC264" s="306"/>
    </row>
    <row r="265">
      <c r="A265" s="319" t="s">
        <v>1254</v>
      </c>
      <c r="B265" s="411" t="s">
        <v>1255</v>
      </c>
      <c r="C265" s="412">
        <f t="shared" si="1"/>
        <v>0</v>
      </c>
      <c r="D265" s="413">
        <v>80.0</v>
      </c>
      <c r="E265" s="414">
        <v>130.0</v>
      </c>
      <c r="F265" s="414">
        <v>55.0</v>
      </c>
      <c r="G265" s="414">
        <v>60.0</v>
      </c>
      <c r="H265" s="414">
        <v>50.0</v>
      </c>
      <c r="I265" s="414">
        <v>1.0</v>
      </c>
      <c r="J265" s="414">
        <v>1.0</v>
      </c>
      <c r="K265" s="415" t="s">
        <v>300</v>
      </c>
      <c r="L265" s="413">
        <v>4.0</v>
      </c>
      <c r="M265" s="178"/>
      <c r="N265" s="178"/>
      <c r="O265" s="178"/>
      <c r="P265" s="178"/>
      <c r="Q265" s="178"/>
      <c r="R265" s="178"/>
      <c r="S265" s="178"/>
      <c r="T265" s="178"/>
      <c r="U265" s="416"/>
      <c r="V265" s="413">
        <v>0.0</v>
      </c>
      <c r="W265" s="414">
        <v>0.0</v>
      </c>
      <c r="X265" s="414">
        <v>0.0</v>
      </c>
      <c r="Y265" s="414">
        <v>0.0</v>
      </c>
      <c r="Z265" s="415">
        <v>0.0</v>
      </c>
      <c r="AA265" s="394"/>
      <c r="AB265" s="395"/>
      <c r="AC265" s="395"/>
    </row>
    <row r="266">
      <c r="A266" s="429" t="s">
        <v>1256</v>
      </c>
      <c r="B266" s="429"/>
      <c r="C266" s="390">
        <f t="shared" si="1"/>
        <v>0</v>
      </c>
      <c r="D266" s="387">
        <v>2.0</v>
      </c>
      <c r="E266" s="388">
        <v>7.0</v>
      </c>
      <c r="F266" s="388">
        <v>1.0</v>
      </c>
      <c r="G266" s="388">
        <v>1.0</v>
      </c>
      <c r="H266" s="388">
        <v>1.0</v>
      </c>
      <c r="I266" s="388">
        <v>1.0</v>
      </c>
      <c r="J266" s="388">
        <v>1.0</v>
      </c>
      <c r="K266" s="389" t="s">
        <v>299</v>
      </c>
      <c r="L266" s="387">
        <v>4.0</v>
      </c>
      <c r="M266" s="388">
        <v>0.0</v>
      </c>
      <c r="N266" s="388">
        <v>0.0</v>
      </c>
      <c r="O266" s="388">
        <v>0.0</v>
      </c>
      <c r="P266" s="388">
        <v>0.0</v>
      </c>
      <c r="Q266" s="388">
        <v>0.0</v>
      </c>
      <c r="R266" s="388">
        <v>0.0</v>
      </c>
      <c r="S266" s="388"/>
      <c r="T266" s="388">
        <v>0.0</v>
      </c>
      <c r="U266" s="389">
        <v>0.0</v>
      </c>
      <c r="V266" s="387">
        <v>-21.0</v>
      </c>
      <c r="W266" s="388">
        <v>-21.0</v>
      </c>
      <c r="X266" s="388">
        <v>-21.0</v>
      </c>
      <c r="Y266" s="388">
        <v>-21.0</v>
      </c>
      <c r="Z266" s="389">
        <v>-21.0</v>
      </c>
      <c r="AA266" s="305"/>
      <c r="AB266" s="306"/>
      <c r="AC266" s="306"/>
    </row>
    <row r="267">
      <c r="A267" s="429" t="s">
        <v>1257</v>
      </c>
      <c r="B267" s="429" t="s">
        <v>1258</v>
      </c>
      <c r="C267" s="390">
        <f t="shared" si="1"/>
        <v>0</v>
      </c>
      <c r="D267" s="387">
        <v>3.0</v>
      </c>
      <c r="E267" s="388">
        <v>10.0</v>
      </c>
      <c r="F267" s="388">
        <v>1.0</v>
      </c>
      <c r="G267" s="388">
        <v>1.0</v>
      </c>
      <c r="H267" s="388">
        <v>2.0</v>
      </c>
      <c r="I267" s="388">
        <v>1.0</v>
      </c>
      <c r="J267" s="388">
        <v>1.0</v>
      </c>
      <c r="K267" s="389" t="s">
        <v>299</v>
      </c>
      <c r="L267" s="387">
        <v>4.0</v>
      </c>
      <c r="M267" s="388">
        <v>0.0</v>
      </c>
      <c r="N267" s="388">
        <v>0.0</v>
      </c>
      <c r="O267" s="388">
        <v>0.0</v>
      </c>
      <c r="P267" s="388">
        <v>0.0</v>
      </c>
      <c r="Q267" s="388">
        <v>0.0</v>
      </c>
      <c r="R267" s="388">
        <v>0.0</v>
      </c>
      <c r="S267" s="388"/>
      <c r="T267" s="388">
        <v>0.0</v>
      </c>
      <c r="U267" s="389">
        <v>0.0</v>
      </c>
      <c r="V267" s="387">
        <v>1.0</v>
      </c>
      <c r="W267" s="388">
        <v>1.0</v>
      </c>
      <c r="X267" s="388">
        <v>1.0</v>
      </c>
      <c r="Y267" s="388">
        <v>0.0</v>
      </c>
      <c r="Z267" s="389">
        <v>0.0</v>
      </c>
      <c r="AA267" s="305"/>
      <c r="AB267" s="306"/>
      <c r="AC267" s="306"/>
    </row>
    <row r="268">
      <c r="A268" s="405" t="s">
        <v>1259</v>
      </c>
      <c r="B268" s="405"/>
      <c r="C268" s="406">
        <f t="shared" si="1"/>
        <v>0</v>
      </c>
      <c r="D268" s="407">
        <v>140.0</v>
      </c>
      <c r="E268" s="408">
        <v>65.0</v>
      </c>
      <c r="F268" s="408">
        <v>200.0</v>
      </c>
      <c r="G268" s="408">
        <v>175.0</v>
      </c>
      <c r="H268" s="408">
        <v>10.0</v>
      </c>
      <c r="I268" s="408">
        <v>1.0</v>
      </c>
      <c r="J268" s="408">
        <v>1.0</v>
      </c>
      <c r="K268" s="409"/>
      <c r="L268" s="407"/>
      <c r="M268" s="408">
        <v>0.0</v>
      </c>
      <c r="N268" s="408">
        <v>0.0</v>
      </c>
      <c r="O268" s="408">
        <v>0.0</v>
      </c>
      <c r="P268" s="408">
        <v>0.0</v>
      </c>
      <c r="Q268" s="408">
        <v>0.0</v>
      </c>
      <c r="R268" s="408">
        <v>0.0</v>
      </c>
      <c r="S268" s="408"/>
      <c r="T268" s="408">
        <v>0.0</v>
      </c>
      <c r="U268" s="409">
        <v>0.0</v>
      </c>
      <c r="V268" s="407">
        <v>0.0</v>
      </c>
      <c r="W268" s="408">
        <v>0.0</v>
      </c>
      <c r="X268" s="408">
        <v>0.0</v>
      </c>
      <c r="Y268" s="408">
        <v>0.0</v>
      </c>
      <c r="Z268" s="409">
        <v>0.0</v>
      </c>
      <c r="AA268" s="410"/>
      <c r="AB268" s="405"/>
      <c r="AC268" s="405"/>
    </row>
    <row r="269">
      <c r="A269" s="405" t="s">
        <v>1260</v>
      </c>
      <c r="B269" s="405"/>
      <c r="C269" s="406">
        <f t="shared" si="1"/>
        <v>0</v>
      </c>
      <c r="D269" s="407">
        <v>79.0</v>
      </c>
      <c r="E269" s="408">
        <v>45.0</v>
      </c>
      <c r="F269" s="408">
        <v>75.0</v>
      </c>
      <c r="G269" s="408">
        <v>78.0</v>
      </c>
      <c r="H269" s="408">
        <v>74.0</v>
      </c>
      <c r="I269" s="408">
        <v>1.0</v>
      </c>
      <c r="J269" s="408">
        <v>1.0</v>
      </c>
      <c r="K269" s="409"/>
      <c r="L269" s="407"/>
      <c r="M269" s="408">
        <v>0.0</v>
      </c>
      <c r="N269" s="408">
        <v>0.0</v>
      </c>
      <c r="O269" s="408">
        <v>0.0</v>
      </c>
      <c r="P269" s="408">
        <v>0.0</v>
      </c>
      <c r="Q269" s="408">
        <v>0.0</v>
      </c>
      <c r="R269" s="408">
        <v>0.0</v>
      </c>
      <c r="S269" s="408"/>
      <c r="T269" s="408">
        <v>0.0</v>
      </c>
      <c r="U269" s="409"/>
      <c r="V269" s="407">
        <v>0.0</v>
      </c>
      <c r="W269" s="408">
        <v>0.0</v>
      </c>
      <c r="X269" s="408">
        <v>0.0</v>
      </c>
      <c r="Y269" s="408">
        <v>0.0</v>
      </c>
      <c r="Z269" s="409">
        <v>0.0</v>
      </c>
      <c r="AA269" s="410"/>
      <c r="AB269" s="405"/>
      <c r="AC269" s="405"/>
    </row>
    <row r="270">
      <c r="A270" s="405" t="s">
        <v>1261</v>
      </c>
      <c r="B270" s="405"/>
      <c r="C270" s="406">
        <f t="shared" si="1"/>
        <v>0</v>
      </c>
      <c r="D270" s="407">
        <v>201.0</v>
      </c>
      <c r="E270" s="408">
        <v>135.0</v>
      </c>
      <c r="F270" s="408">
        <v>225.0</v>
      </c>
      <c r="G270" s="408">
        <v>234.0</v>
      </c>
      <c r="H270" s="408">
        <v>74.0</v>
      </c>
      <c r="I270" s="408">
        <v>1.0</v>
      </c>
      <c r="J270" s="408">
        <v>1.0</v>
      </c>
      <c r="K270" s="409"/>
      <c r="L270" s="407"/>
      <c r="M270" s="408">
        <v>0.0</v>
      </c>
      <c r="N270" s="408">
        <v>0.0</v>
      </c>
      <c r="O270" s="408">
        <v>0.0</v>
      </c>
      <c r="P270" s="408">
        <v>0.0</v>
      </c>
      <c r="Q270" s="408">
        <v>0.0</v>
      </c>
      <c r="R270" s="408">
        <v>0.0</v>
      </c>
      <c r="S270" s="408"/>
      <c r="T270" s="408">
        <v>0.0</v>
      </c>
      <c r="U270" s="409"/>
      <c r="V270" s="407">
        <v>0.0</v>
      </c>
      <c r="W270" s="408">
        <v>0.0</v>
      </c>
      <c r="X270" s="408">
        <v>0.0</v>
      </c>
      <c r="Y270" s="408">
        <v>0.0</v>
      </c>
      <c r="Z270" s="409">
        <v>0.0</v>
      </c>
      <c r="AA270" s="410"/>
      <c r="AB270" s="405"/>
      <c r="AC270" s="405"/>
    </row>
    <row r="271">
      <c r="A271" s="405" t="s">
        <v>1262</v>
      </c>
      <c r="B271" s="405"/>
      <c r="C271" s="406">
        <f t="shared" si="1"/>
        <v>0.075</v>
      </c>
      <c r="D271" s="407">
        <v>304.0</v>
      </c>
      <c r="E271" s="408">
        <v>255.0</v>
      </c>
      <c r="F271" s="408">
        <v>268.0</v>
      </c>
      <c r="G271" s="408">
        <v>268.0</v>
      </c>
      <c r="H271" s="408">
        <v>268.0</v>
      </c>
      <c r="I271" s="408">
        <v>168.0</v>
      </c>
      <c r="J271" s="408">
        <v>168.0</v>
      </c>
      <c r="K271" s="409"/>
      <c r="L271" s="407"/>
      <c r="M271" s="408">
        <v>0.0</v>
      </c>
      <c r="N271" s="408">
        <v>0.0</v>
      </c>
      <c r="O271" s="408">
        <v>0.0</v>
      </c>
      <c r="P271" s="408">
        <v>0.0</v>
      </c>
      <c r="Q271" s="408">
        <v>0.0</v>
      </c>
      <c r="R271" s="408">
        <v>0.0</v>
      </c>
      <c r="S271" s="408"/>
      <c r="T271" s="408">
        <v>0.0</v>
      </c>
      <c r="U271" s="409"/>
      <c r="V271" s="407">
        <v>50.0</v>
      </c>
      <c r="W271" s="408">
        <v>100.0</v>
      </c>
      <c r="X271" s="408">
        <v>70.0</v>
      </c>
      <c r="Y271" s="408">
        <v>30.0</v>
      </c>
      <c r="Z271" s="409">
        <v>90.0</v>
      </c>
      <c r="AA271" s="410"/>
      <c r="AB271" s="405" t="s">
        <v>936</v>
      </c>
      <c r="AC271" s="405"/>
    </row>
    <row r="272">
      <c r="A272" s="306" t="s">
        <v>1263</v>
      </c>
      <c r="B272" s="306" t="s">
        <v>1264</v>
      </c>
      <c r="C272" s="390">
        <f t="shared" si="1"/>
        <v>0</v>
      </c>
      <c r="D272" s="387">
        <v>5.0</v>
      </c>
      <c r="E272" s="388">
        <v>15.0</v>
      </c>
      <c r="F272" s="388">
        <v>2.0</v>
      </c>
      <c r="G272" s="388">
        <v>2.0</v>
      </c>
      <c r="H272" s="388">
        <v>3.0</v>
      </c>
      <c r="I272" s="388">
        <v>1.0</v>
      </c>
      <c r="J272" s="388">
        <v>1.0</v>
      </c>
      <c r="K272" s="389" t="s">
        <v>299</v>
      </c>
      <c r="L272" s="387">
        <v>4.0</v>
      </c>
      <c r="M272" s="388">
        <v>0.0</v>
      </c>
      <c r="N272" s="388">
        <v>0.0</v>
      </c>
      <c r="O272" s="388">
        <v>0.0</v>
      </c>
      <c r="P272" s="388">
        <v>0.0</v>
      </c>
      <c r="Q272" s="388">
        <v>0.0</v>
      </c>
      <c r="R272" s="388">
        <v>0.0</v>
      </c>
      <c r="S272" s="388"/>
      <c r="T272" s="388">
        <v>0.0</v>
      </c>
      <c r="U272" s="389">
        <v>0.0</v>
      </c>
      <c r="V272" s="387">
        <v>0.0</v>
      </c>
      <c r="W272" s="388">
        <v>0.0</v>
      </c>
      <c r="X272" s="388">
        <v>0.0</v>
      </c>
      <c r="Y272" s="388">
        <v>0.0</v>
      </c>
      <c r="Z272" s="389">
        <v>0.0</v>
      </c>
      <c r="AA272" s="305"/>
      <c r="AB272" s="306"/>
      <c r="AC272" s="306"/>
    </row>
    <row r="273">
      <c r="A273" s="306" t="s">
        <v>1265</v>
      </c>
      <c r="B273" s="306" t="s">
        <v>1266</v>
      </c>
      <c r="C273" s="390">
        <f t="shared" si="1"/>
        <v>0</v>
      </c>
      <c r="D273" s="387">
        <v>17.0</v>
      </c>
      <c r="E273" s="388">
        <v>10.0</v>
      </c>
      <c r="F273" s="388">
        <v>8.0</v>
      </c>
      <c r="G273" s="388">
        <v>8.0</v>
      </c>
      <c r="H273" s="388">
        <v>12.0</v>
      </c>
      <c r="I273" s="388">
        <v>25.0</v>
      </c>
      <c r="J273" s="388">
        <v>1.0</v>
      </c>
      <c r="K273" s="389" t="s">
        <v>299</v>
      </c>
      <c r="L273" s="387">
        <v>4.0</v>
      </c>
      <c r="M273" s="388">
        <v>0.0</v>
      </c>
      <c r="N273" s="388">
        <v>0.0</v>
      </c>
      <c r="O273" s="388">
        <v>0.0</v>
      </c>
      <c r="P273" s="388">
        <v>0.0</v>
      </c>
      <c r="Q273" s="388">
        <v>0.0</v>
      </c>
      <c r="R273" s="388">
        <v>0.0</v>
      </c>
      <c r="S273" s="388"/>
      <c r="T273" s="388">
        <v>0.0</v>
      </c>
      <c r="U273" s="389">
        <v>0.0</v>
      </c>
      <c r="V273" s="387">
        <v>0.0</v>
      </c>
      <c r="W273" s="388">
        <v>0.0</v>
      </c>
      <c r="X273" s="388">
        <v>0.0</v>
      </c>
      <c r="Y273" s="388">
        <v>0.0</v>
      </c>
      <c r="Z273" s="389">
        <v>0.0</v>
      </c>
      <c r="AA273" s="305"/>
      <c r="AB273" s="306"/>
      <c r="AC273" s="306"/>
    </row>
    <row r="274">
      <c r="A274" s="306" t="s">
        <v>1267</v>
      </c>
      <c r="B274" s="306" t="s">
        <v>1266</v>
      </c>
      <c r="C274" s="390">
        <f t="shared" si="1"/>
        <v>0</v>
      </c>
      <c r="D274" s="387">
        <v>22.0</v>
      </c>
      <c r="E274" s="388">
        <v>20.0</v>
      </c>
      <c r="F274" s="388">
        <v>18.0</v>
      </c>
      <c r="G274" s="388">
        <v>18.0</v>
      </c>
      <c r="H274" s="388">
        <v>22.0</v>
      </c>
      <c r="I274" s="388">
        <v>25.0</v>
      </c>
      <c r="J274" s="388">
        <v>1.0</v>
      </c>
      <c r="K274" s="389" t="s">
        <v>299</v>
      </c>
      <c r="L274" s="387">
        <v>4.0</v>
      </c>
      <c r="M274" s="388">
        <v>0.0</v>
      </c>
      <c r="N274" s="388">
        <v>0.0</v>
      </c>
      <c r="O274" s="388">
        <v>0.0</v>
      </c>
      <c r="P274" s="388">
        <v>0.0</v>
      </c>
      <c r="Q274" s="388">
        <v>0.0</v>
      </c>
      <c r="R274" s="388">
        <v>0.0</v>
      </c>
      <c r="S274" s="388"/>
      <c r="T274" s="388">
        <v>0.0</v>
      </c>
      <c r="U274" s="389">
        <v>0.0</v>
      </c>
      <c r="V274" s="387">
        <v>0.0</v>
      </c>
      <c r="W274" s="388">
        <v>0.0</v>
      </c>
      <c r="X274" s="388">
        <v>0.0</v>
      </c>
      <c r="Y274" s="388">
        <v>0.0</v>
      </c>
      <c r="Z274" s="389">
        <v>0.0</v>
      </c>
      <c r="AA274" s="305"/>
      <c r="AB274" s="306"/>
      <c r="AC274" s="306"/>
    </row>
    <row r="275">
      <c r="A275" s="306" t="s">
        <v>1268</v>
      </c>
      <c r="B275" s="306" t="s">
        <v>1269</v>
      </c>
      <c r="C275" s="390">
        <f t="shared" si="1"/>
        <v>0</v>
      </c>
      <c r="D275" s="387">
        <v>3.0</v>
      </c>
      <c r="E275" s="388">
        <v>6.0</v>
      </c>
      <c r="F275" s="388">
        <v>2.0</v>
      </c>
      <c r="G275" s="388">
        <v>3.0</v>
      </c>
      <c r="H275" s="388">
        <v>2.0</v>
      </c>
      <c r="I275" s="388">
        <v>1.0</v>
      </c>
      <c r="J275" s="388">
        <v>1.0</v>
      </c>
      <c r="K275" s="389" t="s">
        <v>299</v>
      </c>
      <c r="L275" s="387">
        <v>4.0</v>
      </c>
      <c r="M275" s="388">
        <v>0.0</v>
      </c>
      <c r="N275" s="388">
        <v>0.0</v>
      </c>
      <c r="O275" s="388">
        <v>0.0</v>
      </c>
      <c r="P275" s="388">
        <v>0.0</v>
      </c>
      <c r="Q275" s="388">
        <v>0.0</v>
      </c>
      <c r="R275" s="388">
        <v>0.0</v>
      </c>
      <c r="S275" s="388"/>
      <c r="T275" s="388">
        <v>0.0</v>
      </c>
      <c r="U275" s="389">
        <v>0.0</v>
      </c>
      <c r="V275" s="387">
        <v>0.0</v>
      </c>
      <c r="W275" s="388">
        <v>0.0</v>
      </c>
      <c r="X275" s="388">
        <v>0.0</v>
      </c>
      <c r="Y275" s="388">
        <v>0.0</v>
      </c>
      <c r="Z275" s="389">
        <v>0.0</v>
      </c>
      <c r="AA275" s="305"/>
      <c r="AB275" s="306"/>
      <c r="AC275" s="306"/>
    </row>
    <row r="276">
      <c r="A276" s="405" t="s">
        <v>1270</v>
      </c>
      <c r="B276" s="405"/>
      <c r="C276" s="406">
        <f t="shared" si="1"/>
        <v>0.025</v>
      </c>
      <c r="D276" s="407">
        <v>167.0</v>
      </c>
      <c r="E276" s="408">
        <v>130.0</v>
      </c>
      <c r="F276" s="408">
        <v>130.0</v>
      </c>
      <c r="G276" s="408">
        <v>130.0</v>
      </c>
      <c r="H276" s="408">
        <v>200.0</v>
      </c>
      <c r="I276" s="408">
        <v>130.0</v>
      </c>
      <c r="J276" s="408">
        <v>1.0</v>
      </c>
      <c r="K276" s="409"/>
      <c r="L276" s="407"/>
      <c r="M276" s="408">
        <v>0.0</v>
      </c>
      <c r="N276" s="408">
        <v>0.0</v>
      </c>
      <c r="O276" s="408">
        <v>0.0</v>
      </c>
      <c r="P276" s="408">
        <v>50.0</v>
      </c>
      <c r="Q276" s="408">
        <v>0.0</v>
      </c>
      <c r="R276" s="408">
        <v>0.0</v>
      </c>
      <c r="S276" s="408"/>
      <c r="T276" s="408">
        <v>0.0</v>
      </c>
      <c r="U276" s="409"/>
      <c r="V276" s="407">
        <v>0.0</v>
      </c>
      <c r="W276" s="408">
        <v>0.0</v>
      </c>
      <c r="X276" s="408">
        <v>0.0</v>
      </c>
      <c r="Y276" s="408">
        <v>0.0</v>
      </c>
      <c r="Z276" s="409">
        <v>0.0</v>
      </c>
      <c r="AA276" s="410"/>
      <c r="AB276" s="405"/>
      <c r="AC276" s="405"/>
    </row>
    <row r="277">
      <c r="A277" s="405" t="s">
        <v>1271</v>
      </c>
      <c r="B277" s="405"/>
      <c r="C277" s="406">
        <f t="shared" si="1"/>
        <v>0</v>
      </c>
      <c r="D277" s="407">
        <v>82.0</v>
      </c>
      <c r="E277" s="408">
        <v>60.0</v>
      </c>
      <c r="F277" s="408">
        <v>100.0</v>
      </c>
      <c r="G277" s="408">
        <v>60.0</v>
      </c>
      <c r="H277" s="408">
        <v>60.0</v>
      </c>
      <c r="I277" s="408">
        <v>60.0</v>
      </c>
      <c r="J277" s="408">
        <v>1.0</v>
      </c>
      <c r="K277" s="409"/>
      <c r="L277" s="407"/>
      <c r="M277" s="408">
        <v>0.0</v>
      </c>
      <c r="N277" s="408">
        <v>0.0</v>
      </c>
      <c r="O277" s="408">
        <v>0.0</v>
      </c>
      <c r="P277" s="408">
        <v>15.0</v>
      </c>
      <c r="Q277" s="408">
        <v>0.0</v>
      </c>
      <c r="R277" s="408">
        <v>0.0</v>
      </c>
      <c r="S277" s="408"/>
      <c r="T277" s="408">
        <v>0.0</v>
      </c>
      <c r="U277" s="409"/>
      <c r="V277" s="407">
        <v>0.0</v>
      </c>
      <c r="W277" s="408">
        <v>0.0</v>
      </c>
      <c r="X277" s="408">
        <v>0.0</v>
      </c>
      <c r="Y277" s="408">
        <v>0.0</v>
      </c>
      <c r="Z277" s="409">
        <v>0.0</v>
      </c>
      <c r="AA277" s="410"/>
      <c r="AB277" s="405" t="s">
        <v>929</v>
      </c>
      <c r="AC277" s="405"/>
    </row>
    <row r="278">
      <c r="A278" s="405" t="s">
        <v>1272</v>
      </c>
      <c r="B278" s="405"/>
      <c r="C278" s="406">
        <f t="shared" si="1"/>
        <v>0</v>
      </c>
      <c r="D278" s="407">
        <v>98.0</v>
      </c>
      <c r="E278" s="408">
        <v>60.0</v>
      </c>
      <c r="F278" s="408">
        <v>150.0</v>
      </c>
      <c r="G278" s="408">
        <v>60.0</v>
      </c>
      <c r="H278" s="408">
        <v>60.0</v>
      </c>
      <c r="I278" s="408">
        <v>60.0</v>
      </c>
      <c r="J278" s="408">
        <v>1.0</v>
      </c>
      <c r="K278" s="409"/>
      <c r="L278" s="407"/>
      <c r="M278" s="408">
        <v>0.0</v>
      </c>
      <c r="N278" s="408">
        <v>0.0</v>
      </c>
      <c r="O278" s="408">
        <v>0.0</v>
      </c>
      <c r="P278" s="408">
        <v>35.0</v>
      </c>
      <c r="Q278" s="408">
        <v>0.0</v>
      </c>
      <c r="R278" s="408">
        <v>0.0</v>
      </c>
      <c r="S278" s="408"/>
      <c r="T278" s="408">
        <v>0.0</v>
      </c>
      <c r="U278" s="409"/>
      <c r="V278" s="407">
        <v>0.0</v>
      </c>
      <c r="W278" s="408">
        <v>0.0</v>
      </c>
      <c r="X278" s="408">
        <v>0.0</v>
      </c>
      <c r="Y278" s="408">
        <v>0.0</v>
      </c>
      <c r="Z278" s="409">
        <v>0.0</v>
      </c>
      <c r="AA278" s="410"/>
      <c r="AB278" s="405" t="s">
        <v>929</v>
      </c>
      <c r="AC278" s="405"/>
    </row>
    <row r="279">
      <c r="A279" s="405" t="s">
        <v>1273</v>
      </c>
      <c r="B279" s="405"/>
      <c r="C279" s="406">
        <f t="shared" si="1"/>
        <v>0</v>
      </c>
      <c r="D279" s="407">
        <v>129.0</v>
      </c>
      <c r="E279" s="408">
        <v>90.0</v>
      </c>
      <c r="F279" s="408">
        <v>150.0</v>
      </c>
      <c r="G279" s="408">
        <v>110.0</v>
      </c>
      <c r="H279" s="408">
        <v>90.0</v>
      </c>
      <c r="I279" s="408">
        <v>90.0</v>
      </c>
      <c r="J279" s="408">
        <v>1.0</v>
      </c>
      <c r="K279" s="409"/>
      <c r="L279" s="407"/>
      <c r="M279" s="408">
        <v>0.0</v>
      </c>
      <c r="N279" s="408">
        <v>0.0</v>
      </c>
      <c r="O279" s="408">
        <v>0.0</v>
      </c>
      <c r="P279" s="408">
        <v>35.0</v>
      </c>
      <c r="Q279" s="408">
        <v>0.0</v>
      </c>
      <c r="R279" s="408">
        <v>0.0</v>
      </c>
      <c r="S279" s="408"/>
      <c r="T279" s="408">
        <v>0.0</v>
      </c>
      <c r="U279" s="409"/>
      <c r="V279" s="407">
        <v>0.0</v>
      </c>
      <c r="W279" s="408">
        <v>0.0</v>
      </c>
      <c r="X279" s="408">
        <v>0.0</v>
      </c>
      <c r="Y279" s="408">
        <v>0.0</v>
      </c>
      <c r="Z279" s="409">
        <v>0.0</v>
      </c>
      <c r="AA279" s="410"/>
      <c r="AB279" s="405" t="s">
        <v>929</v>
      </c>
      <c r="AC279" s="405"/>
    </row>
    <row r="280">
      <c r="A280" s="306" t="s">
        <v>1274</v>
      </c>
      <c r="B280" s="306" t="s">
        <v>1275</v>
      </c>
      <c r="C280" s="390">
        <f t="shared" si="1"/>
        <v>0</v>
      </c>
      <c r="D280" s="387">
        <v>42.0</v>
      </c>
      <c r="E280" s="388">
        <v>60.0</v>
      </c>
      <c r="F280" s="388">
        <v>30.0</v>
      </c>
      <c r="G280" s="388">
        <v>30.0</v>
      </c>
      <c r="H280" s="388">
        <v>30.0</v>
      </c>
      <c r="I280" s="388">
        <v>1.0</v>
      </c>
      <c r="J280" s="388">
        <v>1.0</v>
      </c>
      <c r="K280" s="389" t="s">
        <v>299</v>
      </c>
      <c r="L280" s="387">
        <v>6.0</v>
      </c>
      <c r="M280" s="388">
        <v>0.0</v>
      </c>
      <c r="N280" s="388">
        <v>0.0</v>
      </c>
      <c r="O280" s="388">
        <v>0.0</v>
      </c>
      <c r="P280" s="388">
        <v>33.0</v>
      </c>
      <c r="Q280" s="388">
        <v>31.0</v>
      </c>
      <c r="R280" s="388">
        <v>0.0</v>
      </c>
      <c r="S280" s="388"/>
      <c r="T280" s="388">
        <v>0.0</v>
      </c>
      <c r="U280" s="389">
        <v>0.0</v>
      </c>
      <c r="V280" s="387">
        <v>0.0</v>
      </c>
      <c r="W280" s="388">
        <v>0.0</v>
      </c>
      <c r="X280" s="388">
        <v>0.0</v>
      </c>
      <c r="Y280" s="388">
        <v>0.0</v>
      </c>
      <c r="Z280" s="389">
        <v>0.0</v>
      </c>
      <c r="AA280" s="305"/>
      <c r="AB280" s="306"/>
      <c r="AC280" s="306"/>
    </row>
    <row r="281">
      <c r="A281" s="405" t="s">
        <v>1276</v>
      </c>
      <c r="B281" s="405"/>
      <c r="C281" s="406">
        <f t="shared" si="1"/>
        <v>0.025</v>
      </c>
      <c r="D281" s="407">
        <v>84.0</v>
      </c>
      <c r="E281" s="408">
        <v>120.0</v>
      </c>
      <c r="F281" s="408">
        <v>60.0</v>
      </c>
      <c r="G281" s="408">
        <v>60.0</v>
      </c>
      <c r="H281" s="408">
        <v>60.0</v>
      </c>
      <c r="I281" s="408">
        <v>1.0</v>
      </c>
      <c r="J281" s="408">
        <v>1.0</v>
      </c>
      <c r="K281" s="409"/>
      <c r="L281" s="407"/>
      <c r="M281" s="408">
        <v>1.0</v>
      </c>
      <c r="N281" s="408">
        <v>1.0</v>
      </c>
      <c r="O281" s="408">
        <v>1.0</v>
      </c>
      <c r="P281" s="408">
        <v>66.0</v>
      </c>
      <c r="Q281" s="408">
        <v>62.0</v>
      </c>
      <c r="R281" s="408">
        <v>1.0</v>
      </c>
      <c r="S281" s="408"/>
      <c r="T281" s="408">
        <v>1.0</v>
      </c>
      <c r="U281" s="409"/>
      <c r="V281" s="407">
        <v>0.0</v>
      </c>
      <c r="W281" s="408">
        <v>0.0</v>
      </c>
      <c r="X281" s="408">
        <v>0.0</v>
      </c>
      <c r="Y281" s="408">
        <v>0.0</v>
      </c>
      <c r="Z281" s="409">
        <v>0.0</v>
      </c>
      <c r="AA281" s="410"/>
      <c r="AB281" s="405"/>
      <c r="AC281" s="405"/>
    </row>
    <row r="282">
      <c r="A282" s="405" t="s">
        <v>1277</v>
      </c>
      <c r="B282" s="405"/>
      <c r="C282" s="406">
        <f t="shared" si="1"/>
        <v>0.075</v>
      </c>
      <c r="D282" s="407">
        <v>182.0</v>
      </c>
      <c r="E282" s="408">
        <v>240.0</v>
      </c>
      <c r="F282" s="408">
        <v>165.0</v>
      </c>
      <c r="G282" s="408">
        <v>165.0</v>
      </c>
      <c r="H282" s="408">
        <v>60.0</v>
      </c>
      <c r="I282" s="408">
        <v>1.0</v>
      </c>
      <c r="J282" s="408">
        <v>1.0</v>
      </c>
      <c r="K282" s="409"/>
      <c r="L282" s="407"/>
      <c r="M282" s="408">
        <v>1.0</v>
      </c>
      <c r="N282" s="408">
        <v>1.0</v>
      </c>
      <c r="O282" s="408">
        <v>1.0</v>
      </c>
      <c r="P282" s="408">
        <v>66.0</v>
      </c>
      <c r="Q282" s="408">
        <v>62.0</v>
      </c>
      <c r="R282" s="408">
        <v>1.0</v>
      </c>
      <c r="S282" s="408"/>
      <c r="T282" s="408">
        <v>1.0</v>
      </c>
      <c r="U282" s="409"/>
      <c r="V282" s="407">
        <v>0.0</v>
      </c>
      <c r="W282" s="408">
        <v>0.0</v>
      </c>
      <c r="X282" s="408">
        <v>0.0</v>
      </c>
      <c r="Y282" s="408">
        <v>0.0</v>
      </c>
      <c r="Z282" s="409">
        <v>0.0</v>
      </c>
      <c r="AA282" s="410"/>
      <c r="AB282" s="405"/>
      <c r="AC282" s="405"/>
    </row>
    <row r="283">
      <c r="A283" s="405" t="s">
        <v>1278</v>
      </c>
      <c r="B283" s="405"/>
      <c r="C283" s="406">
        <f t="shared" si="1"/>
        <v>0</v>
      </c>
      <c r="D283" s="407">
        <v>69.0</v>
      </c>
      <c r="E283" s="408">
        <v>90.0</v>
      </c>
      <c r="F283" s="408">
        <v>40.0</v>
      </c>
      <c r="G283" s="408">
        <v>75.0</v>
      </c>
      <c r="H283" s="408">
        <v>40.0</v>
      </c>
      <c r="I283" s="408">
        <v>0.0</v>
      </c>
      <c r="J283" s="408">
        <v>0.0</v>
      </c>
      <c r="K283" s="409"/>
      <c r="L283" s="407"/>
      <c r="M283" s="408">
        <v>0.0</v>
      </c>
      <c r="N283" s="408">
        <v>0.0</v>
      </c>
      <c r="O283" s="408">
        <v>0.0</v>
      </c>
      <c r="P283" s="408">
        <v>20.0</v>
      </c>
      <c r="Q283" s="408">
        <v>20.0</v>
      </c>
      <c r="R283" s="408">
        <v>0.0</v>
      </c>
      <c r="S283" s="408"/>
      <c r="T283" s="408">
        <v>0.0</v>
      </c>
      <c r="U283" s="409"/>
      <c r="V283" s="407"/>
      <c r="W283" s="408"/>
      <c r="X283" s="408">
        <v>10.0</v>
      </c>
      <c r="Y283" s="408">
        <v>200.0</v>
      </c>
      <c r="Z283" s="409">
        <v>200.0</v>
      </c>
      <c r="AA283" s="410"/>
      <c r="AB283" s="405"/>
      <c r="AC283" s="405"/>
    </row>
    <row r="284">
      <c r="A284" s="405" t="s">
        <v>1279</v>
      </c>
      <c r="B284" s="405"/>
      <c r="C284" s="406">
        <f t="shared" si="1"/>
        <v>0</v>
      </c>
      <c r="D284" s="407">
        <v>71.0</v>
      </c>
      <c r="E284" s="408">
        <v>90.0</v>
      </c>
      <c r="F284" s="408">
        <v>40.0</v>
      </c>
      <c r="G284" s="408">
        <v>90.0</v>
      </c>
      <c r="H284" s="408">
        <v>25.0</v>
      </c>
      <c r="I284" s="408">
        <v>0.0</v>
      </c>
      <c r="J284" s="408">
        <v>0.0</v>
      </c>
      <c r="K284" s="409"/>
      <c r="L284" s="407"/>
      <c r="M284" s="408">
        <v>0.0</v>
      </c>
      <c r="N284" s="408">
        <v>0.0</v>
      </c>
      <c r="O284" s="408">
        <v>0.0</v>
      </c>
      <c r="P284" s="408">
        <v>20.0</v>
      </c>
      <c r="Q284" s="408">
        <v>20.0</v>
      </c>
      <c r="R284" s="408">
        <v>0.0</v>
      </c>
      <c r="S284" s="408"/>
      <c r="T284" s="408">
        <v>0.0</v>
      </c>
      <c r="U284" s="409"/>
      <c r="V284" s="407"/>
      <c r="W284" s="408"/>
      <c r="X284" s="408">
        <v>10.0</v>
      </c>
      <c r="Y284" s="408">
        <v>200.0</v>
      </c>
      <c r="Z284" s="409">
        <v>200.0</v>
      </c>
      <c r="AA284" s="410"/>
      <c r="AB284" s="405"/>
      <c r="AC284" s="405"/>
    </row>
    <row r="285">
      <c r="A285" s="306" t="s">
        <v>1280</v>
      </c>
      <c r="B285" s="306" t="s">
        <v>1258</v>
      </c>
      <c r="C285" s="390">
        <f t="shared" si="1"/>
        <v>0</v>
      </c>
      <c r="D285" s="387">
        <v>11.0</v>
      </c>
      <c r="E285" s="388">
        <v>19.0</v>
      </c>
      <c r="F285" s="388">
        <v>8.0</v>
      </c>
      <c r="G285" s="388">
        <v>8.0</v>
      </c>
      <c r="H285" s="388">
        <v>8.0</v>
      </c>
      <c r="I285" s="388">
        <v>1.0</v>
      </c>
      <c r="J285" s="388">
        <v>1.0</v>
      </c>
      <c r="K285" s="389" t="s">
        <v>299</v>
      </c>
      <c r="L285" s="387">
        <v>4.0</v>
      </c>
      <c r="M285" s="388">
        <v>0.0</v>
      </c>
      <c r="N285" s="388">
        <v>0.0</v>
      </c>
      <c r="O285" s="388">
        <v>0.0</v>
      </c>
      <c r="P285" s="388">
        <v>6.0</v>
      </c>
      <c r="Q285" s="388">
        <v>2.0</v>
      </c>
      <c r="R285" s="388">
        <v>0.0</v>
      </c>
      <c r="S285" s="388"/>
      <c r="T285" s="388">
        <v>0.0</v>
      </c>
      <c r="U285" s="389">
        <v>0.0</v>
      </c>
      <c r="V285" s="387">
        <v>6.0</v>
      </c>
      <c r="W285" s="388">
        <v>6.0</v>
      </c>
      <c r="X285" s="388">
        <v>9.0</v>
      </c>
      <c r="Y285" s="388">
        <v>0.0</v>
      </c>
      <c r="Z285" s="389">
        <v>0.0</v>
      </c>
      <c r="AA285" s="305"/>
      <c r="AB285" s="306"/>
      <c r="AC285" s="306"/>
    </row>
    <row r="286">
      <c r="A286" s="306" t="s">
        <v>1281</v>
      </c>
      <c r="B286" s="306" t="s">
        <v>1258</v>
      </c>
      <c r="C286" s="390">
        <f t="shared" si="1"/>
        <v>0</v>
      </c>
      <c r="D286" s="387">
        <v>18.0</v>
      </c>
      <c r="E286" s="388">
        <v>13.0</v>
      </c>
      <c r="F286" s="388">
        <v>17.0</v>
      </c>
      <c r="G286" s="388">
        <v>17.0</v>
      </c>
      <c r="H286" s="388">
        <v>17.0</v>
      </c>
      <c r="I286" s="388">
        <v>1.0</v>
      </c>
      <c r="J286" s="388">
        <v>1.0</v>
      </c>
      <c r="K286" s="389" t="s">
        <v>299</v>
      </c>
      <c r="L286" s="387">
        <v>4.0</v>
      </c>
      <c r="M286" s="388">
        <v>0.0</v>
      </c>
      <c r="N286" s="388">
        <v>0.0</v>
      </c>
      <c r="O286" s="388">
        <v>0.0</v>
      </c>
      <c r="P286" s="388">
        <v>5.0</v>
      </c>
      <c r="Q286" s="388">
        <v>5.0</v>
      </c>
      <c r="R286" s="388">
        <v>0.0</v>
      </c>
      <c r="S286" s="388"/>
      <c r="T286" s="388">
        <v>0.0</v>
      </c>
      <c r="U286" s="389">
        <v>0.0</v>
      </c>
      <c r="V286" s="387">
        <v>5.0</v>
      </c>
      <c r="W286" s="388">
        <v>5.0</v>
      </c>
      <c r="X286" s="388">
        <v>7.0</v>
      </c>
      <c r="Y286" s="388">
        <v>0.0</v>
      </c>
      <c r="Z286" s="389">
        <v>0.0</v>
      </c>
      <c r="AA286" s="305"/>
      <c r="AB286" s="306"/>
      <c r="AC286" s="306"/>
    </row>
    <row r="287">
      <c r="A287" s="306" t="s">
        <v>1282</v>
      </c>
      <c r="B287" s="306" t="s">
        <v>1258</v>
      </c>
      <c r="C287" s="390">
        <f t="shared" si="1"/>
        <v>0</v>
      </c>
      <c r="D287" s="387">
        <v>24.0</v>
      </c>
      <c r="E287" s="388">
        <v>25.0</v>
      </c>
      <c r="F287" s="388">
        <v>20.0</v>
      </c>
      <c r="G287" s="388">
        <v>20.0</v>
      </c>
      <c r="H287" s="388">
        <v>20.0</v>
      </c>
      <c r="I287" s="388">
        <v>1.0</v>
      </c>
      <c r="J287" s="388">
        <v>1.0</v>
      </c>
      <c r="K287" s="389" t="s">
        <v>299</v>
      </c>
      <c r="L287" s="387">
        <v>4.0</v>
      </c>
      <c r="M287" s="388">
        <v>0.0</v>
      </c>
      <c r="N287" s="388">
        <v>0.0</v>
      </c>
      <c r="O287" s="388">
        <v>0.0</v>
      </c>
      <c r="P287" s="388">
        <v>0.0</v>
      </c>
      <c r="Q287" s="388">
        <v>0.0</v>
      </c>
      <c r="R287" s="388">
        <v>0.0</v>
      </c>
      <c r="S287" s="388"/>
      <c r="T287" s="388">
        <v>0.0</v>
      </c>
      <c r="U287" s="389">
        <v>0.0</v>
      </c>
      <c r="V287" s="387">
        <v>3.0</v>
      </c>
      <c r="W287" s="388">
        <v>2.0</v>
      </c>
      <c r="X287" s="388">
        <v>4.0</v>
      </c>
      <c r="Y287" s="388">
        <v>0.0</v>
      </c>
      <c r="Z287" s="389">
        <v>0.0</v>
      </c>
      <c r="AA287" s="305"/>
      <c r="AB287" s="306"/>
      <c r="AC287" s="306"/>
    </row>
    <row r="288">
      <c r="A288" s="306" t="s">
        <v>1283</v>
      </c>
      <c r="B288" s="306" t="s">
        <v>1068</v>
      </c>
      <c r="C288" s="390">
        <f t="shared" si="1"/>
        <v>0.025</v>
      </c>
      <c r="D288" s="387">
        <v>108.0</v>
      </c>
      <c r="E288" s="388">
        <v>105.0</v>
      </c>
      <c r="F288" s="388">
        <v>95.0</v>
      </c>
      <c r="G288" s="388">
        <v>95.0</v>
      </c>
      <c r="H288" s="388">
        <v>80.0</v>
      </c>
      <c r="I288" s="388">
        <v>1.0</v>
      </c>
      <c r="J288" s="388">
        <v>0.0</v>
      </c>
      <c r="K288" s="389" t="s">
        <v>300</v>
      </c>
      <c r="L288" s="387">
        <v>4.0</v>
      </c>
      <c r="M288" s="388">
        <v>0.0</v>
      </c>
      <c r="N288" s="388">
        <v>0.0</v>
      </c>
      <c r="O288" s="388">
        <v>0.0</v>
      </c>
      <c r="P288" s="388">
        <v>0.0</v>
      </c>
      <c r="Q288" s="388">
        <v>0.0</v>
      </c>
      <c r="R288" s="388">
        <v>0.0</v>
      </c>
      <c r="S288" s="388"/>
      <c r="T288" s="388">
        <v>0.0</v>
      </c>
      <c r="U288" s="389">
        <v>0.0</v>
      </c>
      <c r="V288" s="387">
        <v>50.0</v>
      </c>
      <c r="W288" s="388">
        <v>70.0</v>
      </c>
      <c r="X288" s="388">
        <v>70.0</v>
      </c>
      <c r="Y288" s="388">
        <v>60.0</v>
      </c>
      <c r="Z288" s="389">
        <v>50.0</v>
      </c>
      <c r="AA288" s="305"/>
      <c r="AB288" s="306"/>
      <c r="AC288" s="306"/>
    </row>
    <row r="289">
      <c r="A289" s="306" t="s">
        <v>1284</v>
      </c>
      <c r="B289" s="306" t="s">
        <v>1072</v>
      </c>
      <c r="C289" s="390">
        <f t="shared" si="1"/>
        <v>0</v>
      </c>
      <c r="D289" s="387">
        <v>6.0</v>
      </c>
      <c r="E289" s="388">
        <v>8.0</v>
      </c>
      <c r="F289" s="388">
        <v>5.0</v>
      </c>
      <c r="G289" s="388">
        <v>5.0</v>
      </c>
      <c r="H289" s="388">
        <v>5.0</v>
      </c>
      <c r="I289" s="388">
        <v>1.0</v>
      </c>
      <c r="J289" s="388">
        <v>1.0</v>
      </c>
      <c r="K289" s="389" t="s">
        <v>299</v>
      </c>
      <c r="L289" s="387">
        <v>4.0</v>
      </c>
      <c r="M289" s="388">
        <v>0.0</v>
      </c>
      <c r="N289" s="388">
        <v>0.0</v>
      </c>
      <c r="O289" s="388">
        <v>0.0</v>
      </c>
      <c r="P289" s="388">
        <v>0.0</v>
      </c>
      <c r="Q289" s="388">
        <v>0.0</v>
      </c>
      <c r="R289" s="388">
        <v>0.0</v>
      </c>
      <c r="S289" s="388"/>
      <c r="T289" s="388">
        <v>0.0</v>
      </c>
      <c r="U289" s="389">
        <v>0.0</v>
      </c>
      <c r="V289" s="387">
        <v>0.0</v>
      </c>
      <c r="W289" s="388">
        <v>0.0</v>
      </c>
      <c r="X289" s="388">
        <v>0.0</v>
      </c>
      <c r="Y289" s="388">
        <v>0.0</v>
      </c>
      <c r="Z289" s="389">
        <v>0.0</v>
      </c>
      <c r="AA289" s="305"/>
      <c r="AB289" s="306"/>
      <c r="AC289" s="306"/>
    </row>
    <row r="290">
      <c r="A290" s="306" t="s">
        <v>1285</v>
      </c>
      <c r="B290" s="424" t="s">
        <v>954</v>
      </c>
      <c r="C290" s="390">
        <f t="shared" si="1"/>
        <v>0</v>
      </c>
      <c r="D290" s="387">
        <v>123.0</v>
      </c>
      <c r="E290" s="388">
        <v>170.0</v>
      </c>
      <c r="F290" s="388">
        <v>110.0</v>
      </c>
      <c r="G290" s="388">
        <v>115.0</v>
      </c>
      <c r="H290" s="388">
        <v>30.0</v>
      </c>
      <c r="I290" s="388">
        <v>1.0</v>
      </c>
      <c r="J290" s="388">
        <v>1.0</v>
      </c>
      <c r="K290" s="389" t="s">
        <v>305</v>
      </c>
      <c r="L290" s="387">
        <v>4.0</v>
      </c>
      <c r="M290" s="388">
        <v>0.0</v>
      </c>
      <c r="N290" s="388">
        <v>0.0</v>
      </c>
      <c r="O290" s="388">
        <v>0.0</v>
      </c>
      <c r="P290" s="388">
        <v>0.0</v>
      </c>
      <c r="Q290" s="388">
        <v>0.0</v>
      </c>
      <c r="R290" s="388">
        <v>0.0</v>
      </c>
      <c r="S290" s="388"/>
      <c r="T290" s="388">
        <v>0.0</v>
      </c>
      <c r="U290" s="389">
        <v>0.0</v>
      </c>
      <c r="V290" s="387">
        <v>0.0</v>
      </c>
      <c r="W290" s="388">
        <v>0.0</v>
      </c>
      <c r="X290" s="388">
        <v>0.0</v>
      </c>
      <c r="Y290" s="388">
        <v>0.0</v>
      </c>
      <c r="Z290" s="389">
        <v>0.0</v>
      </c>
      <c r="AA290" s="305"/>
      <c r="AB290" s="306"/>
      <c r="AC290" s="306"/>
    </row>
    <row r="291">
      <c r="A291" s="405" t="s">
        <v>1286</v>
      </c>
      <c r="B291" s="405"/>
      <c r="C291" s="406">
        <f t="shared" si="1"/>
        <v>0</v>
      </c>
      <c r="D291" s="407">
        <v>91.0</v>
      </c>
      <c r="E291" s="408">
        <v>70.0</v>
      </c>
      <c r="F291" s="408">
        <v>85.0</v>
      </c>
      <c r="G291" s="408">
        <v>80.0</v>
      </c>
      <c r="H291" s="408">
        <v>80.0</v>
      </c>
      <c r="I291" s="408">
        <v>0.0</v>
      </c>
      <c r="J291" s="408">
        <v>0.0</v>
      </c>
      <c r="K291" s="409"/>
      <c r="L291" s="407"/>
      <c r="M291" s="408">
        <v>0.0</v>
      </c>
      <c r="N291" s="408">
        <v>0.0</v>
      </c>
      <c r="O291" s="408">
        <v>0.0</v>
      </c>
      <c r="P291" s="408">
        <v>0.0</v>
      </c>
      <c r="Q291" s="408">
        <v>0.0</v>
      </c>
      <c r="R291" s="408">
        <v>0.0</v>
      </c>
      <c r="S291" s="408"/>
      <c r="T291" s="408">
        <v>0.0</v>
      </c>
      <c r="U291" s="409"/>
      <c r="V291" s="407">
        <v>0.0</v>
      </c>
      <c r="W291" s="408">
        <v>0.0</v>
      </c>
      <c r="X291" s="408">
        <v>0.0</v>
      </c>
      <c r="Y291" s="408">
        <v>0.0</v>
      </c>
      <c r="Z291" s="409">
        <v>0.0</v>
      </c>
      <c r="AA291" s="410"/>
      <c r="AB291" s="405" t="s">
        <v>929</v>
      </c>
      <c r="AC291" s="405"/>
    </row>
    <row r="292">
      <c r="A292" s="405" t="s">
        <v>1287</v>
      </c>
      <c r="B292" s="405"/>
      <c r="C292" s="406">
        <f t="shared" si="1"/>
        <v>0</v>
      </c>
      <c r="D292" s="407">
        <v>68.0</v>
      </c>
      <c r="E292" s="408">
        <v>70.0</v>
      </c>
      <c r="F292" s="408">
        <v>58.0</v>
      </c>
      <c r="G292" s="408">
        <v>54.0</v>
      </c>
      <c r="H292" s="408">
        <v>58.0</v>
      </c>
      <c r="I292" s="408">
        <v>0.0</v>
      </c>
      <c r="J292" s="408">
        <v>0.0</v>
      </c>
      <c r="K292" s="409"/>
      <c r="L292" s="407"/>
      <c r="M292" s="408">
        <v>0.0</v>
      </c>
      <c r="N292" s="408">
        <v>0.0</v>
      </c>
      <c r="O292" s="408">
        <v>0.0</v>
      </c>
      <c r="P292" s="408">
        <v>15.0</v>
      </c>
      <c r="Q292" s="408">
        <v>15.0</v>
      </c>
      <c r="R292" s="408">
        <v>0.0</v>
      </c>
      <c r="S292" s="408"/>
      <c r="T292" s="408">
        <v>0.0</v>
      </c>
      <c r="U292" s="409"/>
      <c r="V292" s="407">
        <v>5.0</v>
      </c>
      <c r="W292" s="408">
        <v>5.0</v>
      </c>
      <c r="X292" s="408">
        <v>5.0</v>
      </c>
      <c r="Y292" s="408">
        <v>5.0</v>
      </c>
      <c r="Z292" s="409">
        <v>5.0</v>
      </c>
      <c r="AA292" s="410"/>
      <c r="AB292" s="405" t="s">
        <v>929</v>
      </c>
      <c r="AC292" s="405"/>
    </row>
    <row r="293">
      <c r="A293" s="405" t="s">
        <v>1288</v>
      </c>
      <c r="B293" s="405"/>
      <c r="C293" s="406">
        <f t="shared" si="1"/>
        <v>0</v>
      </c>
      <c r="D293" s="407">
        <v>93.0</v>
      </c>
      <c r="E293" s="408">
        <v>80.0</v>
      </c>
      <c r="F293" s="408">
        <v>85.0</v>
      </c>
      <c r="G293" s="408">
        <v>80.0</v>
      </c>
      <c r="H293" s="408">
        <v>80.0</v>
      </c>
      <c r="I293" s="408">
        <v>0.0</v>
      </c>
      <c r="J293" s="408">
        <v>0.0</v>
      </c>
      <c r="K293" s="409"/>
      <c r="L293" s="407"/>
      <c r="M293" s="408">
        <v>0.0</v>
      </c>
      <c r="N293" s="408">
        <v>0.0</v>
      </c>
      <c r="O293" s="408">
        <v>0.0</v>
      </c>
      <c r="P293" s="408">
        <v>0.0</v>
      </c>
      <c r="Q293" s="408">
        <v>0.0</v>
      </c>
      <c r="R293" s="408">
        <v>0.0</v>
      </c>
      <c r="S293" s="408"/>
      <c r="T293" s="408">
        <v>0.0</v>
      </c>
      <c r="U293" s="409"/>
      <c r="V293" s="407">
        <v>0.0</v>
      </c>
      <c r="W293" s="408">
        <v>0.0</v>
      </c>
      <c r="X293" s="408">
        <v>0.0</v>
      </c>
      <c r="Y293" s="408">
        <v>0.0</v>
      </c>
      <c r="Z293" s="409">
        <v>0.0</v>
      </c>
      <c r="AA293" s="410"/>
      <c r="AB293" s="405" t="s">
        <v>929</v>
      </c>
      <c r="AC293" s="405"/>
    </row>
    <row r="294">
      <c r="A294" s="405" t="s">
        <v>1289</v>
      </c>
      <c r="B294" s="405"/>
      <c r="C294" s="406">
        <f t="shared" si="1"/>
        <v>0</v>
      </c>
      <c r="D294" s="407">
        <v>176.0</v>
      </c>
      <c r="E294" s="408">
        <v>154.0</v>
      </c>
      <c r="F294" s="408">
        <v>187.0</v>
      </c>
      <c r="G294" s="408">
        <v>176.0</v>
      </c>
      <c r="H294" s="408">
        <v>80.0</v>
      </c>
      <c r="I294" s="408">
        <v>0.0</v>
      </c>
      <c r="J294" s="408">
        <v>0.0</v>
      </c>
      <c r="K294" s="409"/>
      <c r="L294" s="407"/>
      <c r="M294" s="408">
        <v>0.0</v>
      </c>
      <c r="N294" s="408">
        <v>0.0</v>
      </c>
      <c r="O294" s="408">
        <v>0.0</v>
      </c>
      <c r="P294" s="408">
        <v>0.0</v>
      </c>
      <c r="Q294" s="408">
        <v>0.0</v>
      </c>
      <c r="R294" s="408">
        <v>0.0</v>
      </c>
      <c r="S294" s="408"/>
      <c r="T294" s="408">
        <v>0.0</v>
      </c>
      <c r="U294" s="409"/>
      <c r="V294" s="407">
        <v>0.0</v>
      </c>
      <c r="W294" s="408">
        <v>0.0</v>
      </c>
      <c r="X294" s="408">
        <v>0.0</v>
      </c>
      <c r="Y294" s="408">
        <v>0.0</v>
      </c>
      <c r="Z294" s="409">
        <v>0.0</v>
      </c>
      <c r="AA294" s="410"/>
      <c r="AB294" s="405" t="s">
        <v>929</v>
      </c>
      <c r="AC294" s="405"/>
    </row>
    <row r="295">
      <c r="A295" s="405" t="s">
        <v>1290</v>
      </c>
      <c r="B295" s="405"/>
      <c r="C295" s="406">
        <f t="shared" si="1"/>
        <v>0</v>
      </c>
      <c r="D295" s="407">
        <v>153.0</v>
      </c>
      <c r="E295" s="408">
        <v>180.0</v>
      </c>
      <c r="F295" s="408">
        <v>150.0</v>
      </c>
      <c r="G295" s="408">
        <v>140.0</v>
      </c>
      <c r="H295" s="408">
        <v>58.0</v>
      </c>
      <c r="I295" s="408">
        <v>0.0</v>
      </c>
      <c r="J295" s="408">
        <v>0.0</v>
      </c>
      <c r="K295" s="409"/>
      <c r="L295" s="407"/>
      <c r="M295" s="408">
        <v>0.0</v>
      </c>
      <c r="N295" s="408">
        <v>0.0</v>
      </c>
      <c r="O295" s="408">
        <v>0.0</v>
      </c>
      <c r="P295" s="408">
        <v>15.0</v>
      </c>
      <c r="Q295" s="408">
        <v>15.0</v>
      </c>
      <c r="R295" s="408">
        <v>0.0</v>
      </c>
      <c r="S295" s="408"/>
      <c r="T295" s="408">
        <v>0.0</v>
      </c>
      <c r="U295" s="409"/>
      <c r="V295" s="407">
        <v>5.0</v>
      </c>
      <c r="W295" s="408">
        <v>5.0</v>
      </c>
      <c r="X295" s="408">
        <v>5.0</v>
      </c>
      <c r="Y295" s="408">
        <v>5.0</v>
      </c>
      <c r="Z295" s="409">
        <v>5.0</v>
      </c>
      <c r="AA295" s="410"/>
      <c r="AB295" s="405" t="s">
        <v>929</v>
      </c>
      <c r="AC295" s="405"/>
    </row>
    <row r="296">
      <c r="A296" s="405" t="s">
        <v>1291</v>
      </c>
      <c r="B296" s="405"/>
      <c r="C296" s="406">
        <f t="shared" si="1"/>
        <v>0</v>
      </c>
      <c r="D296" s="407">
        <v>181.0</v>
      </c>
      <c r="E296" s="408">
        <v>176.0</v>
      </c>
      <c r="F296" s="408">
        <v>187.0</v>
      </c>
      <c r="G296" s="408">
        <v>176.0</v>
      </c>
      <c r="H296" s="408">
        <v>80.0</v>
      </c>
      <c r="I296" s="408">
        <v>0.0</v>
      </c>
      <c r="J296" s="408">
        <v>0.0</v>
      </c>
      <c r="K296" s="409"/>
      <c r="L296" s="407"/>
      <c r="M296" s="408">
        <v>0.0</v>
      </c>
      <c r="N296" s="408">
        <v>0.0</v>
      </c>
      <c r="O296" s="408">
        <v>0.0</v>
      </c>
      <c r="P296" s="408">
        <v>0.0</v>
      </c>
      <c r="Q296" s="408">
        <v>0.0</v>
      </c>
      <c r="R296" s="408">
        <v>0.0</v>
      </c>
      <c r="S296" s="408"/>
      <c r="T296" s="408">
        <v>0.0</v>
      </c>
      <c r="U296" s="409"/>
      <c r="V296" s="407">
        <v>0.0</v>
      </c>
      <c r="W296" s="408">
        <v>0.0</v>
      </c>
      <c r="X296" s="408">
        <v>0.0</v>
      </c>
      <c r="Y296" s="408">
        <v>0.0</v>
      </c>
      <c r="Z296" s="409">
        <v>0.0</v>
      </c>
      <c r="AA296" s="410"/>
      <c r="AB296" s="405" t="s">
        <v>929</v>
      </c>
      <c r="AC296" s="405"/>
    </row>
    <row r="297">
      <c r="A297" s="306" t="s">
        <v>1292</v>
      </c>
      <c r="B297" s="306" t="s">
        <v>928</v>
      </c>
      <c r="C297" s="390">
        <f t="shared" si="1"/>
        <v>0</v>
      </c>
      <c r="D297" s="387">
        <v>115.0</v>
      </c>
      <c r="E297" s="388">
        <v>105.0</v>
      </c>
      <c r="F297" s="388">
        <v>97.0</v>
      </c>
      <c r="G297" s="388">
        <v>97.0</v>
      </c>
      <c r="H297" s="388">
        <v>105.0</v>
      </c>
      <c r="I297" s="388">
        <v>1.0</v>
      </c>
      <c r="J297" s="388">
        <v>1.0</v>
      </c>
      <c r="K297" s="389" t="s">
        <v>299</v>
      </c>
      <c r="L297" s="387">
        <v>4.0</v>
      </c>
      <c r="M297" s="388">
        <v>0.0</v>
      </c>
      <c r="N297" s="388">
        <v>0.0</v>
      </c>
      <c r="O297" s="388">
        <v>0.0</v>
      </c>
      <c r="P297" s="388">
        <v>0.0</v>
      </c>
      <c r="Q297" s="388">
        <v>0.0</v>
      </c>
      <c r="R297" s="388">
        <v>0.0</v>
      </c>
      <c r="S297" s="388"/>
      <c r="T297" s="388">
        <v>0.0</v>
      </c>
      <c r="U297" s="389">
        <v>0.0</v>
      </c>
      <c r="V297" s="387">
        <v>20.0</v>
      </c>
      <c r="W297" s="388">
        <v>20.0</v>
      </c>
      <c r="X297" s="388">
        <v>20.0</v>
      </c>
      <c r="Y297" s="388">
        <v>0.0</v>
      </c>
      <c r="Z297" s="389">
        <v>20.0</v>
      </c>
      <c r="AA297" s="305"/>
      <c r="AB297" s="306" t="s">
        <v>931</v>
      </c>
      <c r="AC297" s="306"/>
    </row>
    <row r="298">
      <c r="A298" s="405" t="s">
        <v>1293</v>
      </c>
      <c r="B298" s="405"/>
      <c r="C298" s="406">
        <f t="shared" si="1"/>
        <v>0.175</v>
      </c>
      <c r="D298" s="407"/>
      <c r="E298" s="408">
        <v>550.0</v>
      </c>
      <c r="F298" s="408">
        <v>270.0</v>
      </c>
      <c r="G298" s="408">
        <v>290.0</v>
      </c>
      <c r="H298" s="408">
        <v>220.0</v>
      </c>
      <c r="I298" s="408">
        <v>300.0</v>
      </c>
      <c r="J298" s="408"/>
      <c r="K298" s="409"/>
      <c r="L298" s="407"/>
      <c r="M298" s="408"/>
      <c r="N298" s="408"/>
      <c r="O298" s="408"/>
      <c r="P298" s="408"/>
      <c r="Q298" s="408"/>
      <c r="R298" s="408"/>
      <c r="S298" s="408"/>
      <c r="T298" s="408"/>
      <c r="U298" s="409"/>
      <c r="V298" s="407">
        <v>75.0</v>
      </c>
      <c r="W298" s="408">
        <v>80.0</v>
      </c>
      <c r="X298" s="408">
        <v>200.0</v>
      </c>
      <c r="Y298" s="408">
        <v>190.0</v>
      </c>
      <c r="Z298" s="409">
        <v>200.0</v>
      </c>
      <c r="AA298" s="410"/>
      <c r="AB298" s="405"/>
      <c r="AC298" s="405"/>
    </row>
    <row r="299">
      <c r="A299" s="405" t="s">
        <v>1294</v>
      </c>
      <c r="B299" s="405"/>
      <c r="C299" s="406">
        <f t="shared" si="1"/>
        <v>0.075</v>
      </c>
      <c r="D299" s="407">
        <v>106.0</v>
      </c>
      <c r="E299" s="408">
        <v>120.0</v>
      </c>
      <c r="F299" s="408">
        <v>90.0</v>
      </c>
      <c r="G299" s="408">
        <v>100.0</v>
      </c>
      <c r="H299" s="408">
        <v>60.0</v>
      </c>
      <c r="I299" s="408">
        <v>1.0</v>
      </c>
      <c r="J299" s="408">
        <v>120.0</v>
      </c>
      <c r="K299" s="409"/>
      <c r="L299" s="407">
        <v>4.0</v>
      </c>
      <c r="M299" s="408">
        <v>0.0</v>
      </c>
      <c r="N299" s="408">
        <v>0.0</v>
      </c>
      <c r="O299" s="408">
        <v>0.0</v>
      </c>
      <c r="P299" s="408">
        <v>100.0</v>
      </c>
      <c r="Q299" s="408">
        <v>68.0</v>
      </c>
      <c r="R299" s="408">
        <v>0.0</v>
      </c>
      <c r="S299" s="408"/>
      <c r="T299" s="408">
        <v>100.0</v>
      </c>
      <c r="U299" s="409">
        <v>65.0</v>
      </c>
      <c r="V299" s="407">
        <v>35.0</v>
      </c>
      <c r="W299" s="408">
        <v>40.0</v>
      </c>
      <c r="X299" s="408">
        <v>45.0</v>
      </c>
      <c r="Y299" s="408">
        <v>20.0</v>
      </c>
      <c r="Z299" s="409">
        <v>20.0</v>
      </c>
      <c r="AA299" s="410"/>
      <c r="AB299" s="405"/>
      <c r="AC299" s="405"/>
    </row>
    <row r="300">
      <c r="A300" s="405" t="s">
        <v>1295</v>
      </c>
      <c r="B300" s="405"/>
      <c r="C300" s="406">
        <f t="shared" si="1"/>
        <v>0</v>
      </c>
      <c r="D300" s="407">
        <v>63.0</v>
      </c>
      <c r="E300" s="408">
        <v>60.0</v>
      </c>
      <c r="F300" s="408">
        <v>54.0</v>
      </c>
      <c r="G300" s="408">
        <v>54.0</v>
      </c>
      <c r="H300" s="408">
        <v>54.0</v>
      </c>
      <c r="I300" s="408">
        <v>1.0</v>
      </c>
      <c r="J300" s="408">
        <v>1.0</v>
      </c>
      <c r="K300" s="409"/>
      <c r="L300" s="407"/>
      <c r="M300" s="408">
        <v>0.0</v>
      </c>
      <c r="N300" s="408">
        <v>0.0</v>
      </c>
      <c r="O300" s="408">
        <v>0.0</v>
      </c>
      <c r="P300" s="408">
        <v>8.0</v>
      </c>
      <c r="Q300" s="408">
        <v>6.0</v>
      </c>
      <c r="R300" s="408">
        <v>0.0</v>
      </c>
      <c r="S300" s="408"/>
      <c r="T300" s="408">
        <v>0.0</v>
      </c>
      <c r="U300" s="409"/>
      <c r="V300" s="407">
        <v>19.0</v>
      </c>
      <c r="W300" s="408">
        <v>23.0</v>
      </c>
      <c r="X300" s="408">
        <v>24.0</v>
      </c>
      <c r="Y300" s="408">
        <v>0.0</v>
      </c>
      <c r="Z300" s="409">
        <v>0.0</v>
      </c>
      <c r="AA300" s="410"/>
      <c r="AB300" s="405"/>
      <c r="AC300" s="405"/>
    </row>
    <row r="301">
      <c r="A301" s="405" t="s">
        <v>1296</v>
      </c>
      <c r="B301" s="405"/>
      <c r="C301" s="406">
        <f t="shared" si="1"/>
        <v>0</v>
      </c>
      <c r="D301" s="407">
        <v>107.0</v>
      </c>
      <c r="E301" s="408">
        <v>110.0</v>
      </c>
      <c r="F301" s="408">
        <v>100.0</v>
      </c>
      <c r="G301" s="408">
        <v>100.0</v>
      </c>
      <c r="H301" s="408">
        <v>60.0</v>
      </c>
      <c r="I301" s="408">
        <v>1.0</v>
      </c>
      <c r="J301" s="408">
        <v>1.0</v>
      </c>
      <c r="K301" s="409"/>
      <c r="L301" s="407"/>
      <c r="M301" s="408">
        <v>0.0</v>
      </c>
      <c r="N301" s="408">
        <v>0.0</v>
      </c>
      <c r="O301" s="408">
        <v>0.0</v>
      </c>
      <c r="P301" s="408">
        <v>19.0</v>
      </c>
      <c r="Q301" s="408">
        <v>4.0</v>
      </c>
      <c r="R301" s="408">
        <v>0.0</v>
      </c>
      <c r="S301" s="408"/>
      <c r="T301" s="408">
        <v>0.0</v>
      </c>
      <c r="U301" s="409">
        <v>0.0</v>
      </c>
      <c r="V301" s="407">
        <v>12.0</v>
      </c>
      <c r="W301" s="408">
        <v>14.0</v>
      </c>
      <c r="X301" s="408">
        <v>13.0</v>
      </c>
      <c r="Y301" s="408">
        <v>5.0</v>
      </c>
      <c r="Z301" s="409">
        <v>13.0</v>
      </c>
      <c r="AA301" s="410"/>
      <c r="AB301" s="405"/>
      <c r="AC301" s="405"/>
    </row>
    <row r="302">
      <c r="A302" s="306" t="s">
        <v>1297</v>
      </c>
      <c r="B302" s="306" t="s">
        <v>955</v>
      </c>
      <c r="C302" s="390">
        <f t="shared" si="1"/>
        <v>0.025</v>
      </c>
      <c r="D302" s="387">
        <v>62.0</v>
      </c>
      <c r="E302" s="388">
        <v>57.0</v>
      </c>
      <c r="F302" s="388">
        <v>54.0</v>
      </c>
      <c r="G302" s="388">
        <v>54.0</v>
      </c>
      <c r="H302" s="388">
        <v>54.0</v>
      </c>
      <c r="I302" s="388">
        <v>1.0</v>
      </c>
      <c r="J302" s="388">
        <v>1.0</v>
      </c>
      <c r="K302" s="389" t="s">
        <v>301</v>
      </c>
      <c r="L302" s="387">
        <v>5.0</v>
      </c>
      <c r="M302" s="388">
        <v>0.0</v>
      </c>
      <c r="N302" s="388">
        <v>0.0</v>
      </c>
      <c r="O302" s="388">
        <v>0.0</v>
      </c>
      <c r="P302" s="388">
        <v>20.0</v>
      </c>
      <c r="Q302" s="388">
        <v>22.0</v>
      </c>
      <c r="R302" s="388">
        <v>0.0</v>
      </c>
      <c r="S302" s="388"/>
      <c r="T302" s="388">
        <v>0.0</v>
      </c>
      <c r="U302" s="389">
        <v>0.0</v>
      </c>
      <c r="V302" s="387">
        <v>87.0</v>
      </c>
      <c r="W302" s="388">
        <v>84.0</v>
      </c>
      <c r="X302" s="388">
        <v>76.0</v>
      </c>
      <c r="Y302" s="388">
        <v>-10.0</v>
      </c>
      <c r="Z302" s="389">
        <v>79.0</v>
      </c>
      <c r="AA302" s="305"/>
      <c r="AB302" s="306"/>
      <c r="AC302" s="306"/>
    </row>
    <row r="303">
      <c r="A303" s="306" t="s">
        <v>1298</v>
      </c>
      <c r="B303" s="417" t="s">
        <v>1054</v>
      </c>
      <c r="C303" s="390">
        <f t="shared" si="1"/>
        <v>0</v>
      </c>
      <c r="D303" s="387">
        <v>2.0</v>
      </c>
      <c r="E303" s="388">
        <v>4.0</v>
      </c>
      <c r="F303" s="388">
        <v>1.0</v>
      </c>
      <c r="G303" s="388">
        <v>2.0</v>
      </c>
      <c r="H303" s="388">
        <v>2.0</v>
      </c>
      <c r="I303" s="388">
        <v>1.0</v>
      </c>
      <c r="J303" s="388">
        <v>1.0</v>
      </c>
      <c r="K303" s="389" t="s">
        <v>300</v>
      </c>
      <c r="L303" s="387">
        <v>4.0</v>
      </c>
      <c r="M303" s="388">
        <v>0.0</v>
      </c>
      <c r="N303" s="388">
        <v>0.0</v>
      </c>
      <c r="O303" s="388">
        <v>0.0</v>
      </c>
      <c r="P303" s="388">
        <v>0.0</v>
      </c>
      <c r="Q303" s="388">
        <v>0.0</v>
      </c>
      <c r="R303" s="388">
        <v>0.0</v>
      </c>
      <c r="S303" s="388"/>
      <c r="T303" s="388">
        <v>0.0</v>
      </c>
      <c r="U303" s="389">
        <v>0.0</v>
      </c>
      <c r="V303" s="387">
        <v>0.0</v>
      </c>
      <c r="W303" s="388">
        <v>0.0</v>
      </c>
      <c r="X303" s="388">
        <v>0.0</v>
      </c>
      <c r="Y303" s="388">
        <v>0.0</v>
      </c>
      <c r="Z303" s="389">
        <v>0.0</v>
      </c>
      <c r="AA303" s="305"/>
      <c r="AB303" s="306"/>
      <c r="AC303" s="306"/>
    </row>
    <row r="304">
      <c r="A304" s="306" t="s">
        <v>1299</v>
      </c>
      <c r="B304" s="424" t="s">
        <v>1300</v>
      </c>
      <c r="C304" s="390">
        <f t="shared" si="1"/>
        <v>0</v>
      </c>
      <c r="D304" s="387">
        <v>26.0</v>
      </c>
      <c r="E304" s="388">
        <v>23.0</v>
      </c>
      <c r="F304" s="388">
        <v>23.0</v>
      </c>
      <c r="G304" s="388">
        <v>23.0</v>
      </c>
      <c r="H304" s="388">
        <v>23.0</v>
      </c>
      <c r="I304" s="388">
        <v>1.0</v>
      </c>
      <c r="J304" s="388">
        <v>1.0</v>
      </c>
      <c r="K304" s="389" t="s">
        <v>301</v>
      </c>
      <c r="L304" s="387">
        <v>5.0</v>
      </c>
      <c r="M304" s="388">
        <v>0.0</v>
      </c>
      <c r="N304" s="388">
        <v>0.0</v>
      </c>
      <c r="O304" s="388">
        <v>0.0</v>
      </c>
      <c r="P304" s="388">
        <v>8.0</v>
      </c>
      <c r="Q304" s="388">
        <v>10.0</v>
      </c>
      <c r="R304" s="388">
        <v>0.0</v>
      </c>
      <c r="S304" s="388"/>
      <c r="T304" s="388">
        <v>0.0</v>
      </c>
      <c r="U304" s="389">
        <v>0.0</v>
      </c>
      <c r="V304" s="387">
        <v>3.0</v>
      </c>
      <c r="W304" s="388">
        <v>2.0</v>
      </c>
      <c r="X304" s="388">
        <v>0.0</v>
      </c>
      <c r="Y304" s="388">
        <v>0.0</v>
      </c>
      <c r="Z304" s="389">
        <v>0.0</v>
      </c>
      <c r="AA304" s="305"/>
      <c r="AB304" s="306"/>
      <c r="AC304" s="306"/>
    </row>
    <row r="305">
      <c r="A305" s="306" t="s">
        <v>1301</v>
      </c>
      <c r="B305" s="424" t="s">
        <v>971</v>
      </c>
      <c r="C305" s="390">
        <f t="shared" si="1"/>
        <v>0</v>
      </c>
      <c r="D305" s="387">
        <v>20.0</v>
      </c>
      <c r="E305" s="388">
        <v>23.0</v>
      </c>
      <c r="F305" s="388">
        <v>16.0</v>
      </c>
      <c r="G305" s="388">
        <v>17.0</v>
      </c>
      <c r="H305" s="388">
        <v>15.0</v>
      </c>
      <c r="I305" s="388">
        <v>1.0</v>
      </c>
      <c r="J305" s="388">
        <v>1.0</v>
      </c>
      <c r="K305" s="389" t="s">
        <v>300</v>
      </c>
      <c r="L305" s="387">
        <v>4.0</v>
      </c>
      <c r="M305" s="388">
        <v>0.0</v>
      </c>
      <c r="N305" s="388">
        <v>0.0</v>
      </c>
      <c r="O305" s="388">
        <v>0.0</v>
      </c>
      <c r="P305" s="388">
        <v>0.0</v>
      </c>
      <c r="Q305" s="388">
        <v>0.0</v>
      </c>
      <c r="R305" s="388">
        <v>0.0</v>
      </c>
      <c r="S305" s="388"/>
      <c r="T305" s="388">
        <v>0.0</v>
      </c>
      <c r="U305" s="389">
        <v>0.0</v>
      </c>
      <c r="V305" s="387">
        <v>5.0</v>
      </c>
      <c r="W305" s="388">
        <v>15.0</v>
      </c>
      <c r="X305" s="388">
        <v>15.0</v>
      </c>
      <c r="Y305" s="388">
        <v>0.0</v>
      </c>
      <c r="Z305" s="389">
        <v>5.0</v>
      </c>
      <c r="AA305" s="305"/>
      <c r="AB305" s="306"/>
      <c r="AC305" s="306"/>
    </row>
    <row r="306">
      <c r="A306" s="306" t="s">
        <v>1302</v>
      </c>
      <c r="B306" s="417" t="s">
        <v>971</v>
      </c>
      <c r="C306" s="390">
        <f t="shared" si="1"/>
        <v>0</v>
      </c>
      <c r="D306" s="387">
        <v>64.0</v>
      </c>
      <c r="E306" s="388">
        <v>64.0</v>
      </c>
      <c r="F306" s="388">
        <v>50.0</v>
      </c>
      <c r="G306" s="388">
        <v>58.0</v>
      </c>
      <c r="H306" s="388">
        <v>52.0</v>
      </c>
      <c r="I306" s="388">
        <v>1.0</v>
      </c>
      <c r="J306" s="388">
        <v>1.0</v>
      </c>
      <c r="K306" s="389" t="s">
        <v>300</v>
      </c>
      <c r="L306" s="387">
        <v>4.0</v>
      </c>
      <c r="M306" s="388">
        <v>0.0</v>
      </c>
      <c r="N306" s="388">
        <v>0.0</v>
      </c>
      <c r="O306" s="388">
        <v>0.0</v>
      </c>
      <c r="P306" s="388">
        <v>0.0</v>
      </c>
      <c r="Q306" s="388">
        <v>0.0</v>
      </c>
      <c r="R306" s="388">
        <v>0.0</v>
      </c>
      <c r="S306" s="388"/>
      <c r="T306" s="388">
        <v>0.0</v>
      </c>
      <c r="U306" s="389">
        <v>0.0</v>
      </c>
      <c r="V306" s="387">
        <v>20.0</v>
      </c>
      <c r="W306" s="388">
        <v>17.0</v>
      </c>
      <c r="X306" s="388">
        <v>10.0</v>
      </c>
      <c r="Y306" s="388">
        <v>14.0</v>
      </c>
      <c r="Z306" s="389">
        <v>14.0</v>
      </c>
      <c r="AA306" s="305"/>
      <c r="AB306" s="306"/>
      <c r="AC306" s="306"/>
    </row>
    <row r="307">
      <c r="A307" s="306" t="s">
        <v>1303</v>
      </c>
      <c r="B307" s="417" t="s">
        <v>954</v>
      </c>
      <c r="C307" s="390">
        <f t="shared" si="1"/>
        <v>0</v>
      </c>
      <c r="D307" s="387">
        <v>50.0</v>
      </c>
      <c r="E307" s="388">
        <v>40.0</v>
      </c>
      <c r="F307" s="388">
        <v>40.0</v>
      </c>
      <c r="G307" s="388">
        <v>55.0</v>
      </c>
      <c r="H307" s="388">
        <v>40.0</v>
      </c>
      <c r="I307" s="388">
        <v>1.0</v>
      </c>
      <c r="J307" s="388">
        <v>1.0</v>
      </c>
      <c r="K307" s="389" t="s">
        <v>300</v>
      </c>
      <c r="L307" s="387">
        <v>4.0</v>
      </c>
      <c r="M307" s="388">
        <v>0.0</v>
      </c>
      <c r="N307" s="388">
        <v>0.0</v>
      </c>
      <c r="O307" s="388">
        <v>0.0</v>
      </c>
      <c r="P307" s="388">
        <v>0.0</v>
      </c>
      <c r="Q307" s="388">
        <v>0.0</v>
      </c>
      <c r="R307" s="388">
        <v>0.0</v>
      </c>
      <c r="S307" s="388"/>
      <c r="T307" s="388">
        <v>0.0</v>
      </c>
      <c r="U307" s="389">
        <v>0.0</v>
      </c>
      <c r="V307" s="387">
        <v>15.0</v>
      </c>
      <c r="W307" s="388">
        <v>10.0</v>
      </c>
      <c r="X307" s="388">
        <v>5.0</v>
      </c>
      <c r="Y307" s="388">
        <v>5.0</v>
      </c>
      <c r="Z307" s="389">
        <v>10.0</v>
      </c>
      <c r="AA307" s="305"/>
      <c r="AB307" s="306"/>
      <c r="AC307" s="306"/>
    </row>
    <row r="308">
      <c r="A308" s="306" t="s">
        <v>1304</v>
      </c>
      <c r="B308" s="417" t="s">
        <v>986</v>
      </c>
      <c r="C308" s="390">
        <f t="shared" si="1"/>
        <v>0</v>
      </c>
      <c r="D308" s="387">
        <v>43.0</v>
      </c>
      <c r="E308" s="388">
        <v>45.0</v>
      </c>
      <c r="F308" s="388">
        <v>52.0</v>
      </c>
      <c r="G308" s="388">
        <v>30.0</v>
      </c>
      <c r="H308" s="388">
        <v>22.0</v>
      </c>
      <c r="I308" s="388">
        <v>1.0</v>
      </c>
      <c r="J308" s="388">
        <v>1.0</v>
      </c>
      <c r="K308" s="389" t="s">
        <v>305</v>
      </c>
      <c r="L308" s="387">
        <v>4.0</v>
      </c>
      <c r="M308" s="388">
        <v>0.0</v>
      </c>
      <c r="N308" s="388">
        <v>0.0</v>
      </c>
      <c r="O308" s="388">
        <v>0.0</v>
      </c>
      <c r="P308" s="388">
        <v>0.0</v>
      </c>
      <c r="Q308" s="388">
        <v>0.0</v>
      </c>
      <c r="R308" s="388">
        <v>0.0</v>
      </c>
      <c r="S308" s="388"/>
      <c r="T308" s="388">
        <v>0.0</v>
      </c>
      <c r="U308" s="389">
        <v>0.0</v>
      </c>
      <c r="V308" s="387">
        <v>10.0</v>
      </c>
      <c r="W308" s="388">
        <v>10.0</v>
      </c>
      <c r="X308" s="388">
        <v>10.0</v>
      </c>
      <c r="Y308" s="388">
        <v>0.0</v>
      </c>
      <c r="Z308" s="389">
        <v>10.0</v>
      </c>
      <c r="AA308" s="305"/>
      <c r="AB308" s="306" t="s">
        <v>1107</v>
      </c>
      <c r="AC308" s="306"/>
    </row>
    <row r="309">
      <c r="A309" s="306" t="s">
        <v>1305</v>
      </c>
      <c r="B309" s="306"/>
      <c r="C309" s="390">
        <f t="shared" si="1"/>
        <v>0</v>
      </c>
      <c r="D309" s="387">
        <v>1.0</v>
      </c>
      <c r="E309" s="388">
        <v>2.0</v>
      </c>
      <c r="F309" s="388">
        <v>1.0</v>
      </c>
      <c r="G309" s="388">
        <v>1.0</v>
      </c>
      <c r="H309" s="388">
        <v>1.0</v>
      </c>
      <c r="I309" s="388">
        <v>1.0</v>
      </c>
      <c r="J309" s="388">
        <v>1.0</v>
      </c>
      <c r="K309" s="389" t="s">
        <v>299</v>
      </c>
      <c r="L309" s="387">
        <v>4.0</v>
      </c>
      <c r="M309" s="388">
        <v>0.0</v>
      </c>
      <c r="N309" s="388">
        <v>0.0</v>
      </c>
      <c r="O309" s="388">
        <v>0.0</v>
      </c>
      <c r="P309" s="388">
        <v>0.0</v>
      </c>
      <c r="Q309" s="388">
        <v>0.0</v>
      </c>
      <c r="R309" s="388">
        <v>0.0</v>
      </c>
      <c r="S309" s="388"/>
      <c r="T309" s="388">
        <v>0.0</v>
      </c>
      <c r="U309" s="389">
        <v>0.0</v>
      </c>
      <c r="V309" s="387">
        <v>-42.0</v>
      </c>
      <c r="W309" s="388">
        <v>-42.0</v>
      </c>
      <c r="X309" s="388">
        <v>-42.0</v>
      </c>
      <c r="Y309" s="388">
        <v>-42.0</v>
      </c>
      <c r="Z309" s="389">
        <v>-42.0</v>
      </c>
      <c r="AA309" s="305"/>
      <c r="AB309" s="306"/>
      <c r="AC309" s="306"/>
    </row>
    <row r="310">
      <c r="A310" s="319" t="s">
        <v>1306</v>
      </c>
      <c r="B310" s="411" t="s">
        <v>952</v>
      </c>
      <c r="C310" s="412">
        <f t="shared" si="1"/>
        <v>0</v>
      </c>
      <c r="D310" s="413">
        <v>7.0</v>
      </c>
      <c r="E310" s="414">
        <v>10.0</v>
      </c>
      <c r="F310" s="414">
        <v>5.0</v>
      </c>
      <c r="G310" s="414">
        <v>5.0</v>
      </c>
      <c r="H310" s="414">
        <v>4.0</v>
      </c>
      <c r="I310" s="414">
        <v>9.0</v>
      </c>
      <c r="J310" s="414">
        <v>5.0</v>
      </c>
      <c r="K310" s="415" t="s">
        <v>300</v>
      </c>
      <c r="L310" s="413">
        <v>5.0</v>
      </c>
      <c r="M310" s="178"/>
      <c r="N310" s="178"/>
      <c r="O310" s="178"/>
      <c r="P310" s="178"/>
      <c r="Q310" s="178"/>
      <c r="R310" s="414">
        <v>5.0</v>
      </c>
      <c r="S310" s="178"/>
      <c r="T310" s="178"/>
      <c r="U310" s="416"/>
      <c r="V310" s="413">
        <v>0.0</v>
      </c>
      <c r="W310" s="414">
        <v>0.0</v>
      </c>
      <c r="X310" s="414">
        <v>0.0</v>
      </c>
      <c r="Y310" s="414">
        <v>5.0</v>
      </c>
      <c r="Z310" s="415">
        <v>0.0</v>
      </c>
      <c r="AA310" s="394"/>
      <c r="AB310" s="306" t="s">
        <v>929</v>
      </c>
      <c r="AC310" s="395"/>
    </row>
    <row r="311">
      <c r="A311" s="319" t="s">
        <v>1307</v>
      </c>
      <c r="B311" s="411" t="s">
        <v>952</v>
      </c>
      <c r="C311" s="412">
        <f t="shared" si="1"/>
        <v>0</v>
      </c>
      <c r="D311" s="413">
        <v>15.0</v>
      </c>
      <c r="E311" s="414">
        <v>14.0</v>
      </c>
      <c r="F311" s="414">
        <v>13.0</v>
      </c>
      <c r="G311" s="414">
        <v>14.0</v>
      </c>
      <c r="H311" s="414">
        <v>14.0</v>
      </c>
      <c r="I311" s="414">
        <v>12.0</v>
      </c>
      <c r="J311" s="414">
        <v>15.0</v>
      </c>
      <c r="K311" s="415" t="s">
        <v>299</v>
      </c>
      <c r="L311" s="413">
        <v>5.0</v>
      </c>
      <c r="M311" s="414"/>
      <c r="N311" s="414"/>
      <c r="O311" s="414"/>
      <c r="P311" s="414">
        <v>6.0</v>
      </c>
      <c r="Q311" s="414">
        <v>8.0</v>
      </c>
      <c r="R311" s="414">
        <v>37.0</v>
      </c>
      <c r="S311" s="414"/>
      <c r="T311" s="414">
        <v>21.0</v>
      </c>
      <c r="U311" s="415">
        <v>12.0</v>
      </c>
      <c r="V311" s="413">
        <v>25.0</v>
      </c>
      <c r="W311" s="414">
        <v>28.0</v>
      </c>
      <c r="X311" s="414">
        <v>31.0</v>
      </c>
      <c r="Y311" s="414">
        <v>1.0</v>
      </c>
      <c r="Z311" s="415">
        <v>31.0</v>
      </c>
      <c r="AA311" s="394"/>
      <c r="AB311" s="306" t="s">
        <v>929</v>
      </c>
      <c r="AC311" s="395"/>
    </row>
    <row r="312">
      <c r="A312" s="319" t="s">
        <v>1308</v>
      </c>
      <c r="B312" s="411" t="s">
        <v>952</v>
      </c>
      <c r="C312" s="412">
        <f t="shared" si="1"/>
        <v>0</v>
      </c>
      <c r="D312" s="413">
        <v>52.0</v>
      </c>
      <c r="E312" s="414">
        <v>48.0</v>
      </c>
      <c r="F312" s="414">
        <v>60.0</v>
      </c>
      <c r="G312" s="414">
        <v>40.0</v>
      </c>
      <c r="H312" s="414">
        <v>33.0</v>
      </c>
      <c r="I312" s="414">
        <v>67.0</v>
      </c>
      <c r="J312" s="414">
        <v>40.0</v>
      </c>
      <c r="K312" s="415" t="s">
        <v>299</v>
      </c>
      <c r="L312" s="413">
        <v>5.0</v>
      </c>
      <c r="M312" s="178"/>
      <c r="N312" s="178"/>
      <c r="O312" s="178"/>
      <c r="P312" s="178"/>
      <c r="Q312" s="178"/>
      <c r="R312" s="178"/>
      <c r="S312" s="178"/>
      <c r="T312" s="178"/>
      <c r="U312" s="416"/>
      <c r="V312" s="413">
        <v>45.0</v>
      </c>
      <c r="W312" s="414">
        <v>40.0</v>
      </c>
      <c r="X312" s="414">
        <v>50.0</v>
      </c>
      <c r="Y312" s="414">
        <v>15.0</v>
      </c>
      <c r="Z312" s="415">
        <v>10.0</v>
      </c>
      <c r="AA312" s="394"/>
      <c r="AB312" s="306" t="s">
        <v>929</v>
      </c>
      <c r="AC312" s="395"/>
    </row>
    <row r="313">
      <c r="A313" s="411" t="s">
        <v>1309</v>
      </c>
      <c r="B313" s="411" t="s">
        <v>952</v>
      </c>
      <c r="C313" s="412">
        <f t="shared" si="1"/>
        <v>0.025</v>
      </c>
      <c r="D313" s="413">
        <v>60.0</v>
      </c>
      <c r="E313" s="414">
        <v>72.0</v>
      </c>
      <c r="F313" s="414">
        <v>50.0</v>
      </c>
      <c r="G313" s="414">
        <v>50.0</v>
      </c>
      <c r="H313" s="414">
        <v>41.0</v>
      </c>
      <c r="I313" s="414">
        <v>55.0</v>
      </c>
      <c r="J313" s="414">
        <v>60.0</v>
      </c>
      <c r="K313" s="415" t="s">
        <v>301</v>
      </c>
      <c r="L313" s="413">
        <v>4.0</v>
      </c>
      <c r="M313" s="178"/>
      <c r="N313" s="178"/>
      <c r="O313" s="178"/>
      <c r="P313" s="414">
        <v>20.0</v>
      </c>
      <c r="Q313" s="414">
        <v>24.0</v>
      </c>
      <c r="R313" s="414">
        <v>5.0</v>
      </c>
      <c r="S313" s="178"/>
      <c r="T313" s="414">
        <v>25.0</v>
      </c>
      <c r="U313" s="416"/>
      <c r="V313" s="413">
        <v>65.0</v>
      </c>
      <c r="W313" s="414">
        <v>60.0</v>
      </c>
      <c r="X313" s="414">
        <v>68.0</v>
      </c>
      <c r="Y313" s="414">
        <v>30.0</v>
      </c>
      <c r="Z313" s="415">
        <v>50.0</v>
      </c>
      <c r="AA313" s="394"/>
      <c r="AB313" s="306" t="s">
        <v>929</v>
      </c>
      <c r="AC313" s="395"/>
    </row>
    <row r="314">
      <c r="A314" s="411" t="s">
        <v>1310</v>
      </c>
      <c r="B314" s="411" t="s">
        <v>952</v>
      </c>
      <c r="C314" s="412">
        <f t="shared" si="1"/>
        <v>0.075</v>
      </c>
      <c r="D314" s="413">
        <v>82.0</v>
      </c>
      <c r="E314" s="414">
        <v>110.0</v>
      </c>
      <c r="F314" s="414">
        <v>60.0</v>
      </c>
      <c r="G314" s="414">
        <v>73.0</v>
      </c>
      <c r="H314" s="414">
        <v>49.0</v>
      </c>
      <c r="I314" s="414">
        <v>65.0</v>
      </c>
      <c r="J314" s="414">
        <v>70.0</v>
      </c>
      <c r="K314" s="415" t="s">
        <v>299</v>
      </c>
      <c r="L314" s="413">
        <v>6.0</v>
      </c>
      <c r="M314" s="178"/>
      <c r="N314" s="178"/>
      <c r="O314" s="178"/>
      <c r="P314" s="414">
        <v>53.0</v>
      </c>
      <c r="Q314" s="414">
        <v>64.0</v>
      </c>
      <c r="R314" s="178"/>
      <c r="S314" s="178"/>
      <c r="T314" s="178"/>
      <c r="U314" s="416"/>
      <c r="V314" s="413">
        <v>140.0</v>
      </c>
      <c r="W314" s="414">
        <v>130.0</v>
      </c>
      <c r="X314" s="414">
        <v>135.0</v>
      </c>
      <c r="Y314" s="414">
        <v>10.0</v>
      </c>
      <c r="Z314" s="415">
        <v>135.0</v>
      </c>
      <c r="AA314" s="394"/>
      <c r="AB314" s="306" t="s">
        <v>929</v>
      </c>
      <c r="AC314" s="395"/>
    </row>
    <row r="315">
      <c r="A315" s="411" t="s">
        <v>1311</v>
      </c>
      <c r="B315" s="411" t="s">
        <v>952</v>
      </c>
      <c r="C315" s="412">
        <f t="shared" si="1"/>
        <v>0.075</v>
      </c>
      <c r="D315" s="413">
        <v>90.0</v>
      </c>
      <c r="E315" s="414">
        <v>80.0</v>
      </c>
      <c r="F315" s="414">
        <v>76.0</v>
      </c>
      <c r="G315" s="414">
        <v>80.0</v>
      </c>
      <c r="H315" s="414">
        <v>80.0</v>
      </c>
      <c r="I315" s="414">
        <v>104.0</v>
      </c>
      <c r="J315" s="414">
        <v>80.0</v>
      </c>
      <c r="K315" s="415" t="s">
        <v>300</v>
      </c>
      <c r="L315" s="413">
        <v>5.0</v>
      </c>
      <c r="M315" s="178"/>
      <c r="N315" s="178"/>
      <c r="O315" s="178"/>
      <c r="P315" s="414">
        <v>38.0</v>
      </c>
      <c r="Q315" s="414">
        <v>40.0</v>
      </c>
      <c r="R315" s="414">
        <v>30.0</v>
      </c>
      <c r="S315" s="178"/>
      <c r="T315" s="178"/>
      <c r="U315" s="416"/>
      <c r="V315" s="413">
        <v>138.0</v>
      </c>
      <c r="W315" s="414">
        <v>140.0</v>
      </c>
      <c r="X315" s="414">
        <v>142.0</v>
      </c>
      <c r="Y315" s="414">
        <v>62.0</v>
      </c>
      <c r="Z315" s="415">
        <v>140.0</v>
      </c>
      <c r="AA315" s="394"/>
      <c r="AB315" s="306" t="s">
        <v>929</v>
      </c>
      <c r="AC315" s="395"/>
    </row>
    <row r="316">
      <c r="A316" s="411" t="s">
        <v>1312</v>
      </c>
      <c r="B316" s="411" t="s">
        <v>952</v>
      </c>
      <c r="C316" s="412">
        <f t="shared" si="1"/>
        <v>0.075</v>
      </c>
      <c r="D316" s="413">
        <v>98.0</v>
      </c>
      <c r="E316" s="414">
        <v>80.0</v>
      </c>
      <c r="F316" s="414">
        <v>83.0</v>
      </c>
      <c r="G316" s="414">
        <v>76.0</v>
      </c>
      <c r="H316" s="414">
        <v>80.0</v>
      </c>
      <c r="I316" s="414">
        <v>120.0</v>
      </c>
      <c r="J316" s="414">
        <v>80.0</v>
      </c>
      <c r="K316" s="415" t="s">
        <v>299</v>
      </c>
      <c r="L316" s="413">
        <v>5.0</v>
      </c>
      <c r="M316" s="178"/>
      <c r="N316" s="178"/>
      <c r="O316" s="178"/>
      <c r="P316" s="414">
        <v>30.0</v>
      </c>
      <c r="Q316" s="414">
        <v>50.0</v>
      </c>
      <c r="R316" s="414">
        <v>50.0</v>
      </c>
      <c r="S316" s="414"/>
      <c r="T316" s="414">
        <v>40.0</v>
      </c>
      <c r="U316" s="415">
        <v>30.0</v>
      </c>
      <c r="V316" s="413">
        <v>124.0</v>
      </c>
      <c r="W316" s="414">
        <v>118.0</v>
      </c>
      <c r="X316" s="414">
        <v>130.0</v>
      </c>
      <c r="Y316" s="414">
        <v>85.0</v>
      </c>
      <c r="Z316" s="415">
        <v>90.0</v>
      </c>
      <c r="AA316" s="394"/>
      <c r="AB316" s="306" t="s">
        <v>929</v>
      </c>
      <c r="AC316" s="395"/>
    </row>
    <row r="317">
      <c r="A317" s="411" t="s">
        <v>1313</v>
      </c>
      <c r="B317" s="411" t="s">
        <v>952</v>
      </c>
      <c r="C317" s="412">
        <f t="shared" si="1"/>
        <v>0.1</v>
      </c>
      <c r="D317" s="413">
        <v>105.0</v>
      </c>
      <c r="E317" s="414">
        <v>105.0</v>
      </c>
      <c r="F317" s="414">
        <v>99.0</v>
      </c>
      <c r="G317" s="414">
        <v>100.0</v>
      </c>
      <c r="H317" s="414">
        <v>60.0</v>
      </c>
      <c r="I317" s="414">
        <v>110.0</v>
      </c>
      <c r="J317" s="414">
        <v>130.0</v>
      </c>
      <c r="K317" s="415" t="s">
        <v>301</v>
      </c>
      <c r="L317" s="413">
        <v>5.0</v>
      </c>
      <c r="M317" s="178"/>
      <c r="N317" s="178"/>
      <c r="O317" s="178"/>
      <c r="P317" s="414">
        <v>60.0</v>
      </c>
      <c r="Q317" s="414">
        <v>55.0</v>
      </c>
      <c r="R317" s="178"/>
      <c r="S317" s="178"/>
      <c r="T317" s="414">
        <v>50.0</v>
      </c>
      <c r="U317" s="416"/>
      <c r="V317" s="413">
        <v>148.0</v>
      </c>
      <c r="W317" s="414">
        <v>150.0</v>
      </c>
      <c r="X317" s="414">
        <v>146.0</v>
      </c>
      <c r="Y317" s="414">
        <v>50.0</v>
      </c>
      <c r="Z317" s="415">
        <v>148.0</v>
      </c>
      <c r="AA317" s="394"/>
      <c r="AB317" s="306" t="s">
        <v>929</v>
      </c>
      <c r="AC317" s="395"/>
    </row>
    <row r="318">
      <c r="A318" s="411" t="s">
        <v>1314</v>
      </c>
      <c r="B318" s="411" t="s">
        <v>952</v>
      </c>
      <c r="C318" s="412">
        <f t="shared" si="1"/>
        <v>0.125</v>
      </c>
      <c r="D318" s="413">
        <v>120.0</v>
      </c>
      <c r="E318" s="414">
        <v>140.0</v>
      </c>
      <c r="F318" s="414">
        <v>93.0</v>
      </c>
      <c r="G318" s="414">
        <v>110.0</v>
      </c>
      <c r="H318" s="414">
        <v>80.0</v>
      </c>
      <c r="I318" s="414">
        <v>130.0</v>
      </c>
      <c r="J318" s="414">
        <v>135.0</v>
      </c>
      <c r="K318" s="415" t="s">
        <v>299</v>
      </c>
      <c r="L318" s="413">
        <v>5.0</v>
      </c>
      <c r="M318" s="178"/>
      <c r="N318" s="178"/>
      <c r="O318" s="178"/>
      <c r="P318" s="414">
        <v>65.0</v>
      </c>
      <c r="Q318" s="414">
        <v>60.0</v>
      </c>
      <c r="R318" s="178"/>
      <c r="S318" s="178"/>
      <c r="T318" s="414">
        <v>45.0</v>
      </c>
      <c r="U318" s="416"/>
      <c r="V318" s="413">
        <v>153.0</v>
      </c>
      <c r="W318" s="414">
        <v>152.0</v>
      </c>
      <c r="X318" s="414">
        <v>155.0</v>
      </c>
      <c r="Y318" s="414">
        <v>70.0</v>
      </c>
      <c r="Z318" s="415">
        <v>158.0</v>
      </c>
      <c r="AA318" s="394"/>
      <c r="AB318" s="306" t="s">
        <v>929</v>
      </c>
      <c r="AC318" s="395"/>
    </row>
    <row r="319">
      <c r="A319" s="411" t="s">
        <v>1315</v>
      </c>
      <c r="B319" s="411" t="s">
        <v>952</v>
      </c>
      <c r="C319" s="412">
        <f t="shared" si="1"/>
        <v>0.175</v>
      </c>
      <c r="D319" s="413">
        <v>126.0</v>
      </c>
      <c r="E319" s="414">
        <v>143.0</v>
      </c>
      <c r="F319" s="414">
        <v>100.0</v>
      </c>
      <c r="G319" s="414">
        <v>119.0</v>
      </c>
      <c r="H319" s="414">
        <v>80.0</v>
      </c>
      <c r="I319" s="414">
        <v>146.0</v>
      </c>
      <c r="J319" s="414">
        <v>146.0</v>
      </c>
      <c r="K319" s="415" t="s">
        <v>301</v>
      </c>
      <c r="L319" s="413">
        <v>5.0</v>
      </c>
      <c r="M319" s="178"/>
      <c r="N319" s="178"/>
      <c r="O319" s="178"/>
      <c r="P319" s="414">
        <v>69.0</v>
      </c>
      <c r="Q319" s="414">
        <v>71.0</v>
      </c>
      <c r="R319" s="414">
        <v>55.0</v>
      </c>
      <c r="S319" s="414"/>
      <c r="T319" s="414">
        <v>55.0</v>
      </c>
      <c r="U319" s="415">
        <v>45.0</v>
      </c>
      <c r="V319" s="413">
        <v>195.0</v>
      </c>
      <c r="W319" s="414">
        <v>200.0</v>
      </c>
      <c r="X319" s="414">
        <v>180.0</v>
      </c>
      <c r="Y319" s="414">
        <v>95.0</v>
      </c>
      <c r="Z319" s="415">
        <v>190.0</v>
      </c>
      <c r="AA319" s="394"/>
      <c r="AB319" s="306" t="s">
        <v>929</v>
      </c>
      <c r="AC319" s="395"/>
    </row>
    <row r="320">
      <c r="A320" s="411" t="s">
        <v>1316</v>
      </c>
      <c r="B320" s="411" t="s">
        <v>952</v>
      </c>
      <c r="C320" s="412">
        <f t="shared" si="1"/>
        <v>0.2</v>
      </c>
      <c r="D320" s="413">
        <v>135.0</v>
      </c>
      <c r="E320" s="414">
        <v>155.0</v>
      </c>
      <c r="F320" s="414">
        <v>106.0</v>
      </c>
      <c r="G320" s="414">
        <v>126.0</v>
      </c>
      <c r="H320" s="414">
        <v>87.0</v>
      </c>
      <c r="I320" s="414">
        <v>150.0</v>
      </c>
      <c r="J320" s="414">
        <v>151.0</v>
      </c>
      <c r="K320" s="415" t="s">
        <v>301</v>
      </c>
      <c r="L320" s="413">
        <v>5.0</v>
      </c>
      <c r="M320" s="178"/>
      <c r="N320" s="178"/>
      <c r="O320" s="178"/>
      <c r="P320" s="414">
        <v>72.0</v>
      </c>
      <c r="Q320" s="414">
        <v>78.0</v>
      </c>
      <c r="R320" s="414">
        <v>61.0</v>
      </c>
      <c r="S320" s="414"/>
      <c r="T320" s="414">
        <v>60.0</v>
      </c>
      <c r="U320" s="415">
        <v>51.0</v>
      </c>
      <c r="V320" s="413">
        <v>201.0</v>
      </c>
      <c r="W320" s="414">
        <v>206.0</v>
      </c>
      <c r="X320" s="414">
        <v>188.0</v>
      </c>
      <c r="Y320" s="414">
        <v>101.0</v>
      </c>
      <c r="Z320" s="415">
        <v>197.0</v>
      </c>
      <c r="AA320" s="394"/>
      <c r="AB320" s="306" t="s">
        <v>1317</v>
      </c>
      <c r="AC320" s="395"/>
    </row>
    <row r="321">
      <c r="A321" s="405" t="s">
        <v>1318</v>
      </c>
      <c r="B321" s="405"/>
      <c r="C321" s="406">
        <f t="shared" si="1"/>
        <v>0.025</v>
      </c>
      <c r="D321" s="407">
        <v>152.0</v>
      </c>
      <c r="E321" s="408">
        <v>140.0</v>
      </c>
      <c r="F321" s="408">
        <v>130.0</v>
      </c>
      <c r="G321" s="408">
        <v>130.0</v>
      </c>
      <c r="H321" s="408">
        <v>130.0</v>
      </c>
      <c r="I321" s="408">
        <v>1.0</v>
      </c>
      <c r="J321" s="408">
        <v>1.0</v>
      </c>
      <c r="K321" s="409"/>
      <c r="L321" s="407"/>
      <c r="M321" s="408">
        <v>0.0</v>
      </c>
      <c r="N321" s="408">
        <v>0.0</v>
      </c>
      <c r="O321" s="408">
        <v>0.0</v>
      </c>
      <c r="P321" s="408">
        <v>0.0</v>
      </c>
      <c r="Q321" s="408">
        <v>0.0</v>
      </c>
      <c r="R321" s="408">
        <v>0.0</v>
      </c>
      <c r="S321" s="408"/>
      <c r="T321" s="408">
        <v>0.0</v>
      </c>
      <c r="U321" s="409"/>
      <c r="V321" s="407">
        <v>50.0</v>
      </c>
      <c r="W321" s="408">
        <v>70.0</v>
      </c>
      <c r="X321" s="408">
        <v>70.0</v>
      </c>
      <c r="Y321" s="408">
        <v>60.0</v>
      </c>
      <c r="Z321" s="409">
        <v>50.0</v>
      </c>
      <c r="AA321" s="410"/>
      <c r="AB321" s="405" t="s">
        <v>936</v>
      </c>
      <c r="AC321" s="405"/>
    </row>
    <row r="322">
      <c r="A322" s="319" t="s">
        <v>1319</v>
      </c>
      <c r="B322" s="411"/>
      <c r="C322" s="412">
        <f t="shared" si="1"/>
        <v>0.05</v>
      </c>
      <c r="D322" s="418">
        <v>194.0</v>
      </c>
      <c r="E322" s="419">
        <v>280.0</v>
      </c>
      <c r="F322" s="419">
        <v>0.0</v>
      </c>
      <c r="G322" s="419">
        <v>0.0</v>
      </c>
      <c r="H322" s="419">
        <v>140.0</v>
      </c>
      <c r="I322" s="419">
        <v>128.0</v>
      </c>
      <c r="J322" s="419">
        <v>328.0</v>
      </c>
      <c r="K322" s="420" t="s">
        <v>1089</v>
      </c>
      <c r="L322" s="418">
        <v>4.0</v>
      </c>
      <c r="M322" s="414"/>
      <c r="N322" s="414"/>
      <c r="O322" s="414"/>
      <c r="P322" s="414"/>
      <c r="Q322" s="414"/>
      <c r="R322" s="414"/>
      <c r="S322" s="388"/>
      <c r="T322" s="419">
        <v>126.0</v>
      </c>
      <c r="U322" s="389">
        <v>0.0</v>
      </c>
      <c r="V322" s="418">
        <v>140.0</v>
      </c>
      <c r="W322" s="419">
        <v>180.0</v>
      </c>
      <c r="X322" s="419">
        <v>60.0</v>
      </c>
      <c r="Y322" s="419">
        <v>940.0</v>
      </c>
      <c r="Z322" s="420">
        <v>860.0</v>
      </c>
      <c r="AA322" s="430"/>
      <c r="AB322" s="431"/>
      <c r="AC322" s="431"/>
    </row>
    <row r="323">
      <c r="A323" s="405" t="s">
        <v>1320</v>
      </c>
      <c r="B323" s="405"/>
      <c r="C323" s="406">
        <f t="shared" si="1"/>
        <v>0</v>
      </c>
      <c r="D323" s="407">
        <v>13.0</v>
      </c>
      <c r="E323" s="408">
        <v>50.0</v>
      </c>
      <c r="F323" s="408">
        <v>1.0</v>
      </c>
      <c r="G323" s="408">
        <v>1.0</v>
      </c>
      <c r="H323" s="408">
        <v>1.0</v>
      </c>
      <c r="I323" s="408">
        <v>1.0</v>
      </c>
      <c r="J323" s="408">
        <v>1.0</v>
      </c>
      <c r="K323" s="409"/>
      <c r="L323" s="407"/>
      <c r="M323" s="408">
        <v>0.0</v>
      </c>
      <c r="N323" s="408">
        <v>0.0</v>
      </c>
      <c r="O323" s="408">
        <v>0.0</v>
      </c>
      <c r="P323" s="408">
        <v>0.0</v>
      </c>
      <c r="Q323" s="408">
        <v>0.0</v>
      </c>
      <c r="R323" s="408">
        <v>0.0</v>
      </c>
      <c r="S323" s="408"/>
      <c r="T323" s="408">
        <v>0.0</v>
      </c>
      <c r="U323" s="409">
        <v>0.0</v>
      </c>
      <c r="V323" s="407">
        <v>0.0</v>
      </c>
      <c r="W323" s="408">
        <v>0.0</v>
      </c>
      <c r="X323" s="408">
        <v>0.0</v>
      </c>
      <c r="Y323" s="408">
        <v>0.0</v>
      </c>
      <c r="Z323" s="409">
        <v>0.0</v>
      </c>
      <c r="AA323" s="410"/>
      <c r="AB323" s="405"/>
      <c r="AC323" s="405"/>
    </row>
    <row r="324">
      <c r="A324" s="405" t="s">
        <v>1321</v>
      </c>
      <c r="B324" s="405"/>
      <c r="C324" s="406">
        <f t="shared" si="1"/>
        <v>0.1</v>
      </c>
      <c r="D324" s="407">
        <v>380.0</v>
      </c>
      <c r="E324" s="408">
        <v>330.0</v>
      </c>
      <c r="F324" s="408">
        <v>284.0</v>
      </c>
      <c r="G324" s="408">
        <v>276.0</v>
      </c>
      <c r="H324" s="408">
        <v>284.0</v>
      </c>
      <c r="I324" s="408">
        <v>196.0</v>
      </c>
      <c r="J324" s="408">
        <v>246.0</v>
      </c>
      <c r="K324" s="409"/>
      <c r="L324" s="407"/>
      <c r="M324" s="408"/>
      <c r="N324" s="408"/>
      <c r="O324" s="408"/>
      <c r="P324" s="408"/>
      <c r="Q324" s="408"/>
      <c r="R324" s="408"/>
      <c r="S324" s="408"/>
      <c r="T324" s="408"/>
      <c r="U324" s="409">
        <v>14.0</v>
      </c>
      <c r="V324" s="407">
        <v>30.0</v>
      </c>
      <c r="W324" s="408">
        <v>115.0</v>
      </c>
      <c r="X324" s="408">
        <v>90.0</v>
      </c>
      <c r="Y324" s="408">
        <v>30.0</v>
      </c>
      <c r="Z324" s="409">
        <v>95.0</v>
      </c>
      <c r="AA324" s="410"/>
      <c r="AB324" s="405" t="s">
        <v>936</v>
      </c>
      <c r="AC324" s="405"/>
    </row>
    <row r="325">
      <c r="A325" s="306" t="s">
        <v>1322</v>
      </c>
      <c r="B325" s="306" t="s">
        <v>986</v>
      </c>
      <c r="C325" s="390">
        <f t="shared" si="1"/>
        <v>0</v>
      </c>
      <c r="D325" s="387">
        <v>29.0</v>
      </c>
      <c r="E325" s="388">
        <v>27.0</v>
      </c>
      <c r="F325" s="388">
        <v>22.0</v>
      </c>
      <c r="G325" s="388">
        <v>27.0</v>
      </c>
      <c r="H325" s="388">
        <v>27.0</v>
      </c>
      <c r="I325" s="388">
        <v>1.0</v>
      </c>
      <c r="J325" s="388">
        <v>1.0</v>
      </c>
      <c r="K325" s="389" t="s">
        <v>299</v>
      </c>
      <c r="L325" s="387">
        <v>4.0</v>
      </c>
      <c r="M325" s="388">
        <v>0.0</v>
      </c>
      <c r="N325" s="388">
        <v>0.0</v>
      </c>
      <c r="O325" s="388">
        <v>0.0</v>
      </c>
      <c r="P325" s="388">
        <v>0.0</v>
      </c>
      <c r="Q325" s="388">
        <v>0.0</v>
      </c>
      <c r="R325" s="388">
        <v>0.0</v>
      </c>
      <c r="S325" s="388"/>
      <c r="T325" s="388">
        <v>0.0</v>
      </c>
      <c r="U325" s="389">
        <v>0.0</v>
      </c>
      <c r="V325" s="387">
        <v>0.0</v>
      </c>
      <c r="W325" s="388">
        <v>0.0</v>
      </c>
      <c r="X325" s="388">
        <v>0.0</v>
      </c>
      <c r="Y325" s="388">
        <v>0.0</v>
      </c>
      <c r="Z325" s="389">
        <v>0.0</v>
      </c>
      <c r="AA325" s="305"/>
      <c r="AB325" s="306"/>
      <c r="AC325" s="306"/>
    </row>
    <row r="326">
      <c r="A326" s="319" t="s">
        <v>1323</v>
      </c>
      <c r="B326" s="411" t="s">
        <v>1324</v>
      </c>
      <c r="C326" s="412">
        <f t="shared" si="1"/>
        <v>0</v>
      </c>
      <c r="D326" s="413">
        <v>135.0</v>
      </c>
      <c r="E326" s="414">
        <v>125.0</v>
      </c>
      <c r="F326" s="414">
        <v>140.0</v>
      </c>
      <c r="G326" s="414">
        <v>140.0</v>
      </c>
      <c r="H326" s="414">
        <v>150.0</v>
      </c>
      <c r="I326" s="414">
        <v>1.0</v>
      </c>
      <c r="J326" s="414">
        <v>1.0</v>
      </c>
      <c r="K326" s="415" t="s">
        <v>299</v>
      </c>
      <c r="L326" s="413">
        <v>4.0</v>
      </c>
      <c r="M326" s="178"/>
      <c r="N326" s="178"/>
      <c r="O326" s="178"/>
      <c r="P326" s="178"/>
      <c r="Q326" s="178"/>
      <c r="R326" s="178"/>
      <c r="S326" s="178"/>
      <c r="T326" s="178"/>
      <c r="U326" s="416"/>
      <c r="V326" s="413">
        <v>0.0</v>
      </c>
      <c r="W326" s="414">
        <v>0.0</v>
      </c>
      <c r="X326" s="414">
        <v>0.0</v>
      </c>
      <c r="Y326" s="414">
        <v>0.0</v>
      </c>
      <c r="Z326" s="415">
        <v>0.0</v>
      </c>
      <c r="AA326" s="394"/>
      <c r="AB326" s="395"/>
      <c r="AC326" s="395"/>
    </row>
    <row r="327">
      <c r="A327" s="306" t="s">
        <v>1325</v>
      </c>
      <c r="B327" s="306" t="s">
        <v>1326</v>
      </c>
      <c r="C327" s="390">
        <f t="shared" si="1"/>
        <v>0</v>
      </c>
      <c r="D327" s="387">
        <v>15.0</v>
      </c>
      <c r="E327" s="388">
        <v>60.0</v>
      </c>
      <c r="F327" s="388">
        <v>1.0</v>
      </c>
      <c r="G327" s="388">
        <v>1.0</v>
      </c>
      <c r="H327" s="388">
        <v>1.0</v>
      </c>
      <c r="I327" s="388">
        <v>1.0</v>
      </c>
      <c r="J327" s="388">
        <v>1.0</v>
      </c>
      <c r="K327" s="389" t="s">
        <v>299</v>
      </c>
      <c r="L327" s="387">
        <v>4.0</v>
      </c>
      <c r="M327" s="388">
        <v>0.0</v>
      </c>
      <c r="N327" s="388">
        <v>0.0</v>
      </c>
      <c r="O327" s="388">
        <v>0.0</v>
      </c>
      <c r="P327" s="388">
        <v>0.0</v>
      </c>
      <c r="Q327" s="388">
        <v>0.0</v>
      </c>
      <c r="R327" s="388">
        <v>0.0</v>
      </c>
      <c r="S327" s="388"/>
      <c r="T327" s="388">
        <v>0.0</v>
      </c>
      <c r="U327" s="389">
        <v>0.0</v>
      </c>
      <c r="V327" s="387">
        <v>0.0</v>
      </c>
      <c r="W327" s="388">
        <v>0.0</v>
      </c>
      <c r="X327" s="388">
        <v>0.0</v>
      </c>
      <c r="Y327" s="388">
        <v>0.0</v>
      </c>
      <c r="Z327" s="389">
        <v>0.0</v>
      </c>
      <c r="AA327" s="305"/>
      <c r="AB327" s="306"/>
      <c r="AC327" s="306"/>
    </row>
    <row r="328">
      <c r="A328" s="316" t="s">
        <v>1327</v>
      </c>
      <c r="B328" s="316" t="s">
        <v>1328</v>
      </c>
      <c r="C328" s="412">
        <f t="shared" si="1"/>
        <v>0</v>
      </c>
      <c r="D328" s="422">
        <v>36.0</v>
      </c>
      <c r="E328" s="421">
        <v>60.0</v>
      </c>
      <c r="F328" s="421">
        <v>30.0</v>
      </c>
      <c r="G328" s="421">
        <v>20.0</v>
      </c>
      <c r="H328" s="421">
        <v>20.0</v>
      </c>
      <c r="I328" s="421">
        <v>1.0</v>
      </c>
      <c r="J328" s="421">
        <v>1.0</v>
      </c>
      <c r="K328" s="423" t="s">
        <v>299</v>
      </c>
      <c r="L328" s="422">
        <v>4.0</v>
      </c>
      <c r="M328" s="421"/>
      <c r="N328" s="421"/>
      <c r="O328" s="421"/>
      <c r="P328" s="421"/>
      <c r="Q328" s="421"/>
      <c r="R328" s="421"/>
      <c r="S328" s="421"/>
      <c r="T328" s="421"/>
      <c r="U328" s="423"/>
      <c r="V328" s="422">
        <v>0.0</v>
      </c>
      <c r="W328" s="421">
        <v>0.0</v>
      </c>
      <c r="X328" s="421">
        <v>0.0</v>
      </c>
      <c r="Y328" s="421">
        <v>0.0</v>
      </c>
      <c r="Z328" s="423">
        <v>0.0</v>
      </c>
      <c r="AA328" s="329"/>
      <c r="AB328" s="316"/>
      <c r="AC328" s="316"/>
    </row>
    <row r="329">
      <c r="A329" s="316" t="s">
        <v>1329</v>
      </c>
      <c r="B329" s="316" t="s">
        <v>1330</v>
      </c>
      <c r="C329" s="412">
        <f t="shared" si="1"/>
        <v>0</v>
      </c>
      <c r="D329" s="422">
        <v>154.0</v>
      </c>
      <c r="E329" s="421">
        <v>180.0</v>
      </c>
      <c r="F329" s="421">
        <v>180.0</v>
      </c>
      <c r="G329" s="421">
        <v>140.0</v>
      </c>
      <c r="H329" s="421">
        <v>20.0</v>
      </c>
      <c r="I329" s="421">
        <v>1.0</v>
      </c>
      <c r="J329" s="421">
        <v>1.0</v>
      </c>
      <c r="K329" s="423" t="s">
        <v>299</v>
      </c>
      <c r="L329" s="422">
        <v>4.0</v>
      </c>
      <c r="M329" s="421"/>
      <c r="N329" s="421"/>
      <c r="O329" s="421"/>
      <c r="P329" s="421"/>
      <c r="Q329" s="421"/>
      <c r="R329" s="421"/>
      <c r="S329" s="421"/>
      <c r="T329" s="421"/>
      <c r="U329" s="423"/>
      <c r="V329" s="422">
        <v>0.0</v>
      </c>
      <c r="W329" s="421">
        <v>0.0</v>
      </c>
      <c r="X329" s="421">
        <v>0.0</v>
      </c>
      <c r="Y329" s="421">
        <v>0.0</v>
      </c>
      <c r="Z329" s="423">
        <v>0.0</v>
      </c>
      <c r="AA329" s="329"/>
      <c r="AB329" s="316"/>
      <c r="AC329" s="316"/>
    </row>
    <row r="330">
      <c r="A330" s="405" t="s">
        <v>1331</v>
      </c>
      <c r="B330" s="405"/>
      <c r="C330" s="406">
        <f t="shared" si="1"/>
        <v>0.025</v>
      </c>
      <c r="D330" s="407">
        <v>93.0</v>
      </c>
      <c r="E330" s="408">
        <v>50.0</v>
      </c>
      <c r="F330" s="408">
        <v>90.0</v>
      </c>
      <c r="G330" s="408">
        <v>90.0</v>
      </c>
      <c r="H330" s="408">
        <v>90.0</v>
      </c>
      <c r="I330" s="408">
        <v>70.0</v>
      </c>
      <c r="J330" s="408">
        <v>1.0</v>
      </c>
      <c r="K330" s="409"/>
      <c r="L330" s="407"/>
      <c r="M330" s="408">
        <v>0.0</v>
      </c>
      <c r="N330" s="408">
        <v>0.0</v>
      </c>
      <c r="O330" s="408">
        <v>0.0</v>
      </c>
      <c r="P330" s="408">
        <v>0.0</v>
      </c>
      <c r="Q330" s="408">
        <v>0.0</v>
      </c>
      <c r="R330" s="408">
        <v>70.0</v>
      </c>
      <c r="S330" s="408"/>
      <c r="T330" s="408">
        <v>0.0</v>
      </c>
      <c r="U330" s="409"/>
      <c r="V330" s="407">
        <v>40.0</v>
      </c>
      <c r="W330" s="408">
        <v>90.0</v>
      </c>
      <c r="X330" s="408">
        <v>90.0</v>
      </c>
      <c r="Y330" s="408">
        <v>34.0</v>
      </c>
      <c r="Z330" s="409">
        <v>0.0</v>
      </c>
      <c r="AA330" s="410"/>
      <c r="AB330" s="405" t="s">
        <v>1217</v>
      </c>
      <c r="AC330" s="405"/>
    </row>
    <row r="331">
      <c r="A331" s="405" t="s">
        <v>1332</v>
      </c>
      <c r="B331" s="405"/>
      <c r="C331" s="406">
        <f t="shared" si="1"/>
        <v>0</v>
      </c>
      <c r="D331" s="407">
        <v>98.0</v>
      </c>
      <c r="E331" s="408">
        <v>25.0</v>
      </c>
      <c r="F331" s="408">
        <v>255.0</v>
      </c>
      <c r="G331" s="408">
        <v>5.0</v>
      </c>
      <c r="H331" s="408">
        <v>30.0</v>
      </c>
      <c r="I331" s="408">
        <v>1.0</v>
      </c>
      <c r="J331" s="408">
        <v>1.0</v>
      </c>
      <c r="K331" s="409"/>
      <c r="L331" s="407"/>
      <c r="M331" s="408">
        <v>0.0</v>
      </c>
      <c r="N331" s="408">
        <v>0.0</v>
      </c>
      <c r="O331" s="408">
        <v>0.0</v>
      </c>
      <c r="P331" s="408">
        <v>0.0</v>
      </c>
      <c r="Q331" s="408">
        <v>0.0</v>
      </c>
      <c r="R331" s="408">
        <v>0.0</v>
      </c>
      <c r="S331" s="408"/>
      <c r="T331" s="408">
        <v>0.0</v>
      </c>
      <c r="U331" s="409"/>
      <c r="V331" s="407">
        <v>90.0</v>
      </c>
      <c r="W331" s="408">
        <v>90.0</v>
      </c>
      <c r="X331" s="408">
        <v>5.0</v>
      </c>
      <c r="Y331" s="408">
        <v>90.0</v>
      </c>
      <c r="Z331" s="409">
        <v>90.0</v>
      </c>
      <c r="AA331" s="410"/>
      <c r="AB331" s="405" t="s">
        <v>1217</v>
      </c>
      <c r="AC331" s="405"/>
    </row>
    <row r="332">
      <c r="A332" s="405" t="s">
        <v>1333</v>
      </c>
      <c r="B332" s="405"/>
      <c r="C332" s="406">
        <f t="shared" si="1"/>
        <v>0</v>
      </c>
      <c r="D332" s="407">
        <v>92.0</v>
      </c>
      <c r="E332" s="408">
        <v>25.0</v>
      </c>
      <c r="F332" s="408">
        <v>255.0</v>
      </c>
      <c r="G332" s="408">
        <v>2.0</v>
      </c>
      <c r="H332" s="408">
        <v>10.0</v>
      </c>
      <c r="I332" s="408">
        <v>1.0</v>
      </c>
      <c r="J332" s="408">
        <v>1.0</v>
      </c>
      <c r="K332" s="409"/>
      <c r="L332" s="407"/>
      <c r="M332" s="408">
        <v>0.0</v>
      </c>
      <c r="N332" s="408">
        <v>0.0</v>
      </c>
      <c r="O332" s="408">
        <v>0.0</v>
      </c>
      <c r="P332" s="408">
        <v>0.0</v>
      </c>
      <c r="Q332" s="408">
        <v>0.0</v>
      </c>
      <c r="R332" s="408">
        <v>0.0</v>
      </c>
      <c r="S332" s="408"/>
      <c r="T332" s="408">
        <v>0.0</v>
      </c>
      <c r="U332" s="409"/>
      <c r="V332" s="407">
        <v>15.0</v>
      </c>
      <c r="W332" s="408">
        <v>15.0</v>
      </c>
      <c r="X332" s="408">
        <v>15.0</v>
      </c>
      <c r="Y332" s="408">
        <v>15.0</v>
      </c>
      <c r="Z332" s="409">
        <v>15.0</v>
      </c>
      <c r="AA332" s="410"/>
      <c r="AB332" s="405" t="s">
        <v>1217</v>
      </c>
      <c r="AC332" s="405"/>
    </row>
    <row r="333">
      <c r="A333" s="405" t="s">
        <v>1334</v>
      </c>
      <c r="B333" s="405"/>
      <c r="C333" s="406">
        <f t="shared" si="1"/>
        <v>0.3</v>
      </c>
      <c r="D333" s="407">
        <v>225.0</v>
      </c>
      <c r="E333" s="408">
        <v>200.0</v>
      </c>
      <c r="F333" s="408">
        <v>250.0</v>
      </c>
      <c r="G333" s="408">
        <v>150.0</v>
      </c>
      <c r="H333" s="408">
        <v>180.0</v>
      </c>
      <c r="I333" s="408">
        <v>1.0</v>
      </c>
      <c r="J333" s="408">
        <v>1.0</v>
      </c>
      <c r="K333" s="409"/>
      <c r="L333" s="407"/>
      <c r="M333" s="408">
        <v>0.0</v>
      </c>
      <c r="N333" s="408">
        <v>0.0</v>
      </c>
      <c r="O333" s="408">
        <v>0.0</v>
      </c>
      <c r="P333" s="408">
        <v>60.0</v>
      </c>
      <c r="Q333" s="408">
        <v>0.0</v>
      </c>
      <c r="R333" s="408">
        <v>0.0</v>
      </c>
      <c r="S333" s="408"/>
      <c r="T333" s="408">
        <v>0.0</v>
      </c>
      <c r="U333" s="409"/>
      <c r="V333" s="407">
        <v>246.0</v>
      </c>
      <c r="W333" s="408">
        <v>284.0</v>
      </c>
      <c r="X333" s="408">
        <v>284.0</v>
      </c>
      <c r="Y333" s="408">
        <v>44.0</v>
      </c>
      <c r="Z333" s="409">
        <v>284.0</v>
      </c>
      <c r="AA333" s="410"/>
      <c r="AB333" s="405"/>
      <c r="AC333" s="405"/>
    </row>
    <row r="334">
      <c r="A334" s="306" t="s">
        <v>1335</v>
      </c>
      <c r="B334" s="306" t="s">
        <v>1336</v>
      </c>
      <c r="C334" s="390">
        <f t="shared" si="1"/>
        <v>0</v>
      </c>
      <c r="D334" s="387">
        <v>14.0</v>
      </c>
      <c r="E334" s="388">
        <v>17.0</v>
      </c>
      <c r="F334" s="388">
        <v>11.0</v>
      </c>
      <c r="G334" s="388">
        <v>12.0</v>
      </c>
      <c r="H334" s="388">
        <v>11.0</v>
      </c>
      <c r="I334" s="388">
        <v>1.0</v>
      </c>
      <c r="J334" s="388">
        <v>1.0</v>
      </c>
      <c r="K334" s="389" t="s">
        <v>300</v>
      </c>
      <c r="L334" s="387">
        <v>4.0</v>
      </c>
      <c r="M334" s="388">
        <v>0.0</v>
      </c>
      <c r="N334" s="388">
        <v>0.0</v>
      </c>
      <c r="O334" s="388">
        <v>0.0</v>
      </c>
      <c r="P334" s="388">
        <v>0.0</v>
      </c>
      <c r="Q334" s="388">
        <v>0.0</v>
      </c>
      <c r="R334" s="388">
        <v>0.0</v>
      </c>
      <c r="S334" s="388"/>
      <c r="T334" s="388">
        <v>0.0</v>
      </c>
      <c r="U334" s="389">
        <v>0.0</v>
      </c>
      <c r="V334" s="387">
        <v>5.0</v>
      </c>
      <c r="W334" s="388">
        <v>15.0</v>
      </c>
      <c r="X334" s="388">
        <v>15.0</v>
      </c>
      <c r="Y334" s="388">
        <v>0.0</v>
      </c>
      <c r="Z334" s="389">
        <v>5.0</v>
      </c>
      <c r="AA334" s="305"/>
      <c r="AB334" s="306"/>
      <c r="AC334" s="306"/>
    </row>
    <row r="335">
      <c r="A335" s="306" t="s">
        <v>1337</v>
      </c>
      <c r="B335" s="306" t="s">
        <v>1028</v>
      </c>
      <c r="C335" s="390">
        <f t="shared" si="1"/>
        <v>0</v>
      </c>
      <c r="D335" s="387">
        <v>37.0</v>
      </c>
      <c r="E335" s="388">
        <v>37.0</v>
      </c>
      <c r="F335" s="388">
        <v>31.0</v>
      </c>
      <c r="G335" s="388">
        <v>32.0</v>
      </c>
      <c r="H335" s="388">
        <v>31.0</v>
      </c>
      <c r="I335" s="388">
        <v>1.0</v>
      </c>
      <c r="J335" s="388">
        <v>1.0</v>
      </c>
      <c r="K335" s="389" t="s">
        <v>300</v>
      </c>
      <c r="L335" s="387">
        <v>4.0</v>
      </c>
      <c r="M335" s="388"/>
      <c r="N335" s="388"/>
      <c r="O335" s="388"/>
      <c r="P335" s="388"/>
      <c r="Q335" s="388"/>
      <c r="R335" s="388"/>
      <c r="S335" s="388"/>
      <c r="T335" s="388"/>
      <c r="U335" s="389"/>
      <c r="V335" s="387">
        <v>35.0</v>
      </c>
      <c r="W335" s="388">
        <v>15.0</v>
      </c>
      <c r="X335" s="388">
        <v>15.0</v>
      </c>
      <c r="Y335" s="388">
        <v>30.0</v>
      </c>
      <c r="Z335" s="389">
        <v>35.0</v>
      </c>
      <c r="AA335" s="305"/>
      <c r="AB335" s="306"/>
      <c r="AC335" s="306"/>
    </row>
    <row r="336">
      <c r="A336" s="306" t="s">
        <v>1338</v>
      </c>
      <c r="B336" s="306" t="s">
        <v>1028</v>
      </c>
      <c r="C336" s="390">
        <f t="shared" si="1"/>
        <v>0</v>
      </c>
      <c r="D336" s="387">
        <v>59.0</v>
      </c>
      <c r="E336" s="388">
        <v>55.0</v>
      </c>
      <c r="F336" s="388">
        <v>50.0</v>
      </c>
      <c r="G336" s="388">
        <v>52.0</v>
      </c>
      <c r="H336" s="388">
        <v>50.0</v>
      </c>
      <c r="I336" s="388">
        <v>1.0</v>
      </c>
      <c r="J336" s="388">
        <v>1.0</v>
      </c>
      <c r="K336" s="389" t="s">
        <v>300</v>
      </c>
      <c r="L336" s="387">
        <v>4.0</v>
      </c>
      <c r="M336" s="388"/>
      <c r="N336" s="388"/>
      <c r="O336" s="388"/>
      <c r="P336" s="388"/>
      <c r="Q336" s="388"/>
      <c r="R336" s="388"/>
      <c r="S336" s="388"/>
      <c r="T336" s="388"/>
      <c r="U336" s="389"/>
      <c r="V336" s="387">
        <v>5.0</v>
      </c>
      <c r="W336" s="388">
        <v>15.0</v>
      </c>
      <c r="X336" s="388">
        <v>15.0</v>
      </c>
      <c r="Y336" s="388">
        <v>0.0</v>
      </c>
      <c r="Z336" s="389">
        <v>55.0</v>
      </c>
      <c r="AA336" s="305"/>
      <c r="AB336" s="306"/>
      <c r="AC336" s="306"/>
    </row>
    <row r="337">
      <c r="A337" s="306" t="s">
        <v>1339</v>
      </c>
      <c r="B337" s="306" t="s">
        <v>1340</v>
      </c>
      <c r="C337" s="390">
        <f t="shared" si="1"/>
        <v>0</v>
      </c>
      <c r="D337" s="387">
        <v>2.0</v>
      </c>
      <c r="E337" s="388">
        <v>6.0</v>
      </c>
      <c r="F337" s="388">
        <v>1.0</v>
      </c>
      <c r="G337" s="388">
        <v>1.0</v>
      </c>
      <c r="H337" s="388">
        <v>1.0</v>
      </c>
      <c r="I337" s="388">
        <v>1.0</v>
      </c>
      <c r="J337" s="388">
        <v>1.0</v>
      </c>
      <c r="K337" s="389" t="s">
        <v>299</v>
      </c>
      <c r="L337" s="387">
        <v>4.0</v>
      </c>
      <c r="M337" s="388">
        <v>0.0</v>
      </c>
      <c r="N337" s="388">
        <v>0.0</v>
      </c>
      <c r="O337" s="388">
        <v>0.0</v>
      </c>
      <c r="P337" s="388">
        <v>0.0</v>
      </c>
      <c r="Q337" s="388">
        <v>0.0</v>
      </c>
      <c r="R337" s="388">
        <v>0.0</v>
      </c>
      <c r="S337" s="388"/>
      <c r="T337" s="388">
        <v>0.0</v>
      </c>
      <c r="U337" s="389">
        <v>0.0</v>
      </c>
      <c r="V337" s="387">
        <v>-42.0</v>
      </c>
      <c r="W337" s="388">
        <v>-42.0</v>
      </c>
      <c r="X337" s="388">
        <v>-42.0</v>
      </c>
      <c r="Y337" s="388">
        <v>-42.0</v>
      </c>
      <c r="Z337" s="389">
        <v>-42.0</v>
      </c>
      <c r="AA337" s="305"/>
      <c r="AB337" s="306"/>
      <c r="AC337" s="306"/>
    </row>
    <row r="338">
      <c r="A338" s="306" t="s">
        <v>1341</v>
      </c>
      <c r="B338" s="306" t="s">
        <v>1340</v>
      </c>
      <c r="C338" s="390">
        <f t="shared" si="1"/>
        <v>0</v>
      </c>
      <c r="D338" s="387">
        <v>3.0</v>
      </c>
      <c r="E338" s="388">
        <v>10.0</v>
      </c>
      <c r="F338" s="388">
        <v>1.0</v>
      </c>
      <c r="G338" s="388">
        <v>1.0</v>
      </c>
      <c r="H338" s="388">
        <v>1.0</v>
      </c>
      <c r="I338" s="388">
        <v>1.0</v>
      </c>
      <c r="J338" s="388">
        <v>1.0</v>
      </c>
      <c r="K338" s="389" t="s">
        <v>299</v>
      </c>
      <c r="L338" s="387">
        <v>4.0</v>
      </c>
      <c r="M338" s="388">
        <v>0.0</v>
      </c>
      <c r="N338" s="388">
        <v>0.0</v>
      </c>
      <c r="O338" s="388">
        <v>0.0</v>
      </c>
      <c r="P338" s="388">
        <v>0.0</v>
      </c>
      <c r="Q338" s="388">
        <v>0.0</v>
      </c>
      <c r="R338" s="388">
        <v>0.0</v>
      </c>
      <c r="S338" s="388"/>
      <c r="T338" s="388">
        <v>0.0</v>
      </c>
      <c r="U338" s="389">
        <v>0.0</v>
      </c>
      <c r="V338" s="387">
        <v>-42.0</v>
      </c>
      <c r="W338" s="388">
        <v>-42.0</v>
      </c>
      <c r="X338" s="388">
        <v>-42.0</v>
      </c>
      <c r="Y338" s="388">
        <v>-42.0</v>
      </c>
      <c r="Z338" s="389">
        <v>-42.0</v>
      </c>
      <c r="AA338" s="305"/>
      <c r="AB338" s="306"/>
      <c r="AC338" s="306"/>
    </row>
    <row r="339">
      <c r="A339" s="405" t="s">
        <v>1342</v>
      </c>
      <c r="B339" s="405"/>
      <c r="C339" s="406">
        <f t="shared" si="1"/>
        <v>0</v>
      </c>
      <c r="D339" s="407">
        <v>142.0</v>
      </c>
      <c r="E339" s="408">
        <v>146.0</v>
      </c>
      <c r="F339" s="408">
        <v>80.0</v>
      </c>
      <c r="G339" s="408">
        <v>80.0</v>
      </c>
      <c r="H339" s="408">
        <v>132.0</v>
      </c>
      <c r="I339" s="408">
        <v>50.0</v>
      </c>
      <c r="J339" s="408">
        <v>150.0</v>
      </c>
      <c r="K339" s="409"/>
      <c r="L339" s="407"/>
      <c r="M339" s="408">
        <v>0.0</v>
      </c>
      <c r="N339" s="408">
        <v>0.0</v>
      </c>
      <c r="O339" s="408">
        <v>0.0</v>
      </c>
      <c r="P339" s="408">
        <v>0.0</v>
      </c>
      <c r="Q339" s="408">
        <v>0.0</v>
      </c>
      <c r="R339" s="408">
        <v>0.0</v>
      </c>
      <c r="S339" s="408"/>
      <c r="T339" s="408">
        <v>20.0</v>
      </c>
      <c r="U339" s="409"/>
      <c r="V339" s="407">
        <v>0.0</v>
      </c>
      <c r="W339" s="408">
        <v>0.0</v>
      </c>
      <c r="X339" s="408">
        <v>0.0</v>
      </c>
      <c r="Y339" s="408">
        <v>0.0</v>
      </c>
      <c r="Z339" s="409">
        <v>0.0</v>
      </c>
      <c r="AA339" s="410"/>
      <c r="AB339" s="405"/>
      <c r="AC339" s="405"/>
    </row>
    <row r="340">
      <c r="A340" s="405" t="s">
        <v>1343</v>
      </c>
      <c r="B340" s="405"/>
      <c r="C340" s="406">
        <f t="shared" si="1"/>
        <v>0</v>
      </c>
      <c r="D340" s="407">
        <v>142.0</v>
      </c>
      <c r="E340" s="408">
        <v>127.0</v>
      </c>
      <c r="F340" s="408">
        <v>80.0</v>
      </c>
      <c r="G340" s="408">
        <v>50.0</v>
      </c>
      <c r="H340" s="408">
        <v>150.0</v>
      </c>
      <c r="I340" s="408">
        <v>150.0</v>
      </c>
      <c r="J340" s="408">
        <v>1.0</v>
      </c>
      <c r="K340" s="409"/>
      <c r="L340" s="407"/>
      <c r="M340" s="408">
        <v>0.0</v>
      </c>
      <c r="N340" s="408">
        <v>0.0</v>
      </c>
      <c r="O340" s="408">
        <v>0.0</v>
      </c>
      <c r="P340" s="408">
        <v>0.0</v>
      </c>
      <c r="Q340" s="408">
        <v>6.0</v>
      </c>
      <c r="R340" s="408">
        <v>0.0</v>
      </c>
      <c r="S340" s="408"/>
      <c r="T340" s="408">
        <v>0.0</v>
      </c>
      <c r="U340" s="409"/>
      <c r="V340" s="407">
        <v>0.0</v>
      </c>
      <c r="W340" s="408">
        <v>0.0</v>
      </c>
      <c r="X340" s="408">
        <v>0.0</v>
      </c>
      <c r="Y340" s="408">
        <v>0.0</v>
      </c>
      <c r="Z340" s="409">
        <v>0.0</v>
      </c>
      <c r="AA340" s="410"/>
      <c r="AB340" s="405"/>
      <c r="AC340" s="405"/>
    </row>
    <row r="341">
      <c r="A341" s="405" t="s">
        <v>1344</v>
      </c>
      <c r="B341" s="405"/>
      <c r="C341" s="406">
        <f t="shared" si="1"/>
        <v>0</v>
      </c>
      <c r="D341" s="407">
        <v>141.0</v>
      </c>
      <c r="E341" s="408">
        <v>128.0</v>
      </c>
      <c r="F341" s="408">
        <v>124.0</v>
      </c>
      <c r="G341" s="408">
        <v>118.0</v>
      </c>
      <c r="H341" s="408">
        <v>125.0</v>
      </c>
      <c r="I341" s="408">
        <v>50.0</v>
      </c>
      <c r="J341" s="408">
        <v>50.0</v>
      </c>
      <c r="K341" s="409"/>
      <c r="L341" s="407"/>
      <c r="M341" s="408">
        <v>0.0</v>
      </c>
      <c r="N341" s="408">
        <v>0.0</v>
      </c>
      <c r="O341" s="408">
        <v>0.0</v>
      </c>
      <c r="P341" s="408">
        <v>0.0</v>
      </c>
      <c r="Q341" s="408">
        <v>14.0</v>
      </c>
      <c r="R341" s="408">
        <v>0.0</v>
      </c>
      <c r="S341" s="408"/>
      <c r="T341" s="408">
        <v>0.0</v>
      </c>
      <c r="U341" s="409"/>
      <c r="V341" s="407">
        <v>0.0</v>
      </c>
      <c r="W341" s="408">
        <v>0.0</v>
      </c>
      <c r="X341" s="408">
        <v>0.0</v>
      </c>
      <c r="Y341" s="408">
        <v>0.0</v>
      </c>
      <c r="Z341" s="409">
        <v>0.0</v>
      </c>
      <c r="AA341" s="410"/>
      <c r="AB341" s="405"/>
      <c r="AC341" s="405"/>
    </row>
    <row r="342">
      <c r="A342" s="306" t="s">
        <v>1345</v>
      </c>
      <c r="B342" s="424" t="s">
        <v>954</v>
      </c>
      <c r="C342" s="390">
        <f t="shared" si="1"/>
        <v>0</v>
      </c>
      <c r="D342" s="387">
        <v>140.0</v>
      </c>
      <c r="E342" s="388">
        <v>115.0</v>
      </c>
      <c r="F342" s="388">
        <v>130.0</v>
      </c>
      <c r="G342" s="388">
        <v>136.0</v>
      </c>
      <c r="H342" s="388">
        <v>100.0</v>
      </c>
      <c r="I342" s="388">
        <v>50.0</v>
      </c>
      <c r="J342" s="388">
        <v>50.0</v>
      </c>
      <c r="K342" s="389" t="s">
        <v>299</v>
      </c>
      <c r="L342" s="387">
        <v>4.0</v>
      </c>
      <c r="M342" s="388">
        <v>0.0</v>
      </c>
      <c r="N342" s="388">
        <v>0.0</v>
      </c>
      <c r="O342" s="388">
        <v>0.0</v>
      </c>
      <c r="P342" s="388">
        <v>0.0</v>
      </c>
      <c r="Q342" s="388">
        <v>0.0</v>
      </c>
      <c r="R342" s="388">
        <v>0.0</v>
      </c>
      <c r="S342" s="388"/>
      <c r="T342" s="388">
        <v>0.0</v>
      </c>
      <c r="U342" s="389">
        <v>0.0</v>
      </c>
      <c r="V342" s="387">
        <v>0.0</v>
      </c>
      <c r="W342" s="388">
        <v>0.0</v>
      </c>
      <c r="X342" s="388">
        <v>0.0</v>
      </c>
      <c r="Y342" s="388">
        <v>0.0</v>
      </c>
      <c r="Z342" s="389">
        <v>0.0</v>
      </c>
      <c r="AA342" s="305"/>
      <c r="AB342" s="306" t="s">
        <v>929</v>
      </c>
      <c r="AC342" s="306"/>
    </row>
    <row r="343">
      <c r="A343" s="306" t="s">
        <v>1346</v>
      </c>
      <c r="B343" s="424" t="s">
        <v>1028</v>
      </c>
      <c r="C343" s="390">
        <f t="shared" si="1"/>
        <v>0</v>
      </c>
      <c r="D343" s="387">
        <v>159.0</v>
      </c>
      <c r="E343" s="388">
        <v>170.0</v>
      </c>
      <c r="F343" s="388">
        <v>130.0</v>
      </c>
      <c r="G343" s="388">
        <v>130.0</v>
      </c>
      <c r="H343" s="388">
        <v>130.0</v>
      </c>
      <c r="I343" s="388">
        <v>1.0</v>
      </c>
      <c r="J343" s="388">
        <v>1.0</v>
      </c>
      <c r="K343" s="389" t="s">
        <v>299</v>
      </c>
      <c r="L343" s="387">
        <v>4.0</v>
      </c>
      <c r="M343" s="388"/>
      <c r="N343" s="388"/>
      <c r="O343" s="388"/>
      <c r="P343" s="388"/>
      <c r="Q343" s="388"/>
      <c r="R343" s="388"/>
      <c r="S343" s="388"/>
      <c r="T343" s="388"/>
      <c r="U343" s="389"/>
      <c r="V343" s="387">
        <v>0.0</v>
      </c>
      <c r="W343" s="388">
        <v>0.0</v>
      </c>
      <c r="X343" s="388">
        <v>0.0</v>
      </c>
      <c r="Y343" s="388">
        <v>0.0</v>
      </c>
      <c r="Z343" s="389">
        <v>0.0</v>
      </c>
      <c r="AA343" s="305"/>
      <c r="AB343" s="306"/>
      <c r="AC343" s="306"/>
    </row>
    <row r="344">
      <c r="A344" s="306" t="s">
        <v>1347</v>
      </c>
      <c r="B344" s="306" t="s">
        <v>1348</v>
      </c>
      <c r="C344" s="390">
        <f t="shared" si="1"/>
        <v>0.05</v>
      </c>
      <c r="D344" s="387">
        <v>140.0</v>
      </c>
      <c r="E344" s="388">
        <v>200.0</v>
      </c>
      <c r="F344" s="388">
        <v>125.0</v>
      </c>
      <c r="G344" s="388">
        <v>116.0</v>
      </c>
      <c r="H344" s="388">
        <v>120.0</v>
      </c>
      <c r="I344" s="388">
        <v>125.0</v>
      </c>
      <c r="J344" s="388">
        <v>120.0</v>
      </c>
      <c r="K344" s="389" t="s">
        <v>301</v>
      </c>
      <c r="L344" s="387">
        <v>6.0</v>
      </c>
      <c r="M344" s="388">
        <v>0.0</v>
      </c>
      <c r="N344" s="388">
        <v>0.0</v>
      </c>
      <c r="O344" s="388">
        <v>0.0</v>
      </c>
      <c r="P344" s="388">
        <v>0.0</v>
      </c>
      <c r="Q344" s="388">
        <v>0.0</v>
      </c>
      <c r="R344" s="388">
        <v>0.0</v>
      </c>
      <c r="S344" s="388"/>
      <c r="T344" s="388">
        <v>0.0</v>
      </c>
      <c r="U344" s="389"/>
      <c r="V344" s="387">
        <v>140.0</v>
      </c>
      <c r="W344" s="388">
        <v>90.0</v>
      </c>
      <c r="X344" s="388">
        <v>90.0</v>
      </c>
      <c r="Y344" s="388">
        <v>80.0</v>
      </c>
      <c r="Z344" s="389">
        <v>140.0</v>
      </c>
      <c r="AA344" s="305"/>
      <c r="AB344" s="306" t="s">
        <v>936</v>
      </c>
      <c r="AC344" s="306"/>
    </row>
    <row r="345">
      <c r="A345" s="306" t="s">
        <v>1349</v>
      </c>
      <c r="B345" s="306" t="s">
        <v>1133</v>
      </c>
      <c r="C345" s="390">
        <f t="shared" si="1"/>
        <v>0</v>
      </c>
      <c r="D345" s="387">
        <v>21.0</v>
      </c>
      <c r="E345" s="388">
        <v>24.0</v>
      </c>
      <c r="F345" s="388">
        <v>17.0</v>
      </c>
      <c r="G345" s="388">
        <v>17.0</v>
      </c>
      <c r="H345" s="388">
        <v>17.0</v>
      </c>
      <c r="I345" s="388">
        <v>1.0</v>
      </c>
      <c r="J345" s="388">
        <v>1.0</v>
      </c>
      <c r="K345" s="389" t="s">
        <v>299</v>
      </c>
      <c r="L345" s="387">
        <v>4.0</v>
      </c>
      <c r="M345" s="388">
        <v>0.0</v>
      </c>
      <c r="N345" s="388">
        <v>0.0</v>
      </c>
      <c r="O345" s="388">
        <v>0.0</v>
      </c>
      <c r="P345" s="388">
        <v>0.0</v>
      </c>
      <c r="Q345" s="388">
        <v>0.0</v>
      </c>
      <c r="R345" s="388">
        <v>0.0</v>
      </c>
      <c r="S345" s="388"/>
      <c r="T345" s="388">
        <v>0.0</v>
      </c>
      <c r="U345" s="389">
        <v>0.0</v>
      </c>
      <c r="V345" s="387">
        <v>5.0</v>
      </c>
      <c r="W345" s="388">
        <v>5.0</v>
      </c>
      <c r="X345" s="388">
        <v>-5.0</v>
      </c>
      <c r="Y345" s="388">
        <v>0.0</v>
      </c>
      <c r="Z345" s="389">
        <v>5.0</v>
      </c>
      <c r="AA345" s="305"/>
      <c r="AB345" s="306" t="s">
        <v>929</v>
      </c>
      <c r="AC345" s="306"/>
    </row>
    <row r="346">
      <c r="A346" s="306" t="s">
        <v>1350</v>
      </c>
      <c r="B346" s="306" t="s">
        <v>1351</v>
      </c>
      <c r="C346" s="390">
        <f t="shared" si="1"/>
        <v>0</v>
      </c>
      <c r="D346" s="387">
        <v>22.0</v>
      </c>
      <c r="E346" s="388">
        <v>29.0</v>
      </c>
      <c r="F346" s="388">
        <v>15.0</v>
      </c>
      <c r="G346" s="388">
        <v>18.0</v>
      </c>
      <c r="H346" s="388">
        <v>17.0</v>
      </c>
      <c r="I346" s="388">
        <v>1.0</v>
      </c>
      <c r="J346" s="388">
        <v>1.0</v>
      </c>
      <c r="K346" s="389" t="s">
        <v>299</v>
      </c>
      <c r="L346" s="387">
        <v>4.0</v>
      </c>
      <c r="M346" s="388">
        <v>0.0</v>
      </c>
      <c r="N346" s="388">
        <v>0.0</v>
      </c>
      <c r="O346" s="388">
        <v>0.0</v>
      </c>
      <c r="P346" s="388">
        <v>0.0</v>
      </c>
      <c r="Q346" s="388">
        <v>0.0</v>
      </c>
      <c r="R346" s="388">
        <v>0.0</v>
      </c>
      <c r="S346" s="388"/>
      <c r="T346" s="388">
        <v>0.0</v>
      </c>
      <c r="U346" s="389">
        <v>0.0</v>
      </c>
      <c r="V346" s="387">
        <v>5.0</v>
      </c>
      <c r="W346" s="388">
        <v>5.0</v>
      </c>
      <c r="X346" s="388">
        <v>-5.0</v>
      </c>
      <c r="Y346" s="388">
        <v>0.0</v>
      </c>
      <c r="Z346" s="389">
        <v>5.0</v>
      </c>
      <c r="AA346" s="305"/>
      <c r="AB346" s="306" t="s">
        <v>929</v>
      </c>
      <c r="AC346" s="306"/>
    </row>
    <row r="347">
      <c r="A347" s="306" t="s">
        <v>1352</v>
      </c>
      <c r="B347" s="306" t="s">
        <v>1353</v>
      </c>
      <c r="C347" s="390">
        <f t="shared" si="1"/>
        <v>0</v>
      </c>
      <c r="D347" s="387">
        <v>25.0</v>
      </c>
      <c r="E347" s="388">
        <v>17.0</v>
      </c>
      <c r="F347" s="388">
        <v>24.0</v>
      </c>
      <c r="G347" s="388">
        <v>24.0</v>
      </c>
      <c r="H347" s="388">
        <v>24.0</v>
      </c>
      <c r="I347" s="388">
        <v>1.0</v>
      </c>
      <c r="J347" s="388">
        <v>1.0</v>
      </c>
      <c r="K347" s="389" t="s">
        <v>301</v>
      </c>
      <c r="L347" s="387">
        <v>4.0</v>
      </c>
      <c r="M347" s="388">
        <v>0.0</v>
      </c>
      <c r="N347" s="388">
        <v>0.0</v>
      </c>
      <c r="O347" s="388">
        <v>0.0</v>
      </c>
      <c r="P347" s="388">
        <v>15.0</v>
      </c>
      <c r="Q347" s="388">
        <v>14.0</v>
      </c>
      <c r="R347" s="388">
        <v>0.0</v>
      </c>
      <c r="S347" s="388"/>
      <c r="T347" s="388">
        <v>0.0</v>
      </c>
      <c r="U347" s="389">
        <v>0.0</v>
      </c>
      <c r="V347" s="387">
        <v>9.0</v>
      </c>
      <c r="W347" s="388">
        <v>11.0</v>
      </c>
      <c r="X347" s="388">
        <v>-2.0</v>
      </c>
      <c r="Y347" s="388">
        <v>1.0</v>
      </c>
      <c r="Z347" s="389">
        <v>4.0</v>
      </c>
      <c r="AA347" s="305"/>
      <c r="AB347" s="306" t="s">
        <v>929</v>
      </c>
      <c r="AC347" s="306"/>
    </row>
    <row r="348">
      <c r="A348" s="306" t="s">
        <v>1354</v>
      </c>
      <c r="B348" s="417" t="s">
        <v>1355</v>
      </c>
      <c r="C348" s="390">
        <f t="shared" si="1"/>
        <v>0</v>
      </c>
      <c r="D348" s="387">
        <v>45.0</v>
      </c>
      <c r="E348" s="388">
        <v>59.0</v>
      </c>
      <c r="F348" s="388">
        <v>32.0</v>
      </c>
      <c r="G348" s="388">
        <v>35.0</v>
      </c>
      <c r="H348" s="388">
        <v>36.0</v>
      </c>
      <c r="I348" s="388">
        <v>1.0</v>
      </c>
      <c r="J348" s="388">
        <v>1.0</v>
      </c>
      <c r="K348" s="389" t="s">
        <v>301</v>
      </c>
      <c r="L348" s="387">
        <v>4.0</v>
      </c>
      <c r="M348" s="388">
        <v>0.0</v>
      </c>
      <c r="N348" s="388">
        <v>0.0</v>
      </c>
      <c r="O348" s="388">
        <v>0.0</v>
      </c>
      <c r="P348" s="388">
        <v>15.0</v>
      </c>
      <c r="Q348" s="388">
        <v>14.0</v>
      </c>
      <c r="R348" s="388">
        <v>0.0</v>
      </c>
      <c r="S348" s="388"/>
      <c r="T348" s="388">
        <v>0.0</v>
      </c>
      <c r="U348" s="389">
        <v>0.0</v>
      </c>
      <c r="V348" s="387">
        <v>9.0</v>
      </c>
      <c r="W348" s="388">
        <v>11.0</v>
      </c>
      <c r="X348" s="388">
        <v>-2.0</v>
      </c>
      <c r="Y348" s="388">
        <v>1.0</v>
      </c>
      <c r="Z348" s="389">
        <v>4.0</v>
      </c>
      <c r="AA348" s="305"/>
      <c r="AB348" s="306" t="s">
        <v>929</v>
      </c>
      <c r="AC348" s="306"/>
    </row>
    <row r="349">
      <c r="A349" s="306" t="s">
        <v>1356</v>
      </c>
      <c r="B349" s="417" t="s">
        <v>1028</v>
      </c>
      <c r="C349" s="390">
        <f t="shared" si="1"/>
        <v>0</v>
      </c>
      <c r="D349" s="387">
        <v>60.0</v>
      </c>
      <c r="E349" s="388">
        <v>70.0</v>
      </c>
      <c r="F349" s="388">
        <v>50.0</v>
      </c>
      <c r="G349" s="388">
        <v>50.0</v>
      </c>
      <c r="H349" s="388">
        <v>40.0</v>
      </c>
      <c r="I349" s="388">
        <v>1.0</v>
      </c>
      <c r="J349" s="388">
        <v>1.0</v>
      </c>
      <c r="K349" s="389" t="s">
        <v>299</v>
      </c>
      <c r="L349" s="387">
        <v>4.0</v>
      </c>
      <c r="M349" s="388"/>
      <c r="N349" s="388"/>
      <c r="O349" s="388"/>
      <c r="P349" s="388"/>
      <c r="Q349" s="388"/>
      <c r="R349" s="388"/>
      <c r="S349" s="388"/>
      <c r="T349" s="388"/>
      <c r="U349" s="389"/>
      <c r="V349" s="387">
        <v>35.0</v>
      </c>
      <c r="W349" s="388">
        <v>35.0</v>
      </c>
      <c r="X349" s="388">
        <v>-5.0</v>
      </c>
      <c r="Y349" s="388">
        <v>0.0</v>
      </c>
      <c r="Z349" s="389">
        <v>35.0</v>
      </c>
      <c r="AA349" s="305"/>
      <c r="AB349" s="306" t="s">
        <v>929</v>
      </c>
      <c r="AC349" s="306"/>
    </row>
    <row r="350">
      <c r="A350" s="306" t="s">
        <v>1357</v>
      </c>
      <c r="B350" s="417" t="s">
        <v>1028</v>
      </c>
      <c r="C350" s="390">
        <f t="shared" si="1"/>
        <v>0</v>
      </c>
      <c r="D350" s="387">
        <v>68.0</v>
      </c>
      <c r="E350" s="388">
        <v>70.0</v>
      </c>
      <c r="F350" s="388">
        <v>60.0</v>
      </c>
      <c r="G350" s="388">
        <v>50.0</v>
      </c>
      <c r="H350" s="388">
        <v>60.0</v>
      </c>
      <c r="I350" s="388">
        <v>1.0</v>
      </c>
      <c r="J350" s="388">
        <v>1.0</v>
      </c>
      <c r="K350" s="389" t="s">
        <v>299</v>
      </c>
      <c r="L350" s="387">
        <v>4.0</v>
      </c>
      <c r="M350" s="388"/>
      <c r="N350" s="388"/>
      <c r="O350" s="388"/>
      <c r="P350" s="388"/>
      <c r="Q350" s="388"/>
      <c r="R350" s="388"/>
      <c r="S350" s="388"/>
      <c r="T350" s="388"/>
      <c r="U350" s="389"/>
      <c r="V350" s="387">
        <v>35.0</v>
      </c>
      <c r="W350" s="388">
        <v>35.0</v>
      </c>
      <c r="X350" s="388">
        <v>-5.0</v>
      </c>
      <c r="Y350" s="388">
        <v>0.0</v>
      </c>
      <c r="Z350" s="389">
        <v>35.0</v>
      </c>
      <c r="AA350" s="305"/>
      <c r="AB350" s="306" t="s">
        <v>929</v>
      </c>
      <c r="AC350" s="306"/>
    </row>
    <row r="351">
      <c r="A351" s="405" t="s">
        <v>1358</v>
      </c>
      <c r="B351" s="405"/>
      <c r="C351" s="406">
        <f t="shared" si="1"/>
        <v>0.025</v>
      </c>
      <c r="D351" s="407">
        <v>142.0</v>
      </c>
      <c r="E351" s="408">
        <v>110.0</v>
      </c>
      <c r="F351" s="408">
        <v>180.0</v>
      </c>
      <c r="G351" s="408">
        <v>90.0</v>
      </c>
      <c r="H351" s="408">
        <v>110.0</v>
      </c>
      <c r="I351" s="408">
        <v>110.0</v>
      </c>
      <c r="J351" s="408">
        <v>1.0</v>
      </c>
      <c r="K351" s="409"/>
      <c r="L351" s="407"/>
      <c r="M351" s="408">
        <v>0.0</v>
      </c>
      <c r="N351" s="408">
        <v>0.0</v>
      </c>
      <c r="O351" s="408">
        <v>0.0</v>
      </c>
      <c r="P351" s="408">
        <v>50.0</v>
      </c>
      <c r="Q351" s="408">
        <v>0.0</v>
      </c>
      <c r="R351" s="408">
        <v>0.0</v>
      </c>
      <c r="S351" s="408"/>
      <c r="T351" s="408">
        <v>0.0</v>
      </c>
      <c r="U351" s="409"/>
      <c r="V351" s="407">
        <v>0.0</v>
      </c>
      <c r="W351" s="408">
        <v>0.0</v>
      </c>
      <c r="X351" s="408">
        <v>0.0</v>
      </c>
      <c r="Y351" s="408">
        <v>0.0</v>
      </c>
      <c r="Z351" s="409">
        <v>0.0</v>
      </c>
      <c r="AA351" s="410"/>
      <c r="AB351" s="405" t="s">
        <v>929</v>
      </c>
      <c r="AC351" s="405"/>
    </row>
    <row r="352">
      <c r="A352" s="405" t="s">
        <v>1359</v>
      </c>
      <c r="B352" s="405"/>
      <c r="C352" s="406">
        <f t="shared" si="1"/>
        <v>0</v>
      </c>
      <c r="D352" s="407">
        <v>97.0</v>
      </c>
      <c r="E352" s="408">
        <v>55.0</v>
      </c>
      <c r="F352" s="408">
        <v>70.0</v>
      </c>
      <c r="G352" s="408">
        <v>110.0</v>
      </c>
      <c r="H352" s="408">
        <v>100.0</v>
      </c>
      <c r="I352" s="408">
        <v>1.0</v>
      </c>
      <c r="J352" s="408">
        <v>1.0</v>
      </c>
      <c r="K352" s="409"/>
      <c r="L352" s="407"/>
      <c r="M352" s="408">
        <v>0.0</v>
      </c>
      <c r="N352" s="408">
        <v>0.0</v>
      </c>
      <c r="O352" s="408">
        <v>0.0</v>
      </c>
      <c r="P352" s="408">
        <v>0.0</v>
      </c>
      <c r="Q352" s="408">
        <v>0.0</v>
      </c>
      <c r="R352" s="408">
        <v>0.0</v>
      </c>
      <c r="S352" s="408"/>
      <c r="T352" s="408">
        <v>0.0</v>
      </c>
      <c r="U352" s="409"/>
      <c r="V352" s="407">
        <v>0.0</v>
      </c>
      <c r="W352" s="408">
        <v>0.0</v>
      </c>
      <c r="X352" s="408">
        <v>0.0</v>
      </c>
      <c r="Y352" s="408">
        <v>0.0</v>
      </c>
      <c r="Z352" s="409">
        <v>0.0</v>
      </c>
      <c r="AA352" s="410"/>
      <c r="AB352" s="405" t="s">
        <v>929</v>
      </c>
      <c r="AC352" s="405"/>
    </row>
    <row r="353">
      <c r="A353" s="405" t="s">
        <v>1360</v>
      </c>
      <c r="B353" s="405"/>
      <c r="C353" s="406">
        <f t="shared" si="1"/>
        <v>0</v>
      </c>
      <c r="D353" s="407">
        <v>198.0</v>
      </c>
      <c r="E353" s="408">
        <v>132.0</v>
      </c>
      <c r="F353" s="408">
        <v>168.0</v>
      </c>
      <c r="G353" s="408">
        <v>264.0</v>
      </c>
      <c r="H353" s="408">
        <v>100.0</v>
      </c>
      <c r="I353" s="408">
        <v>1.0</v>
      </c>
      <c r="J353" s="408">
        <v>1.0</v>
      </c>
      <c r="K353" s="409"/>
      <c r="L353" s="407"/>
      <c r="M353" s="408">
        <v>0.0</v>
      </c>
      <c r="N353" s="408">
        <v>0.0</v>
      </c>
      <c r="O353" s="408">
        <v>0.0</v>
      </c>
      <c r="P353" s="408">
        <v>0.0</v>
      </c>
      <c r="Q353" s="408">
        <v>0.0</v>
      </c>
      <c r="R353" s="408">
        <v>0.0</v>
      </c>
      <c r="S353" s="408"/>
      <c r="T353" s="408">
        <v>0.0</v>
      </c>
      <c r="U353" s="409"/>
      <c r="V353" s="407">
        <v>0.0</v>
      </c>
      <c r="W353" s="408">
        <v>0.0</v>
      </c>
      <c r="X353" s="408">
        <v>0.0</v>
      </c>
      <c r="Y353" s="408">
        <v>0.0</v>
      </c>
      <c r="Z353" s="409">
        <v>0.0</v>
      </c>
      <c r="AA353" s="410"/>
      <c r="AB353" s="405" t="s">
        <v>929</v>
      </c>
      <c r="AC353" s="405"/>
    </row>
    <row r="354">
      <c r="A354" s="405" t="s">
        <v>1361</v>
      </c>
      <c r="B354" s="405"/>
      <c r="C354" s="406">
        <f t="shared" si="1"/>
        <v>0.375</v>
      </c>
      <c r="D354" s="407">
        <v>321.0</v>
      </c>
      <c r="E354" s="408">
        <v>450.0</v>
      </c>
      <c r="F354" s="408">
        <v>240.0</v>
      </c>
      <c r="G354" s="408">
        <v>250.0</v>
      </c>
      <c r="H354" s="408">
        <v>200.0</v>
      </c>
      <c r="I354" s="408">
        <v>280.0</v>
      </c>
      <c r="J354" s="408">
        <v>1.0</v>
      </c>
      <c r="K354" s="409"/>
      <c r="L354" s="407"/>
      <c r="M354" s="408">
        <v>0.0</v>
      </c>
      <c r="N354" s="408">
        <v>0.0</v>
      </c>
      <c r="O354" s="408">
        <v>0.0</v>
      </c>
      <c r="P354" s="408">
        <v>160.0</v>
      </c>
      <c r="Q354" s="408">
        <v>31.0</v>
      </c>
      <c r="R354" s="408">
        <v>0.0</v>
      </c>
      <c r="S354" s="408"/>
      <c r="T354" s="408">
        <v>0.0</v>
      </c>
      <c r="U354" s="409">
        <v>0.0</v>
      </c>
      <c r="V354" s="407">
        <v>80.0</v>
      </c>
      <c r="W354" s="408">
        <v>80.0</v>
      </c>
      <c r="X354" s="408">
        <v>80.0</v>
      </c>
      <c r="Y354" s="408">
        <v>130.0</v>
      </c>
      <c r="Z354" s="409">
        <v>130.0</v>
      </c>
      <c r="AA354" s="410"/>
      <c r="AB354" s="405" t="s">
        <v>931</v>
      </c>
      <c r="AC354" s="405"/>
    </row>
    <row r="355">
      <c r="A355" s="405" t="s">
        <v>1362</v>
      </c>
      <c r="B355" s="405"/>
      <c r="C355" s="406">
        <f t="shared" si="1"/>
        <v>0</v>
      </c>
      <c r="D355" s="407">
        <v>92.0</v>
      </c>
      <c r="E355" s="408">
        <v>60.0</v>
      </c>
      <c r="F355" s="408">
        <v>60.0</v>
      </c>
      <c r="G355" s="408">
        <v>120.0</v>
      </c>
      <c r="H355" s="408">
        <v>75.0</v>
      </c>
      <c r="I355" s="408">
        <v>1.0</v>
      </c>
      <c r="J355" s="408">
        <v>1.0</v>
      </c>
      <c r="K355" s="409"/>
      <c r="L355" s="407"/>
      <c r="M355" s="408">
        <v>0.0</v>
      </c>
      <c r="N355" s="408">
        <v>0.0</v>
      </c>
      <c r="O355" s="408">
        <v>0.0</v>
      </c>
      <c r="P355" s="408">
        <v>0.0</v>
      </c>
      <c r="Q355" s="408">
        <v>10.0</v>
      </c>
      <c r="R355" s="408">
        <v>0.0</v>
      </c>
      <c r="S355" s="408"/>
      <c r="T355" s="408">
        <v>0.0</v>
      </c>
      <c r="U355" s="409"/>
      <c r="V355" s="407">
        <v>50.0</v>
      </c>
      <c r="W355" s="408">
        <v>50.0</v>
      </c>
      <c r="X355" s="408">
        <v>5.0</v>
      </c>
      <c r="Y355" s="408">
        <v>5.0</v>
      </c>
      <c r="Z355" s="409">
        <v>50.0</v>
      </c>
      <c r="AA355" s="410"/>
      <c r="AB355" s="405"/>
      <c r="AC355" s="405"/>
    </row>
    <row r="356">
      <c r="A356" s="405" t="s">
        <v>1363</v>
      </c>
      <c r="B356" s="405"/>
      <c r="C356" s="406">
        <f t="shared" si="1"/>
        <v>0.025</v>
      </c>
      <c r="D356" s="407">
        <v>202.0</v>
      </c>
      <c r="E356" s="408">
        <v>150.0</v>
      </c>
      <c r="F356" s="408">
        <v>150.0</v>
      </c>
      <c r="G356" s="408">
        <v>300.0</v>
      </c>
      <c r="H356" s="408">
        <v>75.0</v>
      </c>
      <c r="I356" s="408">
        <v>1.0</v>
      </c>
      <c r="J356" s="408">
        <v>1.0</v>
      </c>
      <c r="K356" s="409"/>
      <c r="L356" s="407"/>
      <c r="M356" s="408">
        <v>0.0</v>
      </c>
      <c r="N356" s="408">
        <v>0.0</v>
      </c>
      <c r="O356" s="408">
        <v>0.0</v>
      </c>
      <c r="P356" s="408">
        <v>0.0</v>
      </c>
      <c r="Q356" s="408">
        <v>10.0</v>
      </c>
      <c r="R356" s="408">
        <v>0.0</v>
      </c>
      <c r="S356" s="408"/>
      <c r="T356" s="408">
        <v>0.0</v>
      </c>
      <c r="U356" s="409"/>
      <c r="V356" s="407">
        <v>50.0</v>
      </c>
      <c r="W356" s="408">
        <v>50.0</v>
      </c>
      <c r="X356" s="408">
        <v>5.0</v>
      </c>
      <c r="Y356" s="408">
        <v>5.0</v>
      </c>
      <c r="Z356" s="409">
        <v>50.0</v>
      </c>
      <c r="AA356" s="410"/>
      <c r="AB356" s="405"/>
      <c r="AC356" s="405"/>
    </row>
    <row r="357">
      <c r="A357" s="306" t="s">
        <v>1364</v>
      </c>
      <c r="B357" s="306" t="s">
        <v>969</v>
      </c>
      <c r="C357" s="390">
        <f t="shared" si="1"/>
        <v>0</v>
      </c>
      <c r="D357" s="387">
        <v>160.0</v>
      </c>
      <c r="E357" s="388">
        <v>185.0</v>
      </c>
      <c r="F357" s="388">
        <v>140.0</v>
      </c>
      <c r="G357" s="388">
        <v>130.0</v>
      </c>
      <c r="H357" s="388">
        <v>275.0</v>
      </c>
      <c r="I357" s="388">
        <v>1.0</v>
      </c>
      <c r="J357" s="388">
        <v>195.0</v>
      </c>
      <c r="K357" s="389" t="s">
        <v>299</v>
      </c>
      <c r="L357" s="387">
        <v>4.0</v>
      </c>
      <c r="M357" s="388">
        <v>0.0</v>
      </c>
      <c r="N357" s="388">
        <v>0.0</v>
      </c>
      <c r="O357" s="388">
        <v>0.0</v>
      </c>
      <c r="P357" s="388">
        <v>0.0</v>
      </c>
      <c r="Q357" s="388">
        <v>0.0</v>
      </c>
      <c r="R357" s="388">
        <v>0.0</v>
      </c>
      <c r="S357" s="388"/>
      <c r="T357" s="388">
        <v>0.0</v>
      </c>
      <c r="U357" s="389">
        <v>0.0</v>
      </c>
      <c r="V357" s="387">
        <v>0.0</v>
      </c>
      <c r="W357" s="388">
        <v>0.0</v>
      </c>
      <c r="X357" s="388">
        <v>0.0</v>
      </c>
      <c r="Y357" s="388">
        <v>600.0</v>
      </c>
      <c r="Z357" s="389">
        <v>44.0</v>
      </c>
      <c r="AA357" s="305"/>
      <c r="AB357" s="306"/>
      <c r="AC357" s="306"/>
    </row>
    <row r="358">
      <c r="A358" s="306" t="s">
        <v>1365</v>
      </c>
      <c r="B358" s="417" t="s">
        <v>1366</v>
      </c>
      <c r="C358" s="390">
        <f t="shared" si="1"/>
        <v>0</v>
      </c>
      <c r="D358" s="387">
        <v>5.0</v>
      </c>
      <c r="E358" s="388">
        <v>6.0</v>
      </c>
      <c r="F358" s="388">
        <v>4.0</v>
      </c>
      <c r="G358" s="388">
        <v>5.0</v>
      </c>
      <c r="H358" s="388">
        <v>3.0</v>
      </c>
      <c r="I358" s="388">
        <v>1.0</v>
      </c>
      <c r="J358" s="388">
        <v>1.0</v>
      </c>
      <c r="K358" s="389" t="s">
        <v>300</v>
      </c>
      <c r="L358" s="387">
        <v>4.0</v>
      </c>
      <c r="M358" s="388">
        <v>0.0</v>
      </c>
      <c r="N358" s="388">
        <v>0.0</v>
      </c>
      <c r="O358" s="388">
        <v>0.0</v>
      </c>
      <c r="P358" s="388">
        <v>0.0</v>
      </c>
      <c r="Q358" s="388">
        <v>0.0</v>
      </c>
      <c r="R358" s="388">
        <v>0.0</v>
      </c>
      <c r="S358" s="388"/>
      <c r="T358" s="388">
        <v>0.0</v>
      </c>
      <c r="U358" s="389">
        <v>0.0</v>
      </c>
      <c r="V358" s="387">
        <v>0.0</v>
      </c>
      <c r="W358" s="388">
        <v>0.0</v>
      </c>
      <c r="X358" s="388">
        <v>0.0</v>
      </c>
      <c r="Y358" s="388">
        <v>0.0</v>
      </c>
      <c r="Z358" s="389">
        <v>0.0</v>
      </c>
      <c r="AA358" s="305"/>
      <c r="AB358" s="306"/>
      <c r="AC358" s="306"/>
    </row>
    <row r="359">
      <c r="A359" s="306" t="s">
        <v>1367</v>
      </c>
      <c r="B359" s="306" t="s">
        <v>989</v>
      </c>
      <c r="C359" s="390">
        <f t="shared" si="1"/>
        <v>0</v>
      </c>
      <c r="D359" s="387">
        <v>39.0</v>
      </c>
      <c r="E359" s="388">
        <v>50.0</v>
      </c>
      <c r="F359" s="388">
        <v>30.0</v>
      </c>
      <c r="G359" s="388">
        <v>30.0</v>
      </c>
      <c r="H359" s="388">
        <v>30.0</v>
      </c>
      <c r="I359" s="388">
        <v>1.0</v>
      </c>
      <c r="J359" s="388">
        <v>1.0</v>
      </c>
      <c r="K359" s="389" t="s">
        <v>301</v>
      </c>
      <c r="L359" s="387">
        <v>7.0</v>
      </c>
      <c r="M359" s="388">
        <v>0.0</v>
      </c>
      <c r="N359" s="388">
        <v>0.0</v>
      </c>
      <c r="O359" s="388">
        <v>0.0</v>
      </c>
      <c r="P359" s="388">
        <v>12.0</v>
      </c>
      <c r="Q359" s="388">
        <v>11.0</v>
      </c>
      <c r="R359" s="388">
        <v>0.0</v>
      </c>
      <c r="S359" s="388"/>
      <c r="T359" s="388">
        <v>0.0</v>
      </c>
      <c r="U359" s="389">
        <v>0.0</v>
      </c>
      <c r="V359" s="387">
        <v>0.0</v>
      </c>
      <c r="W359" s="388">
        <v>0.0</v>
      </c>
      <c r="X359" s="388">
        <v>0.0</v>
      </c>
      <c r="Y359" s="388">
        <v>0.0</v>
      </c>
      <c r="Z359" s="389">
        <v>-1.0</v>
      </c>
      <c r="AA359" s="305"/>
      <c r="AB359" s="306"/>
      <c r="AC359" s="306"/>
    </row>
    <row r="360">
      <c r="A360" s="306" t="s">
        <v>1368</v>
      </c>
      <c r="B360" s="306" t="s">
        <v>989</v>
      </c>
      <c r="C360" s="390">
        <f t="shared" si="1"/>
        <v>0</v>
      </c>
      <c r="D360" s="387">
        <v>48.0</v>
      </c>
      <c r="E360" s="388">
        <v>50.0</v>
      </c>
      <c r="F360" s="388">
        <v>40.0</v>
      </c>
      <c r="G360" s="388">
        <v>40.0</v>
      </c>
      <c r="H360" s="388">
        <v>40.0</v>
      </c>
      <c r="I360" s="388">
        <v>1.0</v>
      </c>
      <c r="J360" s="388">
        <v>1.0</v>
      </c>
      <c r="K360" s="389" t="s">
        <v>299</v>
      </c>
      <c r="L360" s="387">
        <v>4.0</v>
      </c>
      <c r="M360" s="388">
        <v>0.0</v>
      </c>
      <c r="N360" s="388">
        <v>0.0</v>
      </c>
      <c r="O360" s="388">
        <v>0.0</v>
      </c>
      <c r="P360" s="388">
        <v>25.0</v>
      </c>
      <c r="Q360" s="388">
        <v>30.0</v>
      </c>
      <c r="R360" s="388">
        <v>0.0</v>
      </c>
      <c r="S360" s="388"/>
      <c r="T360" s="388">
        <v>0.0</v>
      </c>
      <c r="U360" s="389">
        <v>0.0</v>
      </c>
      <c r="V360" s="387">
        <v>0.0</v>
      </c>
      <c r="W360" s="388">
        <v>0.0</v>
      </c>
      <c r="X360" s="388">
        <v>0.0</v>
      </c>
      <c r="Y360" s="388">
        <v>0.0</v>
      </c>
      <c r="Z360" s="389">
        <v>0.0</v>
      </c>
      <c r="AA360" s="305"/>
      <c r="AB360" s="306"/>
      <c r="AC360" s="306"/>
    </row>
    <row r="361">
      <c r="A361" s="306" t="s">
        <v>1369</v>
      </c>
      <c r="B361" s="306" t="s">
        <v>989</v>
      </c>
      <c r="C361" s="390">
        <f t="shared" si="1"/>
        <v>0</v>
      </c>
      <c r="D361" s="387">
        <v>58.0</v>
      </c>
      <c r="E361" s="388">
        <v>50.0</v>
      </c>
      <c r="F361" s="388">
        <v>50.0</v>
      </c>
      <c r="G361" s="388">
        <v>50.0</v>
      </c>
      <c r="H361" s="388">
        <v>50.0</v>
      </c>
      <c r="I361" s="388">
        <v>1.0</v>
      </c>
      <c r="J361" s="388">
        <v>1.0</v>
      </c>
      <c r="K361" s="389" t="s">
        <v>300</v>
      </c>
      <c r="L361" s="387">
        <v>5.0</v>
      </c>
      <c r="M361" s="388">
        <v>0.0</v>
      </c>
      <c r="N361" s="388">
        <v>0.0</v>
      </c>
      <c r="O361" s="388">
        <v>0.0</v>
      </c>
      <c r="P361" s="388">
        <v>20.0</v>
      </c>
      <c r="Q361" s="388">
        <v>8.0</v>
      </c>
      <c r="R361" s="388">
        <v>0.0</v>
      </c>
      <c r="S361" s="388"/>
      <c r="T361" s="388">
        <v>0.0</v>
      </c>
      <c r="U361" s="389">
        <v>0.0</v>
      </c>
      <c r="V361" s="387">
        <v>0.0</v>
      </c>
      <c r="W361" s="388">
        <v>0.0</v>
      </c>
      <c r="X361" s="388">
        <v>0.0</v>
      </c>
      <c r="Y361" s="388">
        <v>0.0</v>
      </c>
      <c r="Z361" s="389">
        <v>-1.0</v>
      </c>
      <c r="AA361" s="305"/>
      <c r="AB361" s="306"/>
      <c r="AC361" s="306"/>
    </row>
    <row r="362">
      <c r="A362" s="306" t="s">
        <v>1370</v>
      </c>
      <c r="B362" s="306" t="s">
        <v>989</v>
      </c>
      <c r="C362" s="390">
        <f t="shared" si="1"/>
        <v>0</v>
      </c>
      <c r="D362" s="387">
        <v>70.0</v>
      </c>
      <c r="E362" s="388">
        <v>65.0</v>
      </c>
      <c r="F362" s="388">
        <v>60.0</v>
      </c>
      <c r="G362" s="388">
        <v>60.0</v>
      </c>
      <c r="H362" s="388">
        <v>60.0</v>
      </c>
      <c r="I362" s="388">
        <v>1.0</v>
      </c>
      <c r="J362" s="388">
        <v>1.0</v>
      </c>
      <c r="K362" s="389" t="s">
        <v>299</v>
      </c>
      <c r="L362" s="387">
        <v>5.0</v>
      </c>
      <c r="M362" s="388">
        <v>0.0</v>
      </c>
      <c r="N362" s="388">
        <v>0.0</v>
      </c>
      <c r="O362" s="388">
        <v>0.0</v>
      </c>
      <c r="P362" s="388">
        <v>10.0</v>
      </c>
      <c r="Q362" s="388">
        <v>8.0</v>
      </c>
      <c r="R362" s="388">
        <v>0.0</v>
      </c>
      <c r="S362" s="388"/>
      <c r="T362" s="388">
        <v>0.0</v>
      </c>
      <c r="U362" s="389">
        <v>0.0</v>
      </c>
      <c r="V362" s="387">
        <v>1.0</v>
      </c>
      <c r="W362" s="388">
        <v>1.0</v>
      </c>
      <c r="X362" s="388">
        <v>0.0</v>
      </c>
      <c r="Y362" s="388">
        <v>0.0</v>
      </c>
      <c r="Z362" s="389">
        <v>0.0</v>
      </c>
      <c r="AA362" s="305"/>
      <c r="AB362" s="306"/>
      <c r="AC362" s="306"/>
    </row>
    <row r="363">
      <c r="A363" s="306" t="s">
        <v>1371</v>
      </c>
      <c r="B363" s="306" t="s">
        <v>989</v>
      </c>
      <c r="C363" s="390">
        <f t="shared" si="1"/>
        <v>0</v>
      </c>
      <c r="D363" s="387">
        <v>99.0</v>
      </c>
      <c r="E363" s="388">
        <v>90.0</v>
      </c>
      <c r="F363" s="388">
        <v>85.0</v>
      </c>
      <c r="G363" s="388">
        <v>85.0</v>
      </c>
      <c r="H363" s="388">
        <v>86.0</v>
      </c>
      <c r="I363" s="388">
        <v>1.0</v>
      </c>
      <c r="J363" s="388">
        <v>1.0</v>
      </c>
      <c r="K363" s="389" t="s">
        <v>299</v>
      </c>
      <c r="L363" s="387">
        <v>4.0</v>
      </c>
      <c r="M363" s="388">
        <v>0.0</v>
      </c>
      <c r="N363" s="388">
        <v>0.0</v>
      </c>
      <c r="O363" s="388">
        <v>0.0</v>
      </c>
      <c r="P363" s="388">
        <v>5.0</v>
      </c>
      <c r="Q363" s="388">
        <v>5.0</v>
      </c>
      <c r="R363" s="388">
        <v>0.0</v>
      </c>
      <c r="S363" s="388"/>
      <c r="T363" s="388">
        <v>0.0</v>
      </c>
      <c r="U363" s="389">
        <v>0.0</v>
      </c>
      <c r="V363" s="387">
        <v>0.0</v>
      </c>
      <c r="W363" s="388">
        <v>0.0</v>
      </c>
      <c r="X363" s="388">
        <v>0.0</v>
      </c>
      <c r="Y363" s="388">
        <v>0.0</v>
      </c>
      <c r="Z363" s="389">
        <v>0.0</v>
      </c>
      <c r="AA363" s="305"/>
      <c r="AB363" s="306"/>
      <c r="AC363" s="306"/>
    </row>
    <row r="364">
      <c r="A364" s="306" t="s">
        <v>1372</v>
      </c>
      <c r="B364" s="306"/>
      <c r="C364" s="390">
        <f t="shared" si="1"/>
        <v>0</v>
      </c>
      <c r="D364" s="387">
        <v>1.0</v>
      </c>
      <c r="E364" s="388">
        <v>2.0</v>
      </c>
      <c r="F364" s="388">
        <v>1.0</v>
      </c>
      <c r="G364" s="388">
        <v>1.0</v>
      </c>
      <c r="H364" s="388">
        <v>1.0</v>
      </c>
      <c r="I364" s="388">
        <v>1.0</v>
      </c>
      <c r="J364" s="388">
        <v>1.0</v>
      </c>
      <c r="K364" s="389" t="s">
        <v>300</v>
      </c>
      <c r="L364" s="387">
        <v>4.0</v>
      </c>
      <c r="M364" s="388">
        <v>0.0</v>
      </c>
      <c r="N364" s="388">
        <v>0.0</v>
      </c>
      <c r="O364" s="388">
        <v>0.0</v>
      </c>
      <c r="P364" s="388">
        <v>0.0</v>
      </c>
      <c r="Q364" s="388">
        <v>0.0</v>
      </c>
      <c r="R364" s="388">
        <v>0.0</v>
      </c>
      <c r="S364" s="388"/>
      <c r="T364" s="388">
        <v>0.0</v>
      </c>
      <c r="U364" s="389">
        <v>0.0</v>
      </c>
      <c r="V364" s="387">
        <v>-53.0</v>
      </c>
      <c r="W364" s="388">
        <v>-53.0</v>
      </c>
      <c r="X364" s="388">
        <v>-53.0</v>
      </c>
      <c r="Y364" s="388">
        <v>-53.0</v>
      </c>
      <c r="Z364" s="389">
        <v>-53.0</v>
      </c>
      <c r="AA364" s="305"/>
      <c r="AB364" s="306"/>
      <c r="AC364" s="306"/>
    </row>
    <row r="365">
      <c r="A365" s="306" t="s">
        <v>1373</v>
      </c>
      <c r="B365" s="306" t="s">
        <v>1028</v>
      </c>
      <c r="C365" s="390">
        <f t="shared" si="1"/>
        <v>0</v>
      </c>
      <c r="D365" s="387">
        <v>24.0</v>
      </c>
      <c r="E365" s="388">
        <v>22.0</v>
      </c>
      <c r="F365" s="388">
        <v>21.0</v>
      </c>
      <c r="G365" s="388">
        <v>21.0</v>
      </c>
      <c r="H365" s="388">
        <v>21.0</v>
      </c>
      <c r="I365" s="388">
        <v>1.0</v>
      </c>
      <c r="J365" s="388">
        <v>1.0</v>
      </c>
      <c r="K365" s="389" t="s">
        <v>300</v>
      </c>
      <c r="L365" s="387">
        <v>4.0</v>
      </c>
      <c r="M365" s="388"/>
      <c r="N365" s="388"/>
      <c r="O365" s="388"/>
      <c r="P365" s="388">
        <v>35.0</v>
      </c>
      <c r="Q365" s="388">
        <v>58.0</v>
      </c>
      <c r="R365" s="388"/>
      <c r="S365" s="388"/>
      <c r="T365" s="388"/>
      <c r="U365" s="389"/>
      <c r="V365" s="387">
        <v>53.0</v>
      </c>
      <c r="W365" s="388">
        <v>53.0</v>
      </c>
      <c r="X365" s="388">
        <v>53.0</v>
      </c>
      <c r="Y365" s="388">
        <v>53.0</v>
      </c>
      <c r="Z365" s="389">
        <v>53.0</v>
      </c>
      <c r="AA365" s="305"/>
      <c r="AB365" s="306"/>
      <c r="AC365" s="306"/>
    </row>
    <row r="366">
      <c r="A366" s="405" t="s">
        <v>1374</v>
      </c>
      <c r="B366" s="405"/>
      <c r="C366" s="406">
        <f t="shared" si="1"/>
        <v>0</v>
      </c>
      <c r="D366" s="407">
        <v>76.0</v>
      </c>
      <c r="E366" s="408">
        <v>100.0</v>
      </c>
      <c r="F366" s="408">
        <v>10.0</v>
      </c>
      <c r="G366" s="408">
        <v>10.0</v>
      </c>
      <c r="H366" s="408">
        <v>10.0</v>
      </c>
      <c r="I366" s="408">
        <v>1.0</v>
      </c>
      <c r="J366" s="408">
        <v>2.0</v>
      </c>
      <c r="K366" s="409"/>
      <c r="L366" s="407"/>
      <c r="M366" s="408">
        <v>0.0</v>
      </c>
      <c r="N366" s="408">
        <v>0.0</v>
      </c>
      <c r="O366" s="408">
        <v>0.0</v>
      </c>
      <c r="P366" s="408">
        <v>0.0</v>
      </c>
      <c r="Q366" s="408">
        <v>0.0</v>
      </c>
      <c r="R366" s="408">
        <v>0.0</v>
      </c>
      <c r="S366" s="408"/>
      <c r="T366" s="408">
        <v>0.0</v>
      </c>
      <c r="U366" s="409"/>
      <c r="V366" s="407">
        <v>100.0</v>
      </c>
      <c r="W366" s="408">
        <v>100.0</v>
      </c>
      <c r="X366" s="408">
        <v>100.0</v>
      </c>
      <c r="Y366" s="408">
        <v>50.0</v>
      </c>
      <c r="Z366" s="409">
        <v>50.0</v>
      </c>
      <c r="AA366" s="410"/>
      <c r="AB366" s="405"/>
      <c r="AC366" s="405"/>
    </row>
    <row r="367">
      <c r="A367" s="405" t="s">
        <v>1375</v>
      </c>
      <c r="B367" s="405"/>
      <c r="C367" s="406">
        <f t="shared" si="1"/>
        <v>0</v>
      </c>
      <c r="D367" s="407">
        <v>123.0</v>
      </c>
      <c r="E367" s="408">
        <v>86.0</v>
      </c>
      <c r="F367" s="408">
        <v>1.0</v>
      </c>
      <c r="G367" s="408">
        <v>1.0</v>
      </c>
      <c r="H367" s="408">
        <v>111.0</v>
      </c>
      <c r="I367" s="408">
        <v>150.0</v>
      </c>
      <c r="J367" s="408">
        <v>1.0</v>
      </c>
      <c r="K367" s="409"/>
      <c r="L367" s="407"/>
      <c r="M367" s="408">
        <v>0.0</v>
      </c>
      <c r="N367" s="408">
        <v>0.0</v>
      </c>
      <c r="O367" s="408">
        <v>0.0</v>
      </c>
      <c r="P367" s="408">
        <v>0.0</v>
      </c>
      <c r="Q367" s="408">
        <v>0.0</v>
      </c>
      <c r="R367" s="408">
        <v>0.0</v>
      </c>
      <c r="S367" s="408"/>
      <c r="T367" s="408">
        <v>0.0</v>
      </c>
      <c r="U367" s="409"/>
      <c r="V367" s="407">
        <v>9.0</v>
      </c>
      <c r="W367" s="408">
        <v>12.0</v>
      </c>
      <c r="X367" s="408">
        <v>5.0</v>
      </c>
      <c r="Y367" s="408">
        <v>45.0</v>
      </c>
      <c r="Z367" s="409">
        <v>28.0</v>
      </c>
      <c r="AA367" s="410"/>
      <c r="AB367" s="405"/>
      <c r="AC367" s="405"/>
    </row>
    <row r="368">
      <c r="A368" s="405" t="s">
        <v>1376</v>
      </c>
      <c r="B368" s="405"/>
      <c r="C368" s="406">
        <f t="shared" si="1"/>
        <v>0</v>
      </c>
      <c r="D368" s="407">
        <v>121.0</v>
      </c>
      <c r="E368" s="408">
        <v>106.0</v>
      </c>
      <c r="F368" s="408">
        <v>1.0</v>
      </c>
      <c r="G368" s="408">
        <v>1.0</v>
      </c>
      <c r="H368" s="408">
        <v>103.0</v>
      </c>
      <c r="I368" s="408">
        <v>142.0</v>
      </c>
      <c r="J368" s="408">
        <v>1.0</v>
      </c>
      <c r="K368" s="409"/>
      <c r="L368" s="407"/>
      <c r="M368" s="408">
        <v>0.0</v>
      </c>
      <c r="N368" s="408">
        <v>0.0</v>
      </c>
      <c r="O368" s="408">
        <v>0.0</v>
      </c>
      <c r="P368" s="408">
        <v>0.0</v>
      </c>
      <c r="Q368" s="408">
        <v>0.0</v>
      </c>
      <c r="R368" s="408">
        <v>0.0</v>
      </c>
      <c r="S368" s="408"/>
      <c r="T368" s="408">
        <v>0.0</v>
      </c>
      <c r="U368" s="409"/>
      <c r="V368" s="407">
        <v>12.0</v>
      </c>
      <c r="W368" s="408">
        <v>14.0</v>
      </c>
      <c r="X368" s="408">
        <v>13.0</v>
      </c>
      <c r="Y368" s="408">
        <v>35.0</v>
      </c>
      <c r="Z368" s="409">
        <v>13.0</v>
      </c>
      <c r="AA368" s="410"/>
      <c r="AB368" s="405"/>
      <c r="AC368" s="405"/>
    </row>
    <row r="369">
      <c r="A369" s="405" t="s">
        <v>1377</v>
      </c>
      <c r="B369" s="405"/>
      <c r="C369" s="406">
        <f t="shared" si="1"/>
        <v>0</v>
      </c>
      <c r="D369" s="407">
        <v>120.0</v>
      </c>
      <c r="E369" s="408">
        <v>85.0</v>
      </c>
      <c r="F369" s="408">
        <v>1.0</v>
      </c>
      <c r="G369" s="408">
        <v>1.0</v>
      </c>
      <c r="H369" s="408">
        <v>86.0</v>
      </c>
      <c r="I369" s="408">
        <v>160.0</v>
      </c>
      <c r="J369" s="408">
        <v>1.0</v>
      </c>
      <c r="K369" s="409"/>
      <c r="L369" s="407"/>
      <c r="M369" s="408">
        <v>0.0</v>
      </c>
      <c r="N369" s="408">
        <v>0.0</v>
      </c>
      <c r="O369" s="408">
        <v>0.0</v>
      </c>
      <c r="P369" s="408">
        <v>0.0</v>
      </c>
      <c r="Q369" s="408">
        <v>0.0</v>
      </c>
      <c r="R369" s="408">
        <v>0.0</v>
      </c>
      <c r="S369" s="408"/>
      <c r="T369" s="408">
        <v>0.0</v>
      </c>
      <c r="U369" s="409"/>
      <c r="V369" s="407">
        <v>8.0</v>
      </c>
      <c r="W369" s="408">
        <v>7.0</v>
      </c>
      <c r="X369" s="408">
        <v>3.0</v>
      </c>
      <c r="Y369" s="408">
        <v>16.0</v>
      </c>
      <c r="Z369" s="409">
        <v>2.0</v>
      </c>
      <c r="AA369" s="410"/>
      <c r="AB369" s="405"/>
      <c r="AC369" s="405"/>
    </row>
    <row r="370">
      <c r="A370" s="405" t="s">
        <v>1378</v>
      </c>
      <c r="B370" s="405"/>
      <c r="C370" s="406">
        <f t="shared" si="1"/>
        <v>0</v>
      </c>
      <c r="D370" s="407">
        <v>121.0</v>
      </c>
      <c r="E370" s="408">
        <v>75.0</v>
      </c>
      <c r="F370" s="408">
        <v>1.0</v>
      </c>
      <c r="G370" s="408">
        <v>1.0</v>
      </c>
      <c r="H370" s="408">
        <v>61.0</v>
      </c>
      <c r="I370" s="408">
        <v>180.0</v>
      </c>
      <c r="J370" s="408">
        <v>1.0</v>
      </c>
      <c r="K370" s="409"/>
      <c r="L370" s="407"/>
      <c r="M370" s="408">
        <v>0.0</v>
      </c>
      <c r="N370" s="408">
        <v>0.0</v>
      </c>
      <c r="O370" s="408">
        <v>0.0</v>
      </c>
      <c r="P370" s="408">
        <v>0.0</v>
      </c>
      <c r="Q370" s="408">
        <v>0.0</v>
      </c>
      <c r="R370" s="408">
        <v>0.0</v>
      </c>
      <c r="S370" s="408"/>
      <c r="T370" s="408">
        <v>0.0</v>
      </c>
      <c r="U370" s="409"/>
      <c r="V370" s="407">
        <v>0.0</v>
      </c>
      <c r="W370" s="408">
        <v>0.0</v>
      </c>
      <c r="X370" s="408">
        <v>0.0</v>
      </c>
      <c r="Y370" s="408">
        <v>0.0</v>
      </c>
      <c r="Z370" s="409">
        <v>0.0</v>
      </c>
      <c r="AA370" s="410"/>
      <c r="AB370" s="405"/>
      <c r="AC370" s="405"/>
    </row>
    <row r="371">
      <c r="A371" s="405" t="s">
        <v>1379</v>
      </c>
      <c r="B371" s="405"/>
      <c r="C371" s="406">
        <f t="shared" si="1"/>
        <v>0</v>
      </c>
      <c r="D371" s="407">
        <v>127.0</v>
      </c>
      <c r="E371" s="408">
        <v>89.0</v>
      </c>
      <c r="F371" s="408">
        <v>1.0</v>
      </c>
      <c r="G371" s="408">
        <v>1.0</v>
      </c>
      <c r="H371" s="408">
        <v>130.0</v>
      </c>
      <c r="I371" s="408">
        <v>1.0</v>
      </c>
      <c r="J371" s="408">
        <v>150.0</v>
      </c>
      <c r="K371" s="409"/>
      <c r="L371" s="407"/>
      <c r="M371" s="408">
        <v>0.0</v>
      </c>
      <c r="N371" s="408">
        <v>0.0</v>
      </c>
      <c r="O371" s="408">
        <v>0.0</v>
      </c>
      <c r="P371" s="408">
        <v>0.0</v>
      </c>
      <c r="Q371" s="408">
        <v>0.0</v>
      </c>
      <c r="R371" s="408">
        <v>0.0</v>
      </c>
      <c r="S371" s="408"/>
      <c r="T371" s="408">
        <v>0.0</v>
      </c>
      <c r="U371" s="409"/>
      <c r="V371" s="407">
        <v>17.0</v>
      </c>
      <c r="W371" s="408">
        <v>16.0</v>
      </c>
      <c r="X371" s="408">
        <v>8.0</v>
      </c>
      <c r="Y371" s="408">
        <v>35.0</v>
      </c>
      <c r="Z371" s="409">
        <v>41.0</v>
      </c>
      <c r="AA371" s="410"/>
      <c r="AB371" s="405"/>
      <c r="AC371" s="405"/>
    </row>
    <row r="372">
      <c r="A372" s="405" t="s">
        <v>1380</v>
      </c>
      <c r="B372" s="405"/>
      <c r="C372" s="406">
        <f t="shared" si="1"/>
        <v>0</v>
      </c>
      <c r="D372" s="407">
        <v>115.0</v>
      </c>
      <c r="E372" s="408">
        <v>131.0</v>
      </c>
      <c r="F372" s="408">
        <v>1.0</v>
      </c>
      <c r="G372" s="408">
        <v>1.0</v>
      </c>
      <c r="H372" s="408">
        <v>96.0</v>
      </c>
      <c r="I372" s="408">
        <v>1.0</v>
      </c>
      <c r="J372" s="408">
        <v>121.0</v>
      </c>
      <c r="K372" s="409"/>
      <c r="L372" s="407"/>
      <c r="M372" s="408">
        <v>0.0</v>
      </c>
      <c r="N372" s="408">
        <v>0.0</v>
      </c>
      <c r="O372" s="408">
        <v>0.0</v>
      </c>
      <c r="P372" s="408">
        <v>0.0</v>
      </c>
      <c r="Q372" s="408">
        <v>0.0</v>
      </c>
      <c r="R372" s="408">
        <v>0.0</v>
      </c>
      <c r="S372" s="408"/>
      <c r="T372" s="408">
        <v>0.0</v>
      </c>
      <c r="U372" s="409"/>
      <c r="V372" s="407">
        <v>12.0</v>
      </c>
      <c r="W372" s="408">
        <v>14.0</v>
      </c>
      <c r="X372" s="408">
        <v>13.0</v>
      </c>
      <c r="Y372" s="408">
        <v>5.0</v>
      </c>
      <c r="Z372" s="409">
        <v>13.0</v>
      </c>
      <c r="AA372" s="410"/>
      <c r="AB372" s="405"/>
      <c r="AC372" s="405"/>
    </row>
    <row r="373">
      <c r="A373" s="405" t="s">
        <v>1381</v>
      </c>
      <c r="B373" s="405"/>
      <c r="C373" s="406">
        <f t="shared" si="1"/>
        <v>0</v>
      </c>
      <c r="D373" s="407">
        <v>112.0</v>
      </c>
      <c r="E373" s="408">
        <v>106.0</v>
      </c>
      <c r="F373" s="408">
        <v>1.0</v>
      </c>
      <c r="G373" s="408">
        <v>1.0</v>
      </c>
      <c r="H373" s="408">
        <v>100.0</v>
      </c>
      <c r="I373" s="408">
        <v>1.0</v>
      </c>
      <c r="J373" s="408">
        <v>146.0</v>
      </c>
      <c r="K373" s="409"/>
      <c r="L373" s="407"/>
      <c r="M373" s="408">
        <v>0.0</v>
      </c>
      <c r="N373" s="408">
        <v>0.0</v>
      </c>
      <c r="O373" s="408">
        <v>0.0</v>
      </c>
      <c r="P373" s="408">
        <v>0.0</v>
      </c>
      <c r="Q373" s="408">
        <v>0.0</v>
      </c>
      <c r="R373" s="408">
        <v>0.0</v>
      </c>
      <c r="S373" s="408"/>
      <c r="T373" s="408">
        <v>0.0</v>
      </c>
      <c r="U373" s="409"/>
      <c r="V373" s="407">
        <v>3.0</v>
      </c>
      <c r="W373" s="408">
        <v>5.0</v>
      </c>
      <c r="X373" s="408">
        <v>13.0</v>
      </c>
      <c r="Y373" s="408">
        <v>16.0</v>
      </c>
      <c r="Z373" s="409">
        <v>23.0</v>
      </c>
      <c r="AA373" s="410"/>
      <c r="AB373" s="405"/>
      <c r="AC373" s="405"/>
    </row>
    <row r="374">
      <c r="A374" s="405" t="s">
        <v>1382</v>
      </c>
      <c r="B374" s="405"/>
      <c r="C374" s="406">
        <f t="shared" si="1"/>
        <v>0</v>
      </c>
      <c r="D374" s="407">
        <v>118.0</v>
      </c>
      <c r="E374" s="408">
        <v>120.0</v>
      </c>
      <c r="F374" s="408">
        <v>1.0</v>
      </c>
      <c r="G374" s="408">
        <v>1.0</v>
      </c>
      <c r="H374" s="408">
        <v>80.0</v>
      </c>
      <c r="I374" s="408">
        <v>1.0</v>
      </c>
      <c r="J374" s="408">
        <v>140.0</v>
      </c>
      <c r="K374" s="409"/>
      <c r="L374" s="407"/>
      <c r="M374" s="408">
        <v>0.0</v>
      </c>
      <c r="N374" s="408">
        <v>0.0</v>
      </c>
      <c r="O374" s="408">
        <v>0.0</v>
      </c>
      <c r="P374" s="408">
        <v>0.0</v>
      </c>
      <c r="Q374" s="408">
        <v>0.0</v>
      </c>
      <c r="R374" s="408">
        <v>0.0</v>
      </c>
      <c r="S374" s="408"/>
      <c r="T374" s="408">
        <v>0.0</v>
      </c>
      <c r="U374" s="409"/>
      <c r="V374" s="407">
        <v>0.0</v>
      </c>
      <c r="W374" s="408">
        <v>0.0</v>
      </c>
      <c r="X374" s="408">
        <v>0.0</v>
      </c>
      <c r="Y374" s="408">
        <v>0.0</v>
      </c>
      <c r="Z374" s="409">
        <v>0.0</v>
      </c>
      <c r="AA374" s="410"/>
      <c r="AB374" s="405"/>
      <c r="AC374" s="405"/>
    </row>
    <row r="375">
      <c r="A375" s="405" t="s">
        <v>1383</v>
      </c>
      <c r="B375" s="405"/>
      <c r="C375" s="406">
        <f t="shared" si="1"/>
        <v>0</v>
      </c>
      <c r="D375" s="407">
        <v>123.0</v>
      </c>
      <c r="E375" s="408">
        <v>98.0</v>
      </c>
      <c r="F375" s="408">
        <v>1.0</v>
      </c>
      <c r="G375" s="408">
        <v>1.0</v>
      </c>
      <c r="H375" s="408">
        <v>120.0</v>
      </c>
      <c r="I375" s="408">
        <v>1.0</v>
      </c>
      <c r="J375" s="408">
        <v>141.0</v>
      </c>
      <c r="K375" s="409"/>
      <c r="L375" s="407"/>
      <c r="M375" s="408">
        <v>0.0</v>
      </c>
      <c r="N375" s="408">
        <v>0.0</v>
      </c>
      <c r="O375" s="408">
        <v>0.0</v>
      </c>
      <c r="P375" s="408">
        <v>0.0</v>
      </c>
      <c r="Q375" s="408">
        <v>0.0</v>
      </c>
      <c r="R375" s="408">
        <v>0.0</v>
      </c>
      <c r="S375" s="408"/>
      <c r="T375" s="408">
        <v>0.0</v>
      </c>
      <c r="U375" s="409"/>
      <c r="V375" s="407">
        <v>23.0</v>
      </c>
      <c r="W375" s="408">
        <v>25.0</v>
      </c>
      <c r="X375" s="408">
        <v>13.0</v>
      </c>
      <c r="Y375" s="408">
        <v>35.0</v>
      </c>
      <c r="Z375" s="409">
        <v>35.0</v>
      </c>
      <c r="AA375" s="410"/>
      <c r="AB375" s="405"/>
      <c r="AC375" s="405"/>
    </row>
    <row r="376">
      <c r="A376" s="405" t="s">
        <v>1384</v>
      </c>
      <c r="B376" s="405"/>
      <c r="C376" s="406">
        <f t="shared" si="1"/>
        <v>0.025</v>
      </c>
      <c r="D376" s="407">
        <v>134.0</v>
      </c>
      <c r="E376" s="408">
        <v>131.0</v>
      </c>
      <c r="F376" s="408">
        <v>116.0</v>
      </c>
      <c r="G376" s="408">
        <v>120.0</v>
      </c>
      <c r="H376" s="408">
        <v>100.0</v>
      </c>
      <c r="I376" s="408">
        <v>1.0</v>
      </c>
      <c r="J376" s="408">
        <v>1.0</v>
      </c>
      <c r="K376" s="409"/>
      <c r="L376" s="407"/>
      <c r="M376" s="408">
        <v>0.0</v>
      </c>
      <c r="N376" s="408">
        <v>0.0</v>
      </c>
      <c r="O376" s="408">
        <v>0.0</v>
      </c>
      <c r="P376" s="408">
        <v>29.0</v>
      </c>
      <c r="Q376" s="408">
        <v>13.0</v>
      </c>
      <c r="R376" s="408">
        <v>0.0</v>
      </c>
      <c r="S376" s="408"/>
      <c r="T376" s="408">
        <v>0.0</v>
      </c>
      <c r="U376" s="409"/>
      <c r="V376" s="407">
        <v>12.0</v>
      </c>
      <c r="W376" s="408">
        <v>14.0</v>
      </c>
      <c r="X376" s="408">
        <v>13.0</v>
      </c>
      <c r="Y376" s="408">
        <v>5.0</v>
      </c>
      <c r="Z376" s="409">
        <v>13.0</v>
      </c>
      <c r="AA376" s="410"/>
      <c r="AB376" s="405"/>
      <c r="AC376" s="405"/>
    </row>
    <row r="377">
      <c r="A377" s="405" t="s">
        <v>1385</v>
      </c>
      <c r="B377" s="405"/>
      <c r="C377" s="406">
        <f t="shared" si="1"/>
        <v>0</v>
      </c>
      <c r="D377" s="407">
        <v>125.0</v>
      </c>
      <c r="E377" s="408">
        <v>110.0</v>
      </c>
      <c r="F377" s="408">
        <v>110.0</v>
      </c>
      <c r="G377" s="408">
        <v>106.0</v>
      </c>
      <c r="H377" s="408">
        <v>110.0</v>
      </c>
      <c r="I377" s="408">
        <v>1.0</v>
      </c>
      <c r="J377" s="408">
        <v>1.0</v>
      </c>
      <c r="K377" s="409"/>
      <c r="L377" s="407"/>
      <c r="M377" s="408">
        <v>0.0</v>
      </c>
      <c r="N377" s="408">
        <v>0.0</v>
      </c>
      <c r="O377" s="408">
        <v>0.0</v>
      </c>
      <c r="P377" s="408">
        <v>9.0</v>
      </c>
      <c r="Q377" s="408">
        <v>6.0</v>
      </c>
      <c r="R377" s="408">
        <v>0.0</v>
      </c>
      <c r="S377" s="408"/>
      <c r="T377" s="408">
        <v>0.0</v>
      </c>
      <c r="U377" s="409"/>
      <c r="V377" s="407">
        <v>12.0</v>
      </c>
      <c r="W377" s="408">
        <v>14.0</v>
      </c>
      <c r="X377" s="408">
        <v>13.0</v>
      </c>
      <c r="Y377" s="408">
        <v>5.0</v>
      </c>
      <c r="Z377" s="409">
        <v>13.0</v>
      </c>
      <c r="AA377" s="410"/>
      <c r="AB377" s="405"/>
      <c r="AC377" s="405"/>
    </row>
    <row r="378">
      <c r="A378" s="405" t="s">
        <v>1386</v>
      </c>
      <c r="B378" s="405"/>
      <c r="C378" s="406">
        <f t="shared" si="1"/>
        <v>0</v>
      </c>
      <c r="D378" s="407">
        <v>115.0</v>
      </c>
      <c r="E378" s="408">
        <v>100.0</v>
      </c>
      <c r="F378" s="408">
        <v>100.0</v>
      </c>
      <c r="G378" s="408">
        <v>100.0</v>
      </c>
      <c r="H378" s="408">
        <v>100.0</v>
      </c>
      <c r="I378" s="408">
        <v>1.0</v>
      </c>
      <c r="J378" s="408">
        <v>1.0</v>
      </c>
      <c r="K378" s="409"/>
      <c r="L378" s="407"/>
      <c r="M378" s="408">
        <v>0.0</v>
      </c>
      <c r="N378" s="408">
        <v>0.0</v>
      </c>
      <c r="O378" s="408">
        <v>0.0</v>
      </c>
      <c r="P378" s="408">
        <v>0.0</v>
      </c>
      <c r="Q378" s="408">
        <v>0.0</v>
      </c>
      <c r="R378" s="408">
        <v>0.0</v>
      </c>
      <c r="S378" s="408"/>
      <c r="T378" s="408">
        <v>0.0</v>
      </c>
      <c r="U378" s="409"/>
      <c r="V378" s="407">
        <v>0.0</v>
      </c>
      <c r="W378" s="408">
        <v>0.0</v>
      </c>
      <c r="X378" s="408">
        <v>0.0</v>
      </c>
      <c r="Y378" s="408">
        <v>0.0</v>
      </c>
      <c r="Z378" s="409">
        <v>0.0</v>
      </c>
      <c r="AA378" s="410"/>
      <c r="AB378" s="405"/>
      <c r="AC378" s="405"/>
    </row>
    <row r="379">
      <c r="A379" s="306" t="s">
        <v>1387</v>
      </c>
      <c r="B379" s="306" t="s">
        <v>943</v>
      </c>
      <c r="C379" s="390">
        <f t="shared" si="1"/>
        <v>0.025</v>
      </c>
      <c r="D379" s="387">
        <v>146.0</v>
      </c>
      <c r="E379" s="388">
        <v>200.0</v>
      </c>
      <c r="F379" s="388">
        <v>125.0</v>
      </c>
      <c r="G379" s="388">
        <v>80.0</v>
      </c>
      <c r="H379" s="388">
        <v>90.0</v>
      </c>
      <c r="I379" s="388">
        <v>125.0</v>
      </c>
      <c r="J379" s="388">
        <v>125.0</v>
      </c>
      <c r="K379" s="389" t="s">
        <v>301</v>
      </c>
      <c r="L379" s="387">
        <v>6.0</v>
      </c>
      <c r="M379" s="388"/>
      <c r="N379" s="388"/>
      <c r="O379" s="388"/>
      <c r="P379" s="388"/>
      <c r="Q379" s="388"/>
      <c r="R379" s="388"/>
      <c r="S379" s="388"/>
      <c r="T379" s="388"/>
      <c r="U379" s="389"/>
      <c r="V379" s="387">
        <v>70.0</v>
      </c>
      <c r="W379" s="388">
        <v>70.0</v>
      </c>
      <c r="X379" s="388">
        <v>70.0</v>
      </c>
      <c r="Y379" s="388">
        <v>140.0</v>
      </c>
      <c r="Z379" s="389">
        <v>120.0</v>
      </c>
      <c r="AA379" s="305"/>
      <c r="AB379" s="306" t="s">
        <v>936</v>
      </c>
      <c r="AC379" s="306"/>
    </row>
    <row r="380">
      <c r="A380" s="405" t="s">
        <v>1388</v>
      </c>
      <c r="B380" s="405"/>
      <c r="C380" s="406">
        <f t="shared" si="1"/>
        <v>0.05</v>
      </c>
      <c r="D380" s="407">
        <v>149.0</v>
      </c>
      <c r="E380" s="408">
        <v>160.0</v>
      </c>
      <c r="F380" s="408">
        <v>120.0</v>
      </c>
      <c r="G380" s="408">
        <v>125.0</v>
      </c>
      <c r="H380" s="408">
        <v>120.0</v>
      </c>
      <c r="I380" s="408">
        <v>125.0</v>
      </c>
      <c r="J380" s="408">
        <v>1.0</v>
      </c>
      <c r="K380" s="409"/>
      <c r="L380" s="407"/>
      <c r="M380" s="408">
        <v>0.0</v>
      </c>
      <c r="N380" s="408">
        <v>0.0</v>
      </c>
      <c r="O380" s="408">
        <v>0.0</v>
      </c>
      <c r="P380" s="408">
        <v>60.0</v>
      </c>
      <c r="Q380" s="408">
        <v>10.0</v>
      </c>
      <c r="R380" s="408">
        <v>0.0</v>
      </c>
      <c r="S380" s="408"/>
      <c r="T380" s="408">
        <v>0.0</v>
      </c>
      <c r="U380" s="409"/>
      <c r="V380" s="407">
        <v>12.0</v>
      </c>
      <c r="W380" s="408">
        <v>14.0</v>
      </c>
      <c r="X380" s="408">
        <v>13.0</v>
      </c>
      <c r="Y380" s="408">
        <v>5.0</v>
      </c>
      <c r="Z380" s="409">
        <v>13.0</v>
      </c>
      <c r="AA380" s="410"/>
      <c r="AB380" s="405"/>
      <c r="AC380" s="405"/>
    </row>
    <row r="381">
      <c r="A381" s="306" t="s">
        <v>1389</v>
      </c>
      <c r="B381" s="306" t="s">
        <v>1390</v>
      </c>
      <c r="C381" s="390">
        <f t="shared" si="1"/>
        <v>0.05</v>
      </c>
      <c r="D381" s="387">
        <v>246.0</v>
      </c>
      <c r="E381" s="388">
        <v>210.0</v>
      </c>
      <c r="F381" s="388">
        <v>215.0</v>
      </c>
      <c r="G381" s="388">
        <v>215.0</v>
      </c>
      <c r="H381" s="388">
        <v>215.0</v>
      </c>
      <c r="I381" s="388">
        <v>100.0</v>
      </c>
      <c r="J381" s="388">
        <v>1.0</v>
      </c>
      <c r="K381" s="389" t="s">
        <v>301</v>
      </c>
      <c r="L381" s="387">
        <v>4.0</v>
      </c>
      <c r="M381" s="388">
        <v>0.0</v>
      </c>
      <c r="N381" s="388">
        <v>0.0</v>
      </c>
      <c r="O381" s="388">
        <v>0.0</v>
      </c>
      <c r="P381" s="388">
        <v>0.0</v>
      </c>
      <c r="Q381" s="388">
        <v>0.0</v>
      </c>
      <c r="R381" s="388">
        <v>0.0</v>
      </c>
      <c r="S381" s="388"/>
      <c r="T381" s="388">
        <v>0.0</v>
      </c>
      <c r="U381" s="389">
        <v>0.0</v>
      </c>
      <c r="V381" s="387">
        <v>50.0</v>
      </c>
      <c r="W381" s="388">
        <v>70.0</v>
      </c>
      <c r="X381" s="388">
        <v>70.0</v>
      </c>
      <c r="Y381" s="388">
        <v>30.0</v>
      </c>
      <c r="Z381" s="389">
        <v>90.0</v>
      </c>
      <c r="AA381" s="305"/>
      <c r="AB381" s="306" t="s">
        <v>936</v>
      </c>
      <c r="AC381" s="306"/>
    </row>
    <row r="382">
      <c r="A382" s="306" t="s">
        <v>1391</v>
      </c>
      <c r="B382" s="417" t="s">
        <v>954</v>
      </c>
      <c r="C382" s="390">
        <f t="shared" si="1"/>
        <v>0.05</v>
      </c>
      <c r="D382" s="387">
        <v>274.0</v>
      </c>
      <c r="E382" s="388">
        <v>250.0</v>
      </c>
      <c r="F382" s="388">
        <v>235.0</v>
      </c>
      <c r="G382" s="388">
        <v>235.0</v>
      </c>
      <c r="H382" s="388">
        <v>235.0</v>
      </c>
      <c r="I382" s="388">
        <v>130.0</v>
      </c>
      <c r="J382" s="388">
        <v>1.0</v>
      </c>
      <c r="K382" s="389" t="s">
        <v>301</v>
      </c>
      <c r="L382" s="387">
        <v>4.0</v>
      </c>
      <c r="M382" s="388">
        <v>0.0</v>
      </c>
      <c r="N382" s="388">
        <v>0.0</v>
      </c>
      <c r="O382" s="388">
        <v>0.0</v>
      </c>
      <c r="P382" s="388">
        <v>0.0</v>
      </c>
      <c r="Q382" s="388">
        <v>0.0</v>
      </c>
      <c r="R382" s="388">
        <v>0.0</v>
      </c>
      <c r="S382" s="388"/>
      <c r="T382" s="388">
        <v>0.0</v>
      </c>
      <c r="U382" s="389">
        <v>0.0</v>
      </c>
      <c r="V382" s="387">
        <v>50.0</v>
      </c>
      <c r="W382" s="388">
        <v>70.0</v>
      </c>
      <c r="X382" s="388">
        <v>70.0</v>
      </c>
      <c r="Y382" s="388">
        <v>30.0</v>
      </c>
      <c r="Z382" s="389">
        <v>90.0</v>
      </c>
      <c r="AA382" s="305"/>
      <c r="AB382" s="306" t="s">
        <v>936</v>
      </c>
      <c r="AC382" s="306"/>
    </row>
    <row r="383">
      <c r="A383" s="306" t="s">
        <v>1392</v>
      </c>
      <c r="B383" s="424" t="s">
        <v>971</v>
      </c>
      <c r="C383" s="390">
        <f t="shared" si="1"/>
        <v>0</v>
      </c>
      <c r="D383" s="387">
        <v>19.0</v>
      </c>
      <c r="E383" s="388">
        <v>29.0</v>
      </c>
      <c r="F383" s="388">
        <v>16.0</v>
      </c>
      <c r="G383" s="388">
        <v>14.0</v>
      </c>
      <c r="H383" s="388">
        <v>9.0</v>
      </c>
      <c r="I383" s="388">
        <v>1.0</v>
      </c>
      <c r="J383" s="388">
        <v>1.0</v>
      </c>
      <c r="K383" s="389" t="s">
        <v>301</v>
      </c>
      <c r="L383" s="387">
        <v>5.0</v>
      </c>
      <c r="M383" s="388">
        <v>0.0</v>
      </c>
      <c r="N383" s="388">
        <v>0.0</v>
      </c>
      <c r="O383" s="388">
        <v>0.0</v>
      </c>
      <c r="P383" s="388">
        <v>8.0</v>
      </c>
      <c r="Q383" s="388">
        <v>10.0</v>
      </c>
      <c r="R383" s="388">
        <v>0.0</v>
      </c>
      <c r="S383" s="388"/>
      <c r="T383" s="388">
        <v>0.0</v>
      </c>
      <c r="U383" s="389">
        <v>0.0</v>
      </c>
      <c r="V383" s="387">
        <v>46.0</v>
      </c>
      <c r="W383" s="388">
        <v>50.0</v>
      </c>
      <c r="X383" s="388">
        <v>45.0</v>
      </c>
      <c r="Y383" s="388">
        <v>-12.0</v>
      </c>
      <c r="Z383" s="389">
        <v>45.0</v>
      </c>
      <c r="AA383" s="305"/>
      <c r="AB383" s="306"/>
      <c r="AC383" s="306"/>
    </row>
    <row r="384">
      <c r="A384" s="306" t="s">
        <v>1393</v>
      </c>
      <c r="B384" s="306" t="s">
        <v>1394</v>
      </c>
      <c r="C384" s="390">
        <f t="shared" si="1"/>
        <v>0.025</v>
      </c>
      <c r="D384" s="387">
        <v>111.0</v>
      </c>
      <c r="E384" s="388">
        <v>105.0</v>
      </c>
      <c r="F384" s="388">
        <v>95.0</v>
      </c>
      <c r="G384" s="388">
        <v>95.0</v>
      </c>
      <c r="H384" s="388">
        <v>95.0</v>
      </c>
      <c r="I384" s="388">
        <v>1.0</v>
      </c>
      <c r="J384" s="388">
        <v>1.0</v>
      </c>
      <c r="K384" s="389" t="s">
        <v>142</v>
      </c>
      <c r="L384" s="387">
        <v>6.0</v>
      </c>
      <c r="M384" s="388">
        <v>0.0</v>
      </c>
      <c r="N384" s="388">
        <v>0.0</v>
      </c>
      <c r="O384" s="388">
        <v>0.0</v>
      </c>
      <c r="P384" s="388">
        <v>0.0</v>
      </c>
      <c r="Q384" s="388">
        <v>0.0</v>
      </c>
      <c r="R384" s="388">
        <v>0.0</v>
      </c>
      <c r="S384" s="388"/>
      <c r="T384" s="388">
        <v>0.0</v>
      </c>
      <c r="U384" s="389"/>
      <c r="V384" s="387">
        <v>50.0</v>
      </c>
      <c r="W384" s="388">
        <v>70.0</v>
      </c>
      <c r="X384" s="388">
        <v>70.0</v>
      </c>
      <c r="Y384" s="388">
        <v>90.0</v>
      </c>
      <c r="Z384" s="389">
        <v>50.0</v>
      </c>
      <c r="AA384" s="305"/>
      <c r="AB384" s="306"/>
      <c r="AC384" s="306"/>
    </row>
    <row r="385">
      <c r="A385" s="306" t="s">
        <v>1395</v>
      </c>
      <c r="B385" s="306" t="s">
        <v>943</v>
      </c>
      <c r="C385" s="390">
        <f t="shared" si="1"/>
        <v>0.025</v>
      </c>
      <c r="D385" s="387">
        <v>154.0</v>
      </c>
      <c r="E385" s="388">
        <v>200.0</v>
      </c>
      <c r="F385" s="388">
        <v>120.0</v>
      </c>
      <c r="G385" s="388">
        <v>110.0</v>
      </c>
      <c r="H385" s="388">
        <v>90.0</v>
      </c>
      <c r="I385" s="388">
        <v>90.0</v>
      </c>
      <c r="J385" s="388">
        <v>90.0</v>
      </c>
      <c r="K385" s="389" t="s">
        <v>301</v>
      </c>
      <c r="L385" s="387">
        <v>6.0</v>
      </c>
      <c r="M385" s="388"/>
      <c r="N385" s="388"/>
      <c r="O385" s="388"/>
      <c r="P385" s="388"/>
      <c r="Q385" s="388"/>
      <c r="R385" s="388"/>
      <c r="S385" s="388"/>
      <c r="T385" s="388"/>
      <c r="U385" s="389"/>
      <c r="V385" s="387">
        <v>70.0</v>
      </c>
      <c r="W385" s="388">
        <v>70.0</v>
      </c>
      <c r="X385" s="388">
        <v>70.0</v>
      </c>
      <c r="Y385" s="388">
        <v>140.0</v>
      </c>
      <c r="Z385" s="389">
        <v>120.0</v>
      </c>
      <c r="AA385" s="305"/>
      <c r="AB385" s="306" t="s">
        <v>936</v>
      </c>
      <c r="AC385" s="306"/>
    </row>
    <row r="386">
      <c r="A386" s="306" t="s">
        <v>1396</v>
      </c>
      <c r="B386" s="306" t="s">
        <v>943</v>
      </c>
      <c r="C386" s="390">
        <f t="shared" si="1"/>
        <v>0</v>
      </c>
      <c r="D386" s="387">
        <v>132.0</v>
      </c>
      <c r="E386" s="388">
        <v>200.0</v>
      </c>
      <c r="F386" s="388">
        <v>120.0</v>
      </c>
      <c r="G386" s="388">
        <v>80.0</v>
      </c>
      <c r="H386" s="388">
        <v>70.0</v>
      </c>
      <c r="I386" s="388">
        <v>1.0</v>
      </c>
      <c r="J386" s="388">
        <v>100.0</v>
      </c>
      <c r="K386" s="389" t="s">
        <v>299</v>
      </c>
      <c r="L386" s="387">
        <v>4.0</v>
      </c>
      <c r="M386" s="388"/>
      <c r="N386" s="388"/>
      <c r="O386" s="388"/>
      <c r="P386" s="388"/>
      <c r="Q386" s="388"/>
      <c r="R386" s="388"/>
      <c r="S386" s="388"/>
      <c r="T386" s="388"/>
      <c r="U386" s="389"/>
      <c r="V386" s="387">
        <v>0.0</v>
      </c>
      <c r="W386" s="388">
        <v>0.0</v>
      </c>
      <c r="X386" s="388">
        <v>0.0</v>
      </c>
      <c r="Y386" s="388">
        <v>0.0</v>
      </c>
      <c r="Z386" s="389">
        <v>0.0</v>
      </c>
      <c r="AA386" s="305"/>
      <c r="AB386" s="306"/>
      <c r="AC386" s="306"/>
    </row>
    <row r="387">
      <c r="A387" s="405" t="s">
        <v>1397</v>
      </c>
      <c r="B387" s="405"/>
      <c r="C387" s="406">
        <f t="shared" si="1"/>
        <v>0</v>
      </c>
      <c r="D387" s="407">
        <v>223.0</v>
      </c>
      <c r="E387" s="408">
        <v>230.0</v>
      </c>
      <c r="F387" s="408">
        <v>187.0</v>
      </c>
      <c r="G387" s="408">
        <v>231.0</v>
      </c>
      <c r="H387" s="408">
        <v>120.0</v>
      </c>
      <c r="I387" s="408">
        <v>1.0</v>
      </c>
      <c r="J387" s="408">
        <v>1.0</v>
      </c>
      <c r="K387" s="409"/>
      <c r="L387" s="407"/>
      <c r="M387" s="408">
        <v>0.0</v>
      </c>
      <c r="N387" s="408">
        <v>0.0</v>
      </c>
      <c r="O387" s="408">
        <v>0.0</v>
      </c>
      <c r="P387" s="408">
        <v>0.0</v>
      </c>
      <c r="Q387" s="408">
        <v>0.0</v>
      </c>
      <c r="R387" s="408">
        <v>0.0</v>
      </c>
      <c r="S387" s="408"/>
      <c r="T387" s="408">
        <v>0.0</v>
      </c>
      <c r="U387" s="409"/>
      <c r="V387" s="407">
        <v>0.0</v>
      </c>
      <c r="W387" s="408">
        <v>0.0</v>
      </c>
      <c r="X387" s="408">
        <v>0.0</v>
      </c>
      <c r="Y387" s="408">
        <v>0.0</v>
      </c>
      <c r="Z387" s="409">
        <v>0.0</v>
      </c>
      <c r="AA387" s="410"/>
      <c r="AB387" s="405"/>
      <c r="AC387" s="405"/>
    </row>
    <row r="388">
      <c r="A388" s="405" t="s">
        <v>1398</v>
      </c>
      <c r="B388" s="405"/>
      <c r="C388" s="406">
        <f t="shared" si="1"/>
        <v>0</v>
      </c>
      <c r="D388" s="407">
        <v>223.0</v>
      </c>
      <c r="E388" s="408">
        <v>230.0</v>
      </c>
      <c r="F388" s="408">
        <v>374.0</v>
      </c>
      <c r="G388" s="408">
        <v>462.0</v>
      </c>
      <c r="H388" s="408">
        <v>120.0</v>
      </c>
      <c r="I388" s="408">
        <v>1.0</v>
      </c>
      <c r="J388" s="408">
        <v>1.0</v>
      </c>
      <c r="K388" s="409"/>
      <c r="L388" s="407"/>
      <c r="M388" s="408">
        <v>0.0</v>
      </c>
      <c r="N388" s="408">
        <v>0.0</v>
      </c>
      <c r="O388" s="408">
        <v>0.0</v>
      </c>
      <c r="P388" s="408">
        <v>0.0</v>
      </c>
      <c r="Q388" s="408">
        <v>0.0</v>
      </c>
      <c r="R388" s="408">
        <v>0.0</v>
      </c>
      <c r="S388" s="408"/>
      <c r="T388" s="408">
        <v>0.0</v>
      </c>
      <c r="U388" s="409"/>
      <c r="V388" s="407">
        <v>0.0</v>
      </c>
      <c r="W388" s="408">
        <v>0.0</v>
      </c>
      <c r="X388" s="408">
        <v>0.0</v>
      </c>
      <c r="Y388" s="408">
        <v>0.0</v>
      </c>
      <c r="Z388" s="409">
        <v>0.0</v>
      </c>
      <c r="AA388" s="410"/>
      <c r="AB388" s="405"/>
      <c r="AC388" s="405"/>
    </row>
    <row r="389">
      <c r="A389" s="405" t="s">
        <v>1399</v>
      </c>
      <c r="B389" s="405"/>
      <c r="C389" s="406">
        <f t="shared" si="1"/>
        <v>0</v>
      </c>
      <c r="D389" s="407">
        <v>343.0</v>
      </c>
      <c r="E389" s="408">
        <v>180.0</v>
      </c>
      <c r="F389" s="408">
        <v>564.0</v>
      </c>
      <c r="G389" s="408">
        <v>170.0</v>
      </c>
      <c r="H389" s="408">
        <v>240.0</v>
      </c>
      <c r="I389" s="408">
        <v>1.0</v>
      </c>
      <c r="J389" s="408">
        <v>170.0</v>
      </c>
      <c r="K389" s="409"/>
      <c r="L389" s="407"/>
      <c r="M389" s="408">
        <v>0.0</v>
      </c>
      <c r="N389" s="408">
        <v>0.0</v>
      </c>
      <c r="O389" s="408">
        <v>0.0</v>
      </c>
      <c r="P389" s="408">
        <v>0.0</v>
      </c>
      <c r="Q389" s="408">
        <v>0.0</v>
      </c>
      <c r="R389" s="408">
        <v>0.0</v>
      </c>
      <c r="S389" s="408"/>
      <c r="T389" s="408">
        <v>0.0</v>
      </c>
      <c r="U389" s="409"/>
      <c r="V389" s="407">
        <v>0.0</v>
      </c>
      <c r="W389" s="408">
        <v>0.0</v>
      </c>
      <c r="X389" s="408">
        <v>0.0</v>
      </c>
      <c r="Y389" s="408">
        <v>0.0</v>
      </c>
      <c r="Z389" s="409">
        <v>0.0</v>
      </c>
      <c r="AA389" s="410"/>
      <c r="AB389" s="405"/>
      <c r="AC389" s="405"/>
    </row>
    <row r="390">
      <c r="A390" s="405" t="s">
        <v>1400</v>
      </c>
      <c r="B390" s="405"/>
      <c r="C390" s="406">
        <f t="shared" si="1"/>
        <v>0</v>
      </c>
      <c r="D390" s="407">
        <v>600.0</v>
      </c>
      <c r="E390" s="408">
        <v>255.0</v>
      </c>
      <c r="F390" s="408">
        <v>1128.0</v>
      </c>
      <c r="G390" s="408">
        <v>340.0</v>
      </c>
      <c r="H390" s="408">
        <v>240.0</v>
      </c>
      <c r="I390" s="408">
        <v>1.0</v>
      </c>
      <c r="J390" s="408">
        <v>340.0</v>
      </c>
      <c r="K390" s="409"/>
      <c r="L390" s="407"/>
      <c r="M390" s="408">
        <v>0.0</v>
      </c>
      <c r="N390" s="408">
        <v>0.0</v>
      </c>
      <c r="O390" s="408">
        <v>0.0</v>
      </c>
      <c r="P390" s="408">
        <v>0.0</v>
      </c>
      <c r="Q390" s="408">
        <v>0.0</v>
      </c>
      <c r="R390" s="408">
        <v>0.0</v>
      </c>
      <c r="S390" s="408"/>
      <c r="T390" s="408">
        <v>0.0</v>
      </c>
      <c r="U390" s="409"/>
      <c r="V390" s="407">
        <v>0.0</v>
      </c>
      <c r="W390" s="408">
        <v>0.0</v>
      </c>
      <c r="X390" s="408">
        <v>0.0</v>
      </c>
      <c r="Y390" s="408">
        <v>0.0</v>
      </c>
      <c r="Z390" s="409">
        <v>0.0</v>
      </c>
      <c r="AA390" s="410"/>
      <c r="AB390" s="405"/>
      <c r="AC390" s="405"/>
    </row>
    <row r="391">
      <c r="A391" s="405" t="s">
        <v>1401</v>
      </c>
      <c r="B391" s="405"/>
      <c r="C391" s="406">
        <f t="shared" si="1"/>
        <v>0</v>
      </c>
      <c r="D391" s="407">
        <v>70.0</v>
      </c>
      <c r="E391" s="408">
        <v>50.0</v>
      </c>
      <c r="F391" s="408">
        <v>65.0</v>
      </c>
      <c r="G391" s="408">
        <v>65.0</v>
      </c>
      <c r="H391" s="408">
        <v>60.0</v>
      </c>
      <c r="I391" s="408">
        <v>0.0</v>
      </c>
      <c r="J391" s="408">
        <v>0.0</v>
      </c>
      <c r="K391" s="409"/>
      <c r="L391" s="407"/>
      <c r="M391" s="408">
        <v>0.0</v>
      </c>
      <c r="N391" s="408">
        <v>0.0</v>
      </c>
      <c r="O391" s="408">
        <v>0.0</v>
      </c>
      <c r="P391" s="408">
        <v>5.0</v>
      </c>
      <c r="Q391" s="408">
        <v>10.0</v>
      </c>
      <c r="R391" s="408">
        <v>0.0</v>
      </c>
      <c r="S391" s="408"/>
      <c r="T391" s="408">
        <v>0.0</v>
      </c>
      <c r="U391" s="409"/>
      <c r="V391" s="407">
        <v>10.0</v>
      </c>
      <c r="W391" s="408">
        <v>10.0</v>
      </c>
      <c r="X391" s="408">
        <v>10.0</v>
      </c>
      <c r="Y391" s="408">
        <v>-10.0</v>
      </c>
      <c r="Z391" s="409">
        <v>20.0</v>
      </c>
      <c r="AA391" s="410"/>
      <c r="AB391" s="405"/>
      <c r="AC391" s="405"/>
    </row>
    <row r="392">
      <c r="A392" s="405" t="s">
        <v>1402</v>
      </c>
      <c r="B392" s="405"/>
      <c r="C392" s="406">
        <f t="shared" si="1"/>
        <v>0</v>
      </c>
      <c r="D392" s="407">
        <v>210.0</v>
      </c>
      <c r="E392" s="408">
        <v>150.0</v>
      </c>
      <c r="F392" s="408">
        <v>195.0</v>
      </c>
      <c r="G392" s="408">
        <v>195.0</v>
      </c>
      <c r="H392" s="408">
        <v>60.0</v>
      </c>
      <c r="I392" s="408">
        <v>0.0</v>
      </c>
      <c r="J392" s="408">
        <v>0.0</v>
      </c>
      <c r="K392" s="409"/>
      <c r="L392" s="407"/>
      <c r="M392" s="408">
        <v>0.0</v>
      </c>
      <c r="N392" s="408">
        <v>0.0</v>
      </c>
      <c r="O392" s="408">
        <v>0.0</v>
      </c>
      <c r="P392" s="408">
        <v>5.0</v>
      </c>
      <c r="Q392" s="408">
        <v>10.0</v>
      </c>
      <c r="R392" s="408">
        <v>0.0</v>
      </c>
      <c r="S392" s="408"/>
      <c r="T392" s="408">
        <v>0.0</v>
      </c>
      <c r="U392" s="409"/>
      <c r="V392" s="407">
        <v>10.0</v>
      </c>
      <c r="W392" s="408">
        <v>10.0</v>
      </c>
      <c r="X392" s="408">
        <v>10.0</v>
      </c>
      <c r="Y392" s="408">
        <v>-10.0</v>
      </c>
      <c r="Z392" s="409">
        <v>20.0</v>
      </c>
      <c r="AA392" s="410"/>
      <c r="AB392" s="405"/>
      <c r="AC392" s="405"/>
    </row>
    <row r="393">
      <c r="A393" s="405" t="s">
        <v>1403</v>
      </c>
      <c r="B393" s="405"/>
      <c r="C393" s="406">
        <f t="shared" si="1"/>
        <v>0</v>
      </c>
      <c r="D393" s="407">
        <v>274.0</v>
      </c>
      <c r="E393" s="408">
        <v>90.0</v>
      </c>
      <c r="F393" s="408">
        <v>187.0</v>
      </c>
      <c r="G393" s="408">
        <v>255.0</v>
      </c>
      <c r="H393" s="408">
        <v>434.0</v>
      </c>
      <c r="I393" s="408">
        <v>1.0</v>
      </c>
      <c r="J393" s="408">
        <v>1.0</v>
      </c>
      <c r="K393" s="409"/>
      <c r="L393" s="407"/>
      <c r="M393" s="408">
        <v>0.0</v>
      </c>
      <c r="N393" s="408">
        <v>0.0</v>
      </c>
      <c r="O393" s="408">
        <v>0.0</v>
      </c>
      <c r="P393" s="408">
        <v>0.0</v>
      </c>
      <c r="Q393" s="408">
        <v>0.0</v>
      </c>
      <c r="R393" s="408">
        <v>0.0</v>
      </c>
      <c r="S393" s="408"/>
      <c r="T393" s="408">
        <v>0.0</v>
      </c>
      <c r="U393" s="409"/>
      <c r="V393" s="407">
        <v>0.0</v>
      </c>
      <c r="W393" s="408">
        <v>0.0</v>
      </c>
      <c r="X393" s="408">
        <v>0.0</v>
      </c>
      <c r="Y393" s="408">
        <v>0.0</v>
      </c>
      <c r="Z393" s="409">
        <v>0.0</v>
      </c>
      <c r="AA393" s="410"/>
      <c r="AB393" s="405"/>
      <c r="AC393" s="405"/>
    </row>
    <row r="394">
      <c r="A394" s="405" t="s">
        <v>1404</v>
      </c>
      <c r="B394" s="405"/>
      <c r="C394" s="406">
        <f t="shared" si="1"/>
        <v>0</v>
      </c>
      <c r="D394" s="407">
        <v>440.0</v>
      </c>
      <c r="E394" s="408">
        <v>180.0</v>
      </c>
      <c r="F394" s="408">
        <v>374.0</v>
      </c>
      <c r="G394" s="408">
        <v>510.0</v>
      </c>
      <c r="H394" s="408">
        <v>434.0</v>
      </c>
      <c r="I394" s="408">
        <v>1.0</v>
      </c>
      <c r="J394" s="408">
        <v>1.0</v>
      </c>
      <c r="K394" s="409"/>
      <c r="L394" s="407"/>
      <c r="M394" s="408">
        <v>0.0</v>
      </c>
      <c r="N394" s="408">
        <v>0.0</v>
      </c>
      <c r="O394" s="408">
        <v>0.0</v>
      </c>
      <c r="P394" s="408">
        <v>0.0</v>
      </c>
      <c r="Q394" s="408">
        <v>0.0</v>
      </c>
      <c r="R394" s="408">
        <v>0.0</v>
      </c>
      <c r="S394" s="408"/>
      <c r="T394" s="408">
        <v>0.0</v>
      </c>
      <c r="U394" s="409"/>
      <c r="V394" s="407">
        <v>0.0</v>
      </c>
      <c r="W394" s="408">
        <v>0.0</v>
      </c>
      <c r="X394" s="408">
        <v>0.0</v>
      </c>
      <c r="Y394" s="408">
        <v>0.0</v>
      </c>
      <c r="Z394" s="409">
        <v>0.0</v>
      </c>
      <c r="AA394" s="410"/>
      <c r="AB394" s="405"/>
      <c r="AC394" s="405"/>
    </row>
    <row r="395">
      <c r="A395" s="306" t="s">
        <v>1405</v>
      </c>
      <c r="B395" s="306" t="s">
        <v>969</v>
      </c>
      <c r="C395" s="390">
        <f t="shared" si="1"/>
        <v>0</v>
      </c>
      <c r="D395" s="387">
        <v>301.0</v>
      </c>
      <c r="E395" s="388">
        <v>240.0</v>
      </c>
      <c r="F395" s="388">
        <v>230.0</v>
      </c>
      <c r="G395" s="388">
        <v>220.0</v>
      </c>
      <c r="H395" s="388">
        <v>360.0</v>
      </c>
      <c r="I395" s="388">
        <v>1.0</v>
      </c>
      <c r="J395" s="388">
        <v>310.0</v>
      </c>
      <c r="K395" s="389" t="s">
        <v>299</v>
      </c>
      <c r="L395" s="387">
        <v>2.0</v>
      </c>
      <c r="M395" s="388">
        <v>0.0</v>
      </c>
      <c r="N395" s="388">
        <v>0.0</v>
      </c>
      <c r="O395" s="388">
        <v>0.0</v>
      </c>
      <c r="P395" s="388">
        <v>0.0</v>
      </c>
      <c r="Q395" s="388">
        <v>0.0</v>
      </c>
      <c r="R395" s="388">
        <v>0.0</v>
      </c>
      <c r="S395" s="388"/>
      <c r="T395" s="388">
        <v>0.0</v>
      </c>
      <c r="U395" s="389">
        <v>0.0</v>
      </c>
      <c r="V395" s="387">
        <v>11.0</v>
      </c>
      <c r="W395" s="388">
        <v>4.0</v>
      </c>
      <c r="X395" s="388">
        <v>9.0</v>
      </c>
      <c r="Y395" s="388">
        <v>800.0</v>
      </c>
      <c r="Z395" s="389">
        <v>900.0</v>
      </c>
      <c r="AA395" s="305"/>
      <c r="AB395" s="306"/>
      <c r="AC395" s="306"/>
    </row>
    <row r="396">
      <c r="A396" s="306" t="s">
        <v>1406</v>
      </c>
      <c r="B396" s="306" t="s">
        <v>1407</v>
      </c>
      <c r="C396" s="390">
        <f t="shared" si="1"/>
        <v>0</v>
      </c>
      <c r="D396" s="387">
        <v>16.0</v>
      </c>
      <c r="E396" s="388">
        <v>17.0</v>
      </c>
      <c r="F396" s="388">
        <v>14.0</v>
      </c>
      <c r="G396" s="388">
        <v>13.0</v>
      </c>
      <c r="H396" s="388">
        <v>12.0</v>
      </c>
      <c r="I396" s="388">
        <v>1.0</v>
      </c>
      <c r="J396" s="388">
        <v>1.0</v>
      </c>
      <c r="K396" s="389" t="s">
        <v>299</v>
      </c>
      <c r="L396" s="387">
        <v>4.0</v>
      </c>
      <c r="M396" s="388">
        <v>0.0</v>
      </c>
      <c r="N396" s="388">
        <v>0.0</v>
      </c>
      <c r="O396" s="388">
        <v>0.0</v>
      </c>
      <c r="P396" s="388">
        <v>0.0</v>
      </c>
      <c r="Q396" s="388">
        <v>0.0</v>
      </c>
      <c r="R396" s="388">
        <v>0.0</v>
      </c>
      <c r="S396" s="388"/>
      <c r="T396" s="388">
        <v>0.0</v>
      </c>
      <c r="U396" s="389">
        <v>0.0</v>
      </c>
      <c r="V396" s="387">
        <v>0.0</v>
      </c>
      <c r="W396" s="388">
        <v>0.0</v>
      </c>
      <c r="X396" s="388">
        <v>0.0</v>
      </c>
      <c r="Y396" s="388">
        <v>0.0</v>
      </c>
      <c r="Z396" s="389">
        <v>0.0</v>
      </c>
      <c r="AA396" s="305"/>
      <c r="AB396" s="306"/>
      <c r="AC396" s="306"/>
    </row>
    <row r="397">
      <c r="A397" s="306" t="s">
        <v>1408</v>
      </c>
      <c r="B397" s="306" t="s">
        <v>1409</v>
      </c>
      <c r="C397" s="390">
        <f t="shared" si="1"/>
        <v>0</v>
      </c>
      <c r="D397" s="387">
        <v>10.0</v>
      </c>
      <c r="E397" s="388">
        <v>18.0</v>
      </c>
      <c r="F397" s="388">
        <v>7.0</v>
      </c>
      <c r="G397" s="388">
        <v>5.0</v>
      </c>
      <c r="H397" s="388">
        <v>9.0</v>
      </c>
      <c r="I397" s="388">
        <v>1.0</v>
      </c>
      <c r="J397" s="388">
        <v>1.0</v>
      </c>
      <c r="K397" s="389" t="s">
        <v>300</v>
      </c>
      <c r="L397" s="387">
        <v>4.0</v>
      </c>
      <c r="M397" s="388">
        <v>0.0</v>
      </c>
      <c r="N397" s="388">
        <v>0.0</v>
      </c>
      <c r="O397" s="388">
        <v>0.0</v>
      </c>
      <c r="P397" s="388">
        <v>5.0</v>
      </c>
      <c r="Q397" s="388">
        <v>5.0</v>
      </c>
      <c r="R397" s="388">
        <v>0.0</v>
      </c>
      <c r="S397" s="388"/>
      <c r="T397" s="388">
        <v>0.0</v>
      </c>
      <c r="U397" s="389">
        <v>0.0</v>
      </c>
      <c r="V397" s="387">
        <v>2.0</v>
      </c>
      <c r="W397" s="388">
        <v>3.0</v>
      </c>
      <c r="X397" s="388">
        <v>3.0</v>
      </c>
      <c r="Y397" s="388">
        <v>0.0</v>
      </c>
      <c r="Z397" s="389">
        <v>0.0</v>
      </c>
      <c r="AA397" s="305"/>
      <c r="AB397" s="306"/>
      <c r="AC397" s="306"/>
    </row>
    <row r="398">
      <c r="A398" s="405" t="s">
        <v>1410</v>
      </c>
      <c r="B398" s="405"/>
      <c r="C398" s="406">
        <f t="shared" si="1"/>
        <v>0</v>
      </c>
      <c r="D398" s="407">
        <v>90.0</v>
      </c>
      <c r="E398" s="408">
        <v>40.0</v>
      </c>
      <c r="F398" s="408">
        <v>80.0</v>
      </c>
      <c r="G398" s="408">
        <v>120.0</v>
      </c>
      <c r="H398" s="408">
        <v>60.0</v>
      </c>
      <c r="I398" s="408">
        <v>60.0</v>
      </c>
      <c r="J398" s="408">
        <v>120.0</v>
      </c>
      <c r="K398" s="409"/>
      <c r="L398" s="407"/>
      <c r="M398" s="408"/>
      <c r="N398" s="408"/>
      <c r="O398" s="408"/>
      <c r="P398" s="408"/>
      <c r="Q398" s="408"/>
      <c r="R398" s="408"/>
      <c r="S398" s="408"/>
      <c r="T398" s="408"/>
      <c r="U398" s="409"/>
      <c r="V398" s="407">
        <v>0.0</v>
      </c>
      <c r="W398" s="408">
        <v>0.0</v>
      </c>
      <c r="X398" s="408">
        <v>0.0</v>
      </c>
      <c r="Y398" s="408">
        <v>0.0</v>
      </c>
      <c r="Z398" s="409">
        <v>0.0</v>
      </c>
      <c r="AA398" s="410"/>
      <c r="AB398" s="405"/>
      <c r="AC398" s="405"/>
    </row>
    <row r="399">
      <c r="A399" s="405" t="s">
        <v>1411</v>
      </c>
      <c r="B399" s="405"/>
      <c r="C399" s="406">
        <f t="shared" si="1"/>
        <v>0.125</v>
      </c>
      <c r="D399" s="407">
        <v>115.0</v>
      </c>
      <c r="E399" s="408">
        <v>100.0</v>
      </c>
      <c r="F399" s="408">
        <v>100.0</v>
      </c>
      <c r="G399" s="408">
        <v>100.0</v>
      </c>
      <c r="H399" s="408">
        <v>100.0</v>
      </c>
      <c r="I399" s="408">
        <v>1.0</v>
      </c>
      <c r="J399" s="408">
        <v>1.0</v>
      </c>
      <c r="K399" s="409"/>
      <c r="L399" s="407"/>
      <c r="M399" s="408">
        <v>68.0</v>
      </c>
      <c r="N399" s="408">
        <v>0.0</v>
      </c>
      <c r="O399" s="408">
        <v>82.0</v>
      </c>
      <c r="P399" s="408">
        <v>0.0</v>
      </c>
      <c r="Q399" s="408">
        <v>72.0</v>
      </c>
      <c r="R399" s="408">
        <v>0.0</v>
      </c>
      <c r="S399" s="408"/>
      <c r="T399" s="408">
        <v>0.0</v>
      </c>
      <c r="U399" s="409"/>
      <c r="V399" s="407">
        <v>221.0</v>
      </c>
      <c r="W399" s="408">
        <v>235.0</v>
      </c>
      <c r="X399" s="408">
        <v>222.0</v>
      </c>
      <c r="Y399" s="408">
        <v>0.0</v>
      </c>
      <c r="Z399" s="409">
        <v>221.0</v>
      </c>
      <c r="AA399" s="410"/>
      <c r="AB399" s="405"/>
      <c r="AC399" s="405"/>
    </row>
    <row r="400">
      <c r="A400" s="405"/>
      <c r="B400" s="405"/>
      <c r="C400" s="406">
        <f t="shared" si="1"/>
        <v>0</v>
      </c>
      <c r="D400" s="407">
        <v>141.0</v>
      </c>
      <c r="E400" s="408">
        <v>210.0</v>
      </c>
      <c r="F400" s="408">
        <v>105.0</v>
      </c>
      <c r="G400" s="408">
        <v>95.0</v>
      </c>
      <c r="H400" s="408">
        <v>95.0</v>
      </c>
      <c r="I400" s="408">
        <v>95.0</v>
      </c>
      <c r="J400" s="408">
        <v>95.0</v>
      </c>
      <c r="K400" s="409"/>
      <c r="L400" s="407"/>
      <c r="M400" s="408"/>
      <c r="N400" s="408"/>
      <c r="O400" s="408"/>
      <c r="P400" s="408"/>
      <c r="Q400" s="408">
        <v>16.0</v>
      </c>
      <c r="R400" s="408">
        <v>20.0</v>
      </c>
      <c r="S400" s="408"/>
      <c r="T400" s="408">
        <v>22.0</v>
      </c>
      <c r="U400" s="409">
        <v>16.0</v>
      </c>
      <c r="V400" s="407">
        <v>0.0</v>
      </c>
      <c r="W400" s="408">
        <v>0.0</v>
      </c>
      <c r="X400" s="408">
        <v>0.0</v>
      </c>
      <c r="Y400" s="408">
        <v>25.0</v>
      </c>
      <c r="Z400" s="409">
        <v>0.0</v>
      </c>
      <c r="AA400" s="410"/>
      <c r="AB400" s="405"/>
      <c r="AC400" s="405"/>
    </row>
    <row r="401">
      <c r="A401" s="405" t="s">
        <v>1412</v>
      </c>
      <c r="B401" s="405"/>
      <c r="C401" s="406">
        <f t="shared" si="1"/>
        <v>0</v>
      </c>
      <c r="D401" s="407">
        <v>101.0</v>
      </c>
      <c r="E401" s="408">
        <v>85.0</v>
      </c>
      <c r="F401" s="408">
        <v>90.0</v>
      </c>
      <c r="G401" s="408">
        <v>95.0</v>
      </c>
      <c r="H401" s="408">
        <v>80.0</v>
      </c>
      <c r="I401" s="408">
        <v>1.0</v>
      </c>
      <c r="J401" s="408">
        <v>1.0</v>
      </c>
      <c r="K401" s="409"/>
      <c r="L401" s="407"/>
      <c r="M401" s="408">
        <v>0.0</v>
      </c>
      <c r="N401" s="408">
        <v>0.0</v>
      </c>
      <c r="O401" s="408">
        <v>0.0</v>
      </c>
      <c r="P401" s="408">
        <v>0.0</v>
      </c>
      <c r="Q401" s="408">
        <v>0.0</v>
      </c>
      <c r="R401" s="408">
        <v>0.0</v>
      </c>
      <c r="S401" s="408"/>
      <c r="T401" s="408">
        <v>0.0</v>
      </c>
      <c r="U401" s="409"/>
      <c r="V401" s="407">
        <v>0.0</v>
      </c>
      <c r="W401" s="408">
        <v>0.0</v>
      </c>
      <c r="X401" s="408">
        <v>0.0</v>
      </c>
      <c r="Y401" s="408">
        <v>0.0</v>
      </c>
      <c r="Z401" s="409">
        <v>0.0</v>
      </c>
      <c r="AA401" s="410"/>
      <c r="AB401" s="405"/>
      <c r="AC401" s="405"/>
    </row>
    <row r="402">
      <c r="A402" s="405" t="s">
        <v>1413</v>
      </c>
      <c r="B402" s="405"/>
      <c r="C402" s="406">
        <f t="shared" si="1"/>
        <v>0</v>
      </c>
      <c r="D402" s="407">
        <v>199.0</v>
      </c>
      <c r="E402" s="408">
        <v>187.0</v>
      </c>
      <c r="F402" s="408">
        <v>200.0</v>
      </c>
      <c r="G402" s="408">
        <v>209.0</v>
      </c>
      <c r="H402" s="408">
        <v>80.0</v>
      </c>
      <c r="I402" s="408">
        <v>1.0</v>
      </c>
      <c r="J402" s="408">
        <v>1.0</v>
      </c>
      <c r="K402" s="409"/>
      <c r="L402" s="407"/>
      <c r="M402" s="408">
        <v>0.0</v>
      </c>
      <c r="N402" s="408">
        <v>0.0</v>
      </c>
      <c r="O402" s="408">
        <v>0.0</v>
      </c>
      <c r="P402" s="408">
        <v>0.0</v>
      </c>
      <c r="Q402" s="408">
        <v>0.0</v>
      </c>
      <c r="R402" s="408">
        <v>0.0</v>
      </c>
      <c r="S402" s="408"/>
      <c r="T402" s="408">
        <v>0.0</v>
      </c>
      <c r="U402" s="409"/>
      <c r="V402" s="407">
        <v>0.0</v>
      </c>
      <c r="W402" s="408">
        <v>0.0</v>
      </c>
      <c r="X402" s="408">
        <v>0.0</v>
      </c>
      <c r="Y402" s="408">
        <v>0.0</v>
      </c>
      <c r="Z402" s="409">
        <v>0.0</v>
      </c>
      <c r="AA402" s="410"/>
      <c r="AB402" s="405"/>
      <c r="AC402" s="405"/>
    </row>
    <row r="403">
      <c r="A403" s="405" t="s">
        <v>1414</v>
      </c>
      <c r="B403" s="405"/>
      <c r="C403" s="406">
        <f t="shared" si="1"/>
        <v>0</v>
      </c>
      <c r="D403" s="407">
        <v>95.0</v>
      </c>
      <c r="E403" s="408">
        <v>100.0</v>
      </c>
      <c r="F403" s="408">
        <v>70.0</v>
      </c>
      <c r="G403" s="408">
        <v>70.0</v>
      </c>
      <c r="H403" s="408">
        <v>100.0</v>
      </c>
      <c r="I403" s="408">
        <v>1.0</v>
      </c>
      <c r="J403" s="408">
        <v>1.0</v>
      </c>
      <c r="K403" s="409"/>
      <c r="L403" s="407"/>
      <c r="M403" s="408">
        <v>0.0</v>
      </c>
      <c r="N403" s="408">
        <v>0.0</v>
      </c>
      <c r="O403" s="408">
        <v>0.0</v>
      </c>
      <c r="P403" s="408">
        <v>0.0</v>
      </c>
      <c r="Q403" s="408">
        <v>0.0</v>
      </c>
      <c r="R403" s="408">
        <v>0.0</v>
      </c>
      <c r="S403" s="408"/>
      <c r="T403" s="408">
        <v>0.0</v>
      </c>
      <c r="U403" s="409"/>
      <c r="V403" s="407">
        <v>5.0</v>
      </c>
      <c r="W403" s="408">
        <v>5.0</v>
      </c>
      <c r="X403" s="408">
        <v>5.0</v>
      </c>
      <c r="Y403" s="408">
        <v>-5.0</v>
      </c>
      <c r="Z403" s="409">
        <v>5.0</v>
      </c>
      <c r="AA403" s="410"/>
      <c r="AB403" s="405" t="s">
        <v>929</v>
      </c>
      <c r="AC403" s="405"/>
    </row>
    <row r="404">
      <c r="A404" s="405" t="s">
        <v>1415</v>
      </c>
      <c r="B404" s="405"/>
      <c r="C404" s="406">
        <f t="shared" si="1"/>
        <v>0</v>
      </c>
      <c r="D404" s="407">
        <v>194.0</v>
      </c>
      <c r="E404" s="408">
        <v>240.0</v>
      </c>
      <c r="F404" s="408">
        <v>168.0</v>
      </c>
      <c r="G404" s="408">
        <v>168.0</v>
      </c>
      <c r="H404" s="408">
        <v>100.0</v>
      </c>
      <c r="I404" s="408">
        <v>1.0</v>
      </c>
      <c r="J404" s="408">
        <v>1.0</v>
      </c>
      <c r="K404" s="409"/>
      <c r="L404" s="407"/>
      <c r="M404" s="408">
        <v>0.0</v>
      </c>
      <c r="N404" s="408">
        <v>0.0</v>
      </c>
      <c r="O404" s="408">
        <v>0.0</v>
      </c>
      <c r="P404" s="408">
        <v>0.0</v>
      </c>
      <c r="Q404" s="408">
        <v>0.0</v>
      </c>
      <c r="R404" s="408">
        <v>0.0</v>
      </c>
      <c r="S404" s="408"/>
      <c r="T404" s="408">
        <v>0.0</v>
      </c>
      <c r="U404" s="409"/>
      <c r="V404" s="407">
        <v>5.0</v>
      </c>
      <c r="W404" s="408">
        <v>5.0</v>
      </c>
      <c r="X404" s="408">
        <v>5.0</v>
      </c>
      <c r="Y404" s="408">
        <v>-5.0</v>
      </c>
      <c r="Z404" s="409">
        <v>5.0</v>
      </c>
      <c r="AA404" s="410"/>
      <c r="AB404" s="405" t="s">
        <v>929</v>
      </c>
      <c r="AC404" s="405"/>
    </row>
    <row r="405">
      <c r="A405" s="405" t="s">
        <v>1416</v>
      </c>
      <c r="B405" s="405"/>
      <c r="C405" s="406">
        <f t="shared" si="1"/>
        <v>0.075</v>
      </c>
      <c r="D405" s="407">
        <v>113.0</v>
      </c>
      <c r="E405" s="408">
        <v>140.0</v>
      </c>
      <c r="F405" s="408">
        <v>70.0</v>
      </c>
      <c r="G405" s="408">
        <v>140.0</v>
      </c>
      <c r="H405" s="408">
        <v>40.0</v>
      </c>
      <c r="I405" s="408">
        <v>0.0</v>
      </c>
      <c r="J405" s="408">
        <v>0.0</v>
      </c>
      <c r="K405" s="409"/>
      <c r="L405" s="407"/>
      <c r="M405" s="408">
        <v>0.0</v>
      </c>
      <c r="N405" s="408">
        <v>0.0</v>
      </c>
      <c r="O405" s="408">
        <v>0.0</v>
      </c>
      <c r="P405" s="408">
        <v>60.0</v>
      </c>
      <c r="Q405" s="408">
        <v>100.0</v>
      </c>
      <c r="R405" s="408">
        <v>0.0</v>
      </c>
      <c r="S405" s="408"/>
      <c r="T405" s="408">
        <v>0.0</v>
      </c>
      <c r="U405" s="409"/>
      <c r="V405" s="407">
        <v>35.0</v>
      </c>
      <c r="W405" s="408">
        <v>60.0</v>
      </c>
      <c r="X405" s="408">
        <v>35.0</v>
      </c>
      <c r="Y405" s="408">
        <v>200.0</v>
      </c>
      <c r="Z405" s="409">
        <v>200.0</v>
      </c>
      <c r="AA405" s="410"/>
      <c r="AB405" s="405"/>
      <c r="AC405" s="405"/>
    </row>
    <row r="406">
      <c r="A406" s="405" t="s">
        <v>1417</v>
      </c>
      <c r="B406" s="405"/>
      <c r="C406" s="406">
        <f t="shared" si="1"/>
        <v>0</v>
      </c>
      <c r="D406" s="407">
        <v>145.0</v>
      </c>
      <c r="E406" s="408">
        <v>142.0</v>
      </c>
      <c r="F406" s="408">
        <v>124.0</v>
      </c>
      <c r="G406" s="408">
        <v>118.0</v>
      </c>
      <c r="H406" s="408">
        <v>125.0</v>
      </c>
      <c r="I406" s="408">
        <v>50.0</v>
      </c>
      <c r="J406" s="408">
        <v>50.0</v>
      </c>
      <c r="K406" s="409"/>
      <c r="L406" s="407"/>
      <c r="M406" s="408">
        <v>0.0</v>
      </c>
      <c r="N406" s="408">
        <v>0.0</v>
      </c>
      <c r="O406" s="408">
        <v>0.0</v>
      </c>
      <c r="P406" s="408">
        <v>0.0</v>
      </c>
      <c r="Q406" s="408">
        <v>14.0</v>
      </c>
      <c r="R406" s="408">
        <v>0.0</v>
      </c>
      <c r="S406" s="408"/>
      <c r="T406" s="408">
        <v>0.0</v>
      </c>
      <c r="U406" s="409"/>
      <c r="V406" s="407">
        <v>0.0</v>
      </c>
      <c r="W406" s="408">
        <v>0.0</v>
      </c>
      <c r="X406" s="408">
        <v>0.0</v>
      </c>
      <c r="Y406" s="408">
        <v>-5.0</v>
      </c>
      <c r="Z406" s="409">
        <v>0.0</v>
      </c>
      <c r="AA406" s="410"/>
      <c r="AB406" s="405" t="s">
        <v>931</v>
      </c>
      <c r="AC406" s="405"/>
    </row>
    <row r="407">
      <c r="A407" s="306" t="s">
        <v>1418</v>
      </c>
      <c r="B407" s="424" t="s">
        <v>986</v>
      </c>
      <c r="C407" s="390">
        <f t="shared" si="1"/>
        <v>0</v>
      </c>
      <c r="D407" s="387">
        <v>83.0</v>
      </c>
      <c r="E407" s="388">
        <v>76.0</v>
      </c>
      <c r="F407" s="388">
        <v>53.0</v>
      </c>
      <c r="G407" s="388">
        <v>83.0</v>
      </c>
      <c r="H407" s="388">
        <v>83.0</v>
      </c>
      <c r="I407" s="388">
        <v>1.0</v>
      </c>
      <c r="J407" s="388">
        <v>1.0</v>
      </c>
      <c r="K407" s="389" t="s">
        <v>300</v>
      </c>
      <c r="L407" s="387">
        <v>4.0</v>
      </c>
      <c r="M407" s="388">
        <v>0.0</v>
      </c>
      <c r="N407" s="388">
        <v>0.0</v>
      </c>
      <c r="O407" s="388">
        <v>0.0</v>
      </c>
      <c r="P407" s="388">
        <v>0.0</v>
      </c>
      <c r="Q407" s="388">
        <v>0.0</v>
      </c>
      <c r="R407" s="388">
        <v>0.0</v>
      </c>
      <c r="S407" s="388"/>
      <c r="T407" s="388">
        <v>0.0</v>
      </c>
      <c r="U407" s="389">
        <v>0.0</v>
      </c>
      <c r="V407" s="387">
        <v>0.0</v>
      </c>
      <c r="W407" s="388">
        <v>20.0</v>
      </c>
      <c r="X407" s="388">
        <v>20.0</v>
      </c>
      <c r="Y407" s="388">
        <v>0.0</v>
      </c>
      <c r="Z407" s="389">
        <v>0.0</v>
      </c>
      <c r="AA407" s="305"/>
      <c r="AB407" s="306" t="s">
        <v>1238</v>
      </c>
      <c r="AC407" s="306"/>
    </row>
    <row r="408">
      <c r="A408" s="306" t="s">
        <v>1419</v>
      </c>
      <c r="B408" s="424" t="s">
        <v>986</v>
      </c>
      <c r="C408" s="390">
        <f t="shared" si="1"/>
        <v>0</v>
      </c>
      <c r="D408" s="387">
        <v>85.0</v>
      </c>
      <c r="E408" s="388">
        <v>77.0</v>
      </c>
      <c r="F408" s="388">
        <v>54.0</v>
      </c>
      <c r="G408" s="388">
        <v>84.0</v>
      </c>
      <c r="H408" s="388">
        <v>84.0</v>
      </c>
      <c r="I408" s="388">
        <v>1.0</v>
      </c>
      <c r="J408" s="388">
        <v>1.0</v>
      </c>
      <c r="K408" s="389" t="s">
        <v>300</v>
      </c>
      <c r="L408" s="387">
        <v>4.0</v>
      </c>
      <c r="M408" s="388">
        <v>0.0</v>
      </c>
      <c r="N408" s="388">
        <v>0.0</v>
      </c>
      <c r="O408" s="388">
        <v>0.0</v>
      </c>
      <c r="P408" s="388">
        <v>0.0</v>
      </c>
      <c r="Q408" s="388">
        <v>0.0</v>
      </c>
      <c r="R408" s="388">
        <v>0.0</v>
      </c>
      <c r="S408" s="388"/>
      <c r="T408" s="388">
        <v>0.0</v>
      </c>
      <c r="U408" s="389">
        <v>0.0</v>
      </c>
      <c r="V408" s="387">
        <v>0.0</v>
      </c>
      <c r="W408" s="388">
        <v>20.0</v>
      </c>
      <c r="X408" s="388">
        <v>20.0</v>
      </c>
      <c r="Y408" s="388">
        <v>0.0</v>
      </c>
      <c r="Z408" s="389">
        <v>0.0</v>
      </c>
      <c r="AA408" s="305"/>
      <c r="AB408" s="306" t="s">
        <v>1238</v>
      </c>
      <c r="AC408" s="306"/>
    </row>
    <row r="409">
      <c r="A409" s="306" t="s">
        <v>1420</v>
      </c>
      <c r="B409" s="424" t="s">
        <v>986</v>
      </c>
      <c r="C409" s="390">
        <f t="shared" si="1"/>
        <v>0</v>
      </c>
      <c r="D409" s="387">
        <v>87.0</v>
      </c>
      <c r="E409" s="388">
        <v>79.0</v>
      </c>
      <c r="F409" s="388">
        <v>56.0</v>
      </c>
      <c r="G409" s="388">
        <v>86.0</v>
      </c>
      <c r="H409" s="388">
        <v>86.0</v>
      </c>
      <c r="I409" s="388">
        <v>1.0</v>
      </c>
      <c r="J409" s="388">
        <v>1.0</v>
      </c>
      <c r="K409" s="389" t="s">
        <v>300</v>
      </c>
      <c r="L409" s="387">
        <v>4.0</v>
      </c>
      <c r="M409" s="388">
        <v>0.0</v>
      </c>
      <c r="N409" s="388">
        <v>0.0</v>
      </c>
      <c r="O409" s="388">
        <v>0.0</v>
      </c>
      <c r="P409" s="388">
        <v>0.0</v>
      </c>
      <c r="Q409" s="388">
        <v>0.0</v>
      </c>
      <c r="R409" s="388">
        <v>0.0</v>
      </c>
      <c r="S409" s="388"/>
      <c r="T409" s="388">
        <v>0.0</v>
      </c>
      <c r="U409" s="389">
        <v>0.0</v>
      </c>
      <c r="V409" s="387">
        <v>0.0</v>
      </c>
      <c r="W409" s="388">
        <v>20.0</v>
      </c>
      <c r="X409" s="388">
        <v>20.0</v>
      </c>
      <c r="Y409" s="388">
        <v>0.0</v>
      </c>
      <c r="Z409" s="389">
        <v>0.0</v>
      </c>
      <c r="AA409" s="305"/>
      <c r="AB409" s="306" t="s">
        <v>1238</v>
      </c>
      <c r="AC409" s="306"/>
    </row>
    <row r="410">
      <c r="A410" s="306" t="s">
        <v>1421</v>
      </c>
      <c r="B410" s="424" t="s">
        <v>954</v>
      </c>
      <c r="C410" s="390">
        <f t="shared" si="1"/>
        <v>0</v>
      </c>
      <c r="D410" s="387">
        <v>89.0</v>
      </c>
      <c r="E410" s="388">
        <v>100.0</v>
      </c>
      <c r="F410" s="388">
        <v>75.0</v>
      </c>
      <c r="G410" s="388">
        <v>85.0</v>
      </c>
      <c r="H410" s="388">
        <v>50.0</v>
      </c>
      <c r="I410" s="388">
        <v>1.0</v>
      </c>
      <c r="J410" s="388">
        <v>1.0</v>
      </c>
      <c r="K410" s="389" t="s">
        <v>305</v>
      </c>
      <c r="L410" s="387">
        <v>4.0</v>
      </c>
      <c r="M410" s="388">
        <v>0.0</v>
      </c>
      <c r="N410" s="388">
        <v>0.0</v>
      </c>
      <c r="O410" s="388">
        <v>0.0</v>
      </c>
      <c r="P410" s="388">
        <v>0.0</v>
      </c>
      <c r="Q410" s="388">
        <v>0.0</v>
      </c>
      <c r="R410" s="388">
        <v>0.0</v>
      </c>
      <c r="S410" s="388"/>
      <c r="T410" s="388">
        <v>0.0</v>
      </c>
      <c r="U410" s="389">
        <v>0.0</v>
      </c>
      <c r="V410" s="387">
        <v>15.0</v>
      </c>
      <c r="W410" s="388">
        <v>15.0</v>
      </c>
      <c r="X410" s="388">
        <v>15.0</v>
      </c>
      <c r="Y410" s="388">
        <v>0.0</v>
      </c>
      <c r="Z410" s="389">
        <v>15.0</v>
      </c>
      <c r="AA410" s="305"/>
      <c r="AB410" s="306" t="s">
        <v>929</v>
      </c>
      <c r="AC410" s="306"/>
    </row>
    <row r="411">
      <c r="A411" s="306" t="s">
        <v>1422</v>
      </c>
      <c r="B411" s="306" t="s">
        <v>1200</v>
      </c>
      <c r="C411" s="390">
        <f t="shared" si="1"/>
        <v>0.575</v>
      </c>
      <c r="D411" s="387">
        <v>1400.0</v>
      </c>
      <c r="E411" s="388">
        <v>1200.0</v>
      </c>
      <c r="F411" s="388">
        <v>350.0</v>
      </c>
      <c r="G411" s="388">
        <v>600.0</v>
      </c>
      <c r="H411" s="388">
        <v>260.0</v>
      </c>
      <c r="I411" s="388">
        <v>150.0</v>
      </c>
      <c r="J411" s="388">
        <v>400.0</v>
      </c>
      <c r="K411" s="389" t="s">
        <v>299</v>
      </c>
      <c r="L411" s="387">
        <v>4.0</v>
      </c>
      <c r="M411" s="388"/>
      <c r="N411" s="388"/>
      <c r="O411" s="388">
        <v>300.0</v>
      </c>
      <c r="P411" s="388"/>
      <c r="Q411" s="388">
        <v>200.0</v>
      </c>
      <c r="R411" s="388">
        <v>550.0</v>
      </c>
      <c r="S411" s="388">
        <v>450.0</v>
      </c>
      <c r="T411" s="388">
        <v>550.0</v>
      </c>
      <c r="U411" s="389">
        <v>200.0</v>
      </c>
      <c r="V411" s="387">
        <v>0.0</v>
      </c>
      <c r="W411" s="388">
        <v>0.0</v>
      </c>
      <c r="X411" s="388">
        <v>0.0</v>
      </c>
      <c r="Y411" s="388">
        <v>350.0</v>
      </c>
      <c r="Z411" s="389">
        <v>100.0</v>
      </c>
      <c r="AA411" s="305"/>
      <c r="AB411" s="306"/>
      <c r="AC411" s="306"/>
    </row>
    <row r="412">
      <c r="A412" s="405" t="s">
        <v>1423</v>
      </c>
      <c r="B412" s="405" t="s">
        <v>1424</v>
      </c>
      <c r="C412" s="406">
        <f t="shared" si="1"/>
        <v>0</v>
      </c>
      <c r="D412" s="407">
        <v>22.0</v>
      </c>
      <c r="E412" s="408">
        <v>10.0</v>
      </c>
      <c r="F412" s="408">
        <v>20.0</v>
      </c>
      <c r="G412" s="408">
        <v>30.0</v>
      </c>
      <c r="H412" s="408">
        <v>15.0</v>
      </c>
      <c r="I412" s="408">
        <v>15.0</v>
      </c>
      <c r="J412" s="408">
        <v>30.0</v>
      </c>
      <c r="K412" s="409"/>
      <c r="L412" s="407"/>
      <c r="M412" s="408"/>
      <c r="N412" s="408"/>
      <c r="O412" s="408"/>
      <c r="P412" s="408"/>
      <c r="Q412" s="408"/>
      <c r="R412" s="408"/>
      <c r="S412" s="408"/>
      <c r="T412" s="408"/>
      <c r="U412" s="409"/>
      <c r="V412" s="407">
        <v>0.0</v>
      </c>
      <c r="W412" s="408">
        <v>0.0</v>
      </c>
      <c r="X412" s="408">
        <v>0.0</v>
      </c>
      <c r="Y412" s="408">
        <v>0.0</v>
      </c>
      <c r="Z412" s="409">
        <v>0.0</v>
      </c>
      <c r="AA412" s="410"/>
      <c r="AB412" s="405"/>
      <c r="AC412" s="405"/>
    </row>
    <row r="413">
      <c r="A413" s="405" t="s">
        <v>1425</v>
      </c>
      <c r="B413" s="405" t="s">
        <v>1424</v>
      </c>
      <c r="C413" s="406">
        <f t="shared" si="1"/>
        <v>0</v>
      </c>
      <c r="D413" s="407">
        <v>45.0</v>
      </c>
      <c r="E413" s="408">
        <v>20.0</v>
      </c>
      <c r="F413" s="408">
        <v>40.0</v>
      </c>
      <c r="G413" s="408">
        <v>60.0</v>
      </c>
      <c r="H413" s="408">
        <v>30.0</v>
      </c>
      <c r="I413" s="408">
        <v>30.0</v>
      </c>
      <c r="J413" s="408">
        <v>60.0</v>
      </c>
      <c r="K413" s="409"/>
      <c r="L413" s="407"/>
      <c r="M413" s="408"/>
      <c r="N413" s="408"/>
      <c r="O413" s="408"/>
      <c r="P413" s="408"/>
      <c r="Q413" s="408"/>
      <c r="R413" s="408"/>
      <c r="S413" s="408"/>
      <c r="T413" s="408"/>
      <c r="U413" s="409"/>
      <c r="V413" s="407">
        <v>0.0</v>
      </c>
      <c r="W413" s="408">
        <v>0.0</v>
      </c>
      <c r="X413" s="408">
        <v>0.0</v>
      </c>
      <c r="Y413" s="408">
        <v>0.0</v>
      </c>
      <c r="Z413" s="409">
        <v>0.0</v>
      </c>
      <c r="AA413" s="410"/>
      <c r="AB413" s="405"/>
      <c r="AC413" s="405"/>
    </row>
    <row r="414">
      <c r="A414" s="405" t="s">
        <v>1426</v>
      </c>
      <c r="B414" s="405" t="s">
        <v>1424</v>
      </c>
      <c r="C414" s="406">
        <f t="shared" si="1"/>
        <v>0</v>
      </c>
      <c r="D414" s="407">
        <v>22.0</v>
      </c>
      <c r="E414" s="408">
        <v>10.0</v>
      </c>
      <c r="F414" s="408">
        <v>20.0</v>
      </c>
      <c r="G414" s="408">
        <v>30.0</v>
      </c>
      <c r="H414" s="408">
        <v>15.0</v>
      </c>
      <c r="I414" s="408">
        <v>15.0</v>
      </c>
      <c r="J414" s="408">
        <v>30.0</v>
      </c>
      <c r="K414" s="409"/>
      <c r="L414" s="407"/>
      <c r="M414" s="408"/>
      <c r="N414" s="408"/>
      <c r="O414" s="408"/>
      <c r="P414" s="408"/>
      <c r="Q414" s="408"/>
      <c r="R414" s="408"/>
      <c r="S414" s="408"/>
      <c r="T414" s="408"/>
      <c r="U414" s="409"/>
      <c r="V414" s="407">
        <v>0.0</v>
      </c>
      <c r="W414" s="408">
        <v>0.0</v>
      </c>
      <c r="X414" s="408">
        <v>0.0</v>
      </c>
      <c r="Y414" s="408">
        <v>0.0</v>
      </c>
      <c r="Z414" s="409">
        <v>0.0</v>
      </c>
      <c r="AA414" s="410"/>
      <c r="AB414" s="405"/>
      <c r="AC414" s="405"/>
    </row>
    <row r="415">
      <c r="A415" s="405" t="s">
        <v>1427</v>
      </c>
      <c r="B415" s="405" t="s">
        <v>1424</v>
      </c>
      <c r="C415" s="406">
        <f t="shared" si="1"/>
        <v>0</v>
      </c>
      <c r="D415" s="407">
        <v>702.0</v>
      </c>
      <c r="E415" s="408">
        <v>250.0</v>
      </c>
      <c r="F415" s="408">
        <v>640.0</v>
      </c>
      <c r="G415" s="408">
        <v>960.0</v>
      </c>
      <c r="H415" s="408">
        <v>480.0</v>
      </c>
      <c r="I415" s="408">
        <v>480.0</v>
      </c>
      <c r="J415" s="408">
        <v>960.0</v>
      </c>
      <c r="K415" s="409"/>
      <c r="L415" s="407"/>
      <c r="M415" s="408">
        <v>0.0</v>
      </c>
      <c r="N415" s="408">
        <v>0.0</v>
      </c>
      <c r="O415" s="408">
        <v>0.0</v>
      </c>
      <c r="P415" s="408">
        <v>0.0</v>
      </c>
      <c r="Q415" s="408">
        <v>0.0</v>
      </c>
      <c r="R415" s="408">
        <v>60.0</v>
      </c>
      <c r="S415" s="408"/>
      <c r="T415" s="408">
        <v>0.0</v>
      </c>
      <c r="U415" s="409"/>
      <c r="V415" s="407">
        <v>0.0</v>
      </c>
      <c r="W415" s="408">
        <v>0.0</v>
      </c>
      <c r="X415" s="408">
        <v>0.0</v>
      </c>
      <c r="Y415" s="408">
        <v>0.0</v>
      </c>
      <c r="Z415" s="409">
        <v>0.0</v>
      </c>
      <c r="AA415" s="410"/>
      <c r="AB415" s="405"/>
      <c r="AC415" s="405"/>
    </row>
    <row r="416">
      <c r="A416" s="306" t="s">
        <v>1428</v>
      </c>
      <c r="B416" s="306" t="s">
        <v>1429</v>
      </c>
      <c r="C416" s="390">
        <f t="shared" si="1"/>
        <v>0</v>
      </c>
      <c r="D416" s="387">
        <v>74.0</v>
      </c>
      <c r="E416" s="388">
        <v>80.0</v>
      </c>
      <c r="F416" s="388">
        <v>60.0</v>
      </c>
      <c r="G416" s="388">
        <v>60.0</v>
      </c>
      <c r="H416" s="388">
        <v>60.0</v>
      </c>
      <c r="I416" s="388">
        <v>80.0</v>
      </c>
      <c r="J416" s="388">
        <v>1.0</v>
      </c>
      <c r="K416" s="389" t="s">
        <v>299</v>
      </c>
      <c r="L416" s="387">
        <v>5.0</v>
      </c>
      <c r="M416" s="388">
        <v>0.0</v>
      </c>
      <c r="N416" s="388">
        <v>0.0</v>
      </c>
      <c r="O416" s="388">
        <v>0.0</v>
      </c>
      <c r="P416" s="388">
        <v>0.0</v>
      </c>
      <c r="Q416" s="388">
        <v>0.0</v>
      </c>
      <c r="R416" s="388">
        <v>0.0</v>
      </c>
      <c r="S416" s="388"/>
      <c r="T416" s="388">
        <v>0.0</v>
      </c>
      <c r="U416" s="389">
        <v>0.0</v>
      </c>
      <c r="V416" s="387">
        <v>0.0</v>
      </c>
      <c r="W416" s="388">
        <v>0.0</v>
      </c>
      <c r="X416" s="388">
        <v>0.0</v>
      </c>
      <c r="Y416" s="388">
        <v>0.0</v>
      </c>
      <c r="Z416" s="389">
        <v>0.0</v>
      </c>
      <c r="AA416" s="305"/>
      <c r="AB416" s="306"/>
      <c r="AC416" s="306"/>
    </row>
    <row r="417">
      <c r="A417" s="306" t="s">
        <v>1430</v>
      </c>
      <c r="B417" s="306" t="s">
        <v>1429</v>
      </c>
      <c r="C417" s="390">
        <f t="shared" si="1"/>
        <v>0</v>
      </c>
      <c r="D417" s="387">
        <v>149.0</v>
      </c>
      <c r="E417" s="388">
        <v>140.0</v>
      </c>
      <c r="F417" s="388">
        <v>120.0</v>
      </c>
      <c r="G417" s="388">
        <v>140.0</v>
      </c>
      <c r="H417" s="388">
        <v>120.0</v>
      </c>
      <c r="I417" s="388">
        <v>40.0</v>
      </c>
      <c r="J417" s="388">
        <v>1.0</v>
      </c>
      <c r="K417" s="389" t="s">
        <v>299</v>
      </c>
      <c r="L417" s="387">
        <v>4.0</v>
      </c>
      <c r="M417" s="388">
        <v>0.0</v>
      </c>
      <c r="N417" s="388">
        <v>0.0</v>
      </c>
      <c r="O417" s="388">
        <v>0.0</v>
      </c>
      <c r="P417" s="388">
        <v>0.0</v>
      </c>
      <c r="Q417" s="388">
        <v>0.0</v>
      </c>
      <c r="R417" s="388">
        <v>0.0</v>
      </c>
      <c r="S417" s="388"/>
      <c r="T417" s="388">
        <v>0.0</v>
      </c>
      <c r="U417" s="389">
        <v>0.0</v>
      </c>
      <c r="V417" s="387">
        <v>0.0</v>
      </c>
      <c r="W417" s="388">
        <v>0.0</v>
      </c>
      <c r="X417" s="388">
        <v>0.0</v>
      </c>
      <c r="Y417" s="388">
        <v>0.0</v>
      </c>
      <c r="Z417" s="389">
        <v>0.0</v>
      </c>
      <c r="AA417" s="305"/>
      <c r="AB417" s="306"/>
      <c r="AC417" s="306"/>
    </row>
    <row r="418">
      <c r="A418" s="306" t="s">
        <v>1431</v>
      </c>
      <c r="B418" s="306" t="s">
        <v>1429</v>
      </c>
      <c r="C418" s="390">
        <f t="shared" si="1"/>
        <v>0</v>
      </c>
      <c r="D418" s="387">
        <v>133.0</v>
      </c>
      <c r="E418" s="388">
        <v>120.0</v>
      </c>
      <c r="F418" s="388">
        <v>140.0</v>
      </c>
      <c r="G418" s="388">
        <v>100.0</v>
      </c>
      <c r="H418" s="388">
        <v>100.0</v>
      </c>
      <c r="I418" s="388">
        <v>40.0</v>
      </c>
      <c r="J418" s="388">
        <v>120.0</v>
      </c>
      <c r="K418" s="389" t="s">
        <v>299</v>
      </c>
      <c r="L418" s="387">
        <v>4.0</v>
      </c>
      <c r="M418" s="388">
        <v>0.0</v>
      </c>
      <c r="N418" s="388">
        <v>0.0</v>
      </c>
      <c r="O418" s="388">
        <v>0.0</v>
      </c>
      <c r="P418" s="388">
        <v>0.0</v>
      </c>
      <c r="Q418" s="388">
        <v>0.0</v>
      </c>
      <c r="R418" s="388">
        <v>0.0</v>
      </c>
      <c r="S418" s="388"/>
      <c r="T418" s="388">
        <v>0.0</v>
      </c>
      <c r="U418" s="389">
        <v>0.0</v>
      </c>
      <c r="V418" s="387">
        <v>0.0</v>
      </c>
      <c r="W418" s="388">
        <v>0.0</v>
      </c>
      <c r="X418" s="388">
        <v>0.0</v>
      </c>
      <c r="Y418" s="388">
        <v>0.0</v>
      </c>
      <c r="Z418" s="389">
        <v>0.0</v>
      </c>
      <c r="AA418" s="305"/>
      <c r="AB418" s="306"/>
      <c r="AC418" s="306"/>
    </row>
    <row r="419">
      <c r="A419" s="306" t="s">
        <v>1432</v>
      </c>
      <c r="B419" s="306" t="s">
        <v>1433</v>
      </c>
      <c r="C419" s="390">
        <f t="shared" si="1"/>
        <v>0</v>
      </c>
      <c r="D419" s="387">
        <v>15.0</v>
      </c>
      <c r="E419" s="388">
        <v>19.0</v>
      </c>
      <c r="F419" s="388">
        <v>11.0</v>
      </c>
      <c r="G419" s="388">
        <v>13.0</v>
      </c>
      <c r="H419" s="388">
        <v>13.0</v>
      </c>
      <c r="I419" s="388">
        <v>1.0</v>
      </c>
      <c r="J419" s="388">
        <v>1.0</v>
      </c>
      <c r="K419" s="389" t="s">
        <v>300</v>
      </c>
      <c r="L419" s="387">
        <v>4.0</v>
      </c>
      <c r="M419" s="388">
        <v>0.0</v>
      </c>
      <c r="N419" s="388">
        <v>0.0</v>
      </c>
      <c r="O419" s="388">
        <v>0.0</v>
      </c>
      <c r="P419" s="388">
        <v>0.0</v>
      </c>
      <c r="Q419" s="388">
        <v>0.0</v>
      </c>
      <c r="R419" s="388">
        <v>0.0</v>
      </c>
      <c r="S419" s="388"/>
      <c r="T419" s="388">
        <v>0.0</v>
      </c>
      <c r="U419" s="389">
        <v>0.0</v>
      </c>
      <c r="V419" s="387">
        <v>0.0</v>
      </c>
      <c r="W419" s="388">
        <v>0.0</v>
      </c>
      <c r="X419" s="388">
        <v>0.0</v>
      </c>
      <c r="Y419" s="388">
        <v>0.0</v>
      </c>
      <c r="Z419" s="389">
        <v>0.0</v>
      </c>
      <c r="AA419" s="305"/>
      <c r="AB419" s="306"/>
      <c r="AC419" s="306"/>
    </row>
    <row r="420">
      <c r="A420" s="405" t="s">
        <v>1434</v>
      </c>
      <c r="B420" s="405"/>
      <c r="C420" s="406">
        <f t="shared" si="1"/>
        <v>0.525</v>
      </c>
      <c r="D420" s="407">
        <v>464.0</v>
      </c>
      <c r="E420" s="408">
        <v>255.0</v>
      </c>
      <c r="F420" s="408">
        <v>470.0</v>
      </c>
      <c r="G420" s="408">
        <v>470.0</v>
      </c>
      <c r="H420" s="408">
        <v>490.0</v>
      </c>
      <c r="I420" s="408">
        <v>150.0</v>
      </c>
      <c r="J420" s="408">
        <v>1.0</v>
      </c>
      <c r="K420" s="409"/>
      <c r="L420" s="407"/>
      <c r="M420" s="408">
        <v>0.0</v>
      </c>
      <c r="N420" s="408">
        <v>0.0</v>
      </c>
      <c r="O420" s="408">
        <v>0.0</v>
      </c>
      <c r="P420" s="408">
        <v>0.0</v>
      </c>
      <c r="Q420" s="408">
        <v>0.0</v>
      </c>
      <c r="R420" s="408">
        <v>0.0</v>
      </c>
      <c r="S420" s="408"/>
      <c r="T420" s="408">
        <v>0.0</v>
      </c>
      <c r="U420" s="409"/>
      <c r="V420" s="407">
        <v>260.0</v>
      </c>
      <c r="W420" s="408">
        <v>260.0</v>
      </c>
      <c r="X420" s="408">
        <v>260.0</v>
      </c>
      <c r="Y420" s="408">
        <v>850.0</v>
      </c>
      <c r="Z420" s="409">
        <v>100.0</v>
      </c>
      <c r="AA420" s="410"/>
      <c r="AB420" s="405"/>
      <c r="AC420" s="405"/>
    </row>
    <row r="421">
      <c r="A421" s="405" t="s">
        <v>201</v>
      </c>
      <c r="B421" s="405"/>
      <c r="C421" s="406">
        <f t="shared" si="1"/>
        <v>0.125</v>
      </c>
      <c r="D421" s="407">
        <v>115.0</v>
      </c>
      <c r="E421" s="408">
        <v>100.0</v>
      </c>
      <c r="F421" s="408">
        <v>100.0</v>
      </c>
      <c r="G421" s="408">
        <v>100.0</v>
      </c>
      <c r="H421" s="408">
        <v>100.0</v>
      </c>
      <c r="I421" s="408">
        <v>1.0</v>
      </c>
      <c r="J421" s="408">
        <v>1.0</v>
      </c>
      <c r="K421" s="409"/>
      <c r="L421" s="407"/>
      <c r="M421" s="408">
        <v>68.0</v>
      </c>
      <c r="N421" s="408">
        <v>0.0</v>
      </c>
      <c r="O421" s="408">
        <v>82.0</v>
      </c>
      <c r="P421" s="408">
        <v>0.0</v>
      </c>
      <c r="Q421" s="408">
        <v>72.0</v>
      </c>
      <c r="R421" s="408">
        <v>0.0</v>
      </c>
      <c r="S421" s="408"/>
      <c r="T421" s="408">
        <v>0.0</v>
      </c>
      <c r="U421" s="409"/>
      <c r="V421" s="407">
        <v>227.0</v>
      </c>
      <c r="W421" s="408">
        <v>230.0</v>
      </c>
      <c r="X421" s="408">
        <v>221.0</v>
      </c>
      <c r="Y421" s="408">
        <v>0.0</v>
      </c>
      <c r="Z421" s="409">
        <v>225.0</v>
      </c>
      <c r="AA421" s="410"/>
      <c r="AB421" s="405"/>
      <c r="AC421" s="405"/>
    </row>
    <row r="422">
      <c r="A422" s="405" t="s">
        <v>1435</v>
      </c>
      <c r="B422" s="405"/>
      <c r="C422" s="406">
        <f t="shared" si="1"/>
        <v>0.225</v>
      </c>
      <c r="D422" s="407">
        <v>454.0</v>
      </c>
      <c r="E422" s="408">
        <v>255.0</v>
      </c>
      <c r="F422" s="408">
        <v>430.0</v>
      </c>
      <c r="G422" s="408">
        <v>430.0</v>
      </c>
      <c r="H422" s="408">
        <v>395.0</v>
      </c>
      <c r="I422" s="408">
        <v>300.0</v>
      </c>
      <c r="J422" s="408">
        <v>1.0</v>
      </c>
      <c r="K422" s="409"/>
      <c r="L422" s="407"/>
      <c r="M422" s="408">
        <v>0.0</v>
      </c>
      <c r="N422" s="408">
        <v>0.0</v>
      </c>
      <c r="O422" s="408">
        <v>0.0</v>
      </c>
      <c r="P422" s="408">
        <v>0.0</v>
      </c>
      <c r="Q422" s="408">
        <v>0.0</v>
      </c>
      <c r="R422" s="408">
        <v>0.0</v>
      </c>
      <c r="S422" s="408"/>
      <c r="T422" s="408">
        <v>0.0</v>
      </c>
      <c r="U422" s="409"/>
      <c r="V422" s="407">
        <v>201.0</v>
      </c>
      <c r="W422" s="408">
        <v>200.0</v>
      </c>
      <c r="X422" s="408">
        <v>-10.0</v>
      </c>
      <c r="Y422" s="408">
        <v>250.0</v>
      </c>
      <c r="Z422" s="409">
        <v>270.0</v>
      </c>
      <c r="AA422" s="410"/>
      <c r="AB422" s="405" t="s">
        <v>929</v>
      </c>
      <c r="AC422" s="405"/>
    </row>
    <row r="423">
      <c r="A423" s="306" t="s">
        <v>1436</v>
      </c>
      <c r="B423" s="424"/>
      <c r="C423" s="390">
        <f t="shared" si="1"/>
        <v>0.2</v>
      </c>
      <c r="D423" s="387">
        <v>732.0</v>
      </c>
      <c r="E423" s="388">
        <v>750.0</v>
      </c>
      <c r="F423" s="388">
        <v>560.0</v>
      </c>
      <c r="G423" s="388">
        <v>308.0</v>
      </c>
      <c r="H423" s="388">
        <v>214.0</v>
      </c>
      <c r="I423" s="388">
        <v>150.0</v>
      </c>
      <c r="J423" s="388">
        <v>308.0</v>
      </c>
      <c r="K423" s="389" t="s">
        <v>301</v>
      </c>
      <c r="L423" s="387">
        <v>5.0</v>
      </c>
      <c r="M423" s="388"/>
      <c r="N423" s="388"/>
      <c r="O423" s="388"/>
      <c r="P423" s="388">
        <v>16.0</v>
      </c>
      <c r="Q423" s="388"/>
      <c r="R423" s="388">
        <v>150.0</v>
      </c>
      <c r="S423" s="388"/>
      <c r="T423" s="388">
        <v>78.0</v>
      </c>
      <c r="U423" s="389"/>
      <c r="V423" s="387">
        <v>26.0</v>
      </c>
      <c r="W423" s="388">
        <v>108.0</v>
      </c>
      <c r="X423" s="388">
        <v>108.0</v>
      </c>
      <c r="Y423" s="388">
        <v>240.0</v>
      </c>
      <c r="Z423" s="389">
        <v>26.0</v>
      </c>
      <c r="AA423" s="305"/>
      <c r="AB423" s="306" t="s">
        <v>1436</v>
      </c>
      <c r="AC423" s="306"/>
    </row>
    <row r="424">
      <c r="A424" s="405" t="s">
        <v>1437</v>
      </c>
      <c r="B424" s="428"/>
      <c r="C424" s="406">
        <f t="shared" si="1"/>
        <v>0.2</v>
      </c>
      <c r="D424" s="407">
        <v>392.0</v>
      </c>
      <c r="E424" s="408">
        <v>460.0</v>
      </c>
      <c r="F424" s="408">
        <v>560.0</v>
      </c>
      <c r="G424" s="408">
        <v>268.0</v>
      </c>
      <c r="H424" s="408">
        <v>164.0</v>
      </c>
      <c r="I424" s="408">
        <v>148.0</v>
      </c>
      <c r="J424" s="408">
        <v>268.0</v>
      </c>
      <c r="K424" s="409"/>
      <c r="L424" s="407"/>
      <c r="M424" s="408"/>
      <c r="N424" s="408"/>
      <c r="O424" s="408"/>
      <c r="P424" s="408">
        <v>14.0</v>
      </c>
      <c r="Q424" s="408"/>
      <c r="R424" s="408">
        <v>148.0</v>
      </c>
      <c r="S424" s="408"/>
      <c r="T424" s="408">
        <v>96.0</v>
      </c>
      <c r="U424" s="409"/>
      <c r="V424" s="407">
        <v>66.0</v>
      </c>
      <c r="W424" s="408">
        <v>126.0</v>
      </c>
      <c r="X424" s="408">
        <v>126.0</v>
      </c>
      <c r="Y424" s="408">
        <v>204.0</v>
      </c>
      <c r="Z424" s="409">
        <v>80.0</v>
      </c>
      <c r="AA424" s="410"/>
      <c r="AB424" s="405" t="s">
        <v>1436</v>
      </c>
      <c r="AC424" s="405"/>
    </row>
    <row r="425">
      <c r="A425" s="306" t="s">
        <v>1438</v>
      </c>
      <c r="B425" s="424" t="s">
        <v>954</v>
      </c>
      <c r="C425" s="390">
        <f t="shared" si="1"/>
        <v>0</v>
      </c>
      <c r="D425" s="387">
        <v>112.0</v>
      </c>
      <c r="E425" s="388">
        <v>140.0</v>
      </c>
      <c r="F425" s="388">
        <v>95.0</v>
      </c>
      <c r="G425" s="388">
        <v>90.0</v>
      </c>
      <c r="H425" s="388">
        <v>70.0</v>
      </c>
      <c r="I425" s="388">
        <v>95.0</v>
      </c>
      <c r="J425" s="388">
        <v>1.0</v>
      </c>
      <c r="K425" s="389" t="s">
        <v>305</v>
      </c>
      <c r="L425" s="387">
        <v>4.0</v>
      </c>
      <c r="M425" s="388">
        <v>0.0</v>
      </c>
      <c r="N425" s="388">
        <v>0.0</v>
      </c>
      <c r="O425" s="388">
        <v>0.0</v>
      </c>
      <c r="P425" s="388">
        <v>0.0</v>
      </c>
      <c r="Q425" s="388">
        <v>0.0</v>
      </c>
      <c r="R425" s="388">
        <v>0.0</v>
      </c>
      <c r="S425" s="388"/>
      <c r="T425" s="388">
        <v>0.0</v>
      </c>
      <c r="U425" s="389">
        <v>0.0</v>
      </c>
      <c r="V425" s="387">
        <v>0.0</v>
      </c>
      <c r="W425" s="388">
        <v>0.0</v>
      </c>
      <c r="X425" s="388">
        <v>0.0</v>
      </c>
      <c r="Y425" s="388">
        <v>0.0</v>
      </c>
      <c r="Z425" s="389">
        <v>0.0</v>
      </c>
      <c r="AA425" s="305"/>
      <c r="AB425" s="306"/>
      <c r="AC425" s="306"/>
    </row>
    <row r="426">
      <c r="A426" s="306" t="s">
        <v>1439</v>
      </c>
      <c r="B426" s="306" t="s">
        <v>955</v>
      </c>
      <c r="C426" s="390">
        <f t="shared" si="1"/>
        <v>0</v>
      </c>
      <c r="D426" s="387">
        <v>24.0</v>
      </c>
      <c r="E426" s="388">
        <v>20.0</v>
      </c>
      <c r="F426" s="388">
        <v>22.0</v>
      </c>
      <c r="G426" s="388">
        <v>22.0</v>
      </c>
      <c r="H426" s="388">
        <v>22.0</v>
      </c>
      <c r="I426" s="388">
        <v>1.0</v>
      </c>
      <c r="J426" s="388">
        <v>1.0</v>
      </c>
      <c r="K426" s="389" t="s">
        <v>300</v>
      </c>
      <c r="L426" s="387">
        <v>4.0</v>
      </c>
      <c r="M426" s="388">
        <v>0.0</v>
      </c>
      <c r="N426" s="388">
        <v>0.0</v>
      </c>
      <c r="O426" s="388">
        <v>0.0</v>
      </c>
      <c r="P426" s="388">
        <v>6.0</v>
      </c>
      <c r="Q426" s="388">
        <v>7.0</v>
      </c>
      <c r="R426" s="388">
        <v>0.0</v>
      </c>
      <c r="S426" s="388"/>
      <c r="T426" s="388">
        <v>0.0</v>
      </c>
      <c r="U426" s="389">
        <v>0.0</v>
      </c>
      <c r="V426" s="387">
        <v>40.0</v>
      </c>
      <c r="W426" s="388">
        <v>41.0</v>
      </c>
      <c r="X426" s="388">
        <v>37.0</v>
      </c>
      <c r="Y426" s="388">
        <v>-10.0</v>
      </c>
      <c r="Z426" s="389">
        <v>38.0</v>
      </c>
      <c r="AA426" s="305"/>
      <c r="AB426" s="306"/>
      <c r="AC426" s="306"/>
    </row>
    <row r="427">
      <c r="A427" s="306" t="s">
        <v>1440</v>
      </c>
      <c r="B427" s="306" t="s">
        <v>969</v>
      </c>
      <c r="C427" s="390">
        <f t="shared" si="1"/>
        <v>0</v>
      </c>
      <c r="D427" s="387">
        <v>115.0</v>
      </c>
      <c r="E427" s="388">
        <v>128.0</v>
      </c>
      <c r="F427" s="388">
        <v>0.0</v>
      </c>
      <c r="G427" s="388">
        <v>0.0</v>
      </c>
      <c r="H427" s="388">
        <v>128.0</v>
      </c>
      <c r="I427" s="388">
        <v>105.0</v>
      </c>
      <c r="J427" s="388">
        <v>105.0</v>
      </c>
      <c r="K427" s="389" t="s">
        <v>305</v>
      </c>
      <c r="L427" s="387">
        <v>4.0</v>
      </c>
      <c r="M427" s="388">
        <v>0.0</v>
      </c>
      <c r="N427" s="388">
        <v>0.0</v>
      </c>
      <c r="O427" s="388">
        <v>0.0</v>
      </c>
      <c r="P427" s="388">
        <v>0.0</v>
      </c>
      <c r="Q427" s="388">
        <v>0.0</v>
      </c>
      <c r="R427" s="388">
        <v>0.0</v>
      </c>
      <c r="S427" s="388"/>
      <c r="T427" s="388">
        <v>0.0</v>
      </c>
      <c r="U427" s="389">
        <v>0.0</v>
      </c>
      <c r="V427" s="387">
        <v>100.0</v>
      </c>
      <c r="W427" s="388">
        <v>100.0</v>
      </c>
      <c r="X427" s="388">
        <v>10.0</v>
      </c>
      <c r="Y427" s="388">
        <v>100.0</v>
      </c>
      <c r="Z427" s="389">
        <v>100.0</v>
      </c>
      <c r="AA427" s="305"/>
      <c r="AB427" s="306"/>
      <c r="AC427" s="306"/>
    </row>
    <row r="428">
      <c r="A428" s="306" t="s">
        <v>1441</v>
      </c>
      <c r="B428" s="306" t="s">
        <v>1119</v>
      </c>
      <c r="C428" s="390">
        <f t="shared" si="1"/>
        <v>0</v>
      </c>
      <c r="D428" s="387">
        <v>36.0</v>
      </c>
      <c r="E428" s="388">
        <v>52.0</v>
      </c>
      <c r="F428" s="388">
        <v>27.0</v>
      </c>
      <c r="G428" s="388">
        <v>29.0</v>
      </c>
      <c r="H428" s="388">
        <v>21.0</v>
      </c>
      <c r="I428" s="388">
        <v>1.0</v>
      </c>
      <c r="J428" s="388">
        <v>1.0</v>
      </c>
      <c r="K428" s="389" t="s">
        <v>301</v>
      </c>
      <c r="L428" s="387">
        <v>7.0</v>
      </c>
      <c r="M428" s="388">
        <v>0.0</v>
      </c>
      <c r="N428" s="388">
        <v>0.0</v>
      </c>
      <c r="O428" s="388">
        <v>0.0</v>
      </c>
      <c r="P428" s="388">
        <v>30.0</v>
      </c>
      <c r="Q428" s="388">
        <v>31.0</v>
      </c>
      <c r="R428" s="388">
        <v>0.0</v>
      </c>
      <c r="S428" s="388"/>
      <c r="T428" s="388">
        <v>0.0</v>
      </c>
      <c r="U428" s="389">
        <v>0.0</v>
      </c>
      <c r="V428" s="387">
        <v>83.0</v>
      </c>
      <c r="W428" s="388">
        <v>76.0</v>
      </c>
      <c r="X428" s="388">
        <v>70.0</v>
      </c>
      <c r="Y428" s="388">
        <v>-11.0</v>
      </c>
      <c r="Z428" s="389">
        <v>74.0</v>
      </c>
      <c r="AA428" s="305"/>
      <c r="AB428" s="306"/>
      <c r="AC428" s="306"/>
    </row>
    <row r="429">
      <c r="A429" s="306" t="s">
        <v>1442</v>
      </c>
      <c r="B429" s="306" t="s">
        <v>1119</v>
      </c>
      <c r="C429" s="390">
        <f t="shared" si="1"/>
        <v>0</v>
      </c>
      <c r="D429" s="387">
        <v>38.0</v>
      </c>
      <c r="E429" s="388">
        <v>52.0</v>
      </c>
      <c r="F429" s="388">
        <v>30.0</v>
      </c>
      <c r="G429" s="388">
        <v>29.0</v>
      </c>
      <c r="H429" s="388">
        <v>25.0</v>
      </c>
      <c r="I429" s="388">
        <v>1.0</v>
      </c>
      <c r="J429" s="388">
        <v>1.0</v>
      </c>
      <c r="K429" s="389" t="s">
        <v>301</v>
      </c>
      <c r="L429" s="387">
        <v>7.0</v>
      </c>
      <c r="M429" s="388">
        <v>0.0</v>
      </c>
      <c r="N429" s="388">
        <v>0.0</v>
      </c>
      <c r="O429" s="388">
        <v>0.0</v>
      </c>
      <c r="P429" s="388">
        <v>30.0</v>
      </c>
      <c r="Q429" s="388">
        <v>31.0</v>
      </c>
      <c r="R429" s="388">
        <v>0.0</v>
      </c>
      <c r="S429" s="388"/>
      <c r="T429" s="388">
        <v>0.0</v>
      </c>
      <c r="U429" s="389">
        <v>0.0</v>
      </c>
      <c r="V429" s="387">
        <v>83.0</v>
      </c>
      <c r="W429" s="388">
        <v>76.0</v>
      </c>
      <c r="X429" s="388">
        <v>70.0</v>
      </c>
      <c r="Y429" s="388">
        <v>-11.0</v>
      </c>
      <c r="Z429" s="389">
        <v>74.0</v>
      </c>
      <c r="AA429" s="305"/>
      <c r="AB429" s="306"/>
      <c r="AC429" s="306"/>
    </row>
    <row r="430">
      <c r="A430" s="306" t="s">
        <v>1443</v>
      </c>
      <c r="B430" s="306" t="s">
        <v>1119</v>
      </c>
      <c r="C430" s="390">
        <f t="shared" si="1"/>
        <v>0</v>
      </c>
      <c r="D430" s="387">
        <v>39.0</v>
      </c>
      <c r="E430" s="388">
        <v>52.0</v>
      </c>
      <c r="F430" s="388">
        <v>32.0</v>
      </c>
      <c r="G430" s="388">
        <v>29.0</v>
      </c>
      <c r="H430" s="388">
        <v>27.0</v>
      </c>
      <c r="I430" s="388">
        <v>1.0</v>
      </c>
      <c r="J430" s="388">
        <v>1.0</v>
      </c>
      <c r="K430" s="389" t="s">
        <v>301</v>
      </c>
      <c r="L430" s="387">
        <v>7.0</v>
      </c>
      <c r="M430" s="388">
        <v>0.0</v>
      </c>
      <c r="N430" s="388">
        <v>0.0</v>
      </c>
      <c r="O430" s="388">
        <v>0.0</v>
      </c>
      <c r="P430" s="388">
        <v>30.0</v>
      </c>
      <c r="Q430" s="388">
        <v>31.0</v>
      </c>
      <c r="R430" s="388">
        <v>0.0</v>
      </c>
      <c r="S430" s="388"/>
      <c r="T430" s="388">
        <v>0.0</v>
      </c>
      <c r="U430" s="389">
        <v>0.0</v>
      </c>
      <c r="V430" s="387">
        <v>83.0</v>
      </c>
      <c r="W430" s="388">
        <v>76.0</v>
      </c>
      <c r="X430" s="388">
        <v>70.0</v>
      </c>
      <c r="Y430" s="388">
        <v>-11.0</v>
      </c>
      <c r="Z430" s="389">
        <v>74.0</v>
      </c>
      <c r="AA430" s="305"/>
      <c r="AB430" s="306"/>
      <c r="AC430" s="306"/>
    </row>
    <row r="431">
      <c r="A431" s="306" t="s">
        <v>1444</v>
      </c>
      <c r="B431" s="306" t="s">
        <v>1119</v>
      </c>
      <c r="C431" s="390">
        <f t="shared" si="1"/>
        <v>0</v>
      </c>
      <c r="D431" s="387">
        <v>42.0</v>
      </c>
      <c r="E431" s="388">
        <v>55.0</v>
      </c>
      <c r="F431" s="388">
        <v>32.0</v>
      </c>
      <c r="G431" s="388">
        <v>35.0</v>
      </c>
      <c r="H431" s="388">
        <v>27.0</v>
      </c>
      <c r="I431" s="388">
        <v>1.0</v>
      </c>
      <c r="J431" s="388">
        <v>1.0</v>
      </c>
      <c r="K431" s="389" t="s">
        <v>301</v>
      </c>
      <c r="L431" s="387">
        <v>7.0</v>
      </c>
      <c r="M431" s="388">
        <v>0.0</v>
      </c>
      <c r="N431" s="388">
        <v>0.0</v>
      </c>
      <c r="O431" s="388">
        <v>0.0</v>
      </c>
      <c r="P431" s="388">
        <v>30.0</v>
      </c>
      <c r="Q431" s="388">
        <v>31.0</v>
      </c>
      <c r="R431" s="388">
        <v>0.0</v>
      </c>
      <c r="S431" s="388"/>
      <c r="T431" s="388">
        <v>0.0</v>
      </c>
      <c r="U431" s="389">
        <v>0.0</v>
      </c>
      <c r="V431" s="387">
        <v>83.0</v>
      </c>
      <c r="W431" s="388">
        <v>76.0</v>
      </c>
      <c r="X431" s="388">
        <v>70.0</v>
      </c>
      <c r="Y431" s="388">
        <v>-11.0</v>
      </c>
      <c r="Z431" s="389">
        <v>85.0</v>
      </c>
      <c r="AA431" s="305"/>
      <c r="AB431" s="306"/>
      <c r="AC431" s="306"/>
    </row>
    <row r="432">
      <c r="A432" s="306" t="s">
        <v>1445</v>
      </c>
      <c r="B432" s="306" t="s">
        <v>993</v>
      </c>
      <c r="C432" s="390">
        <f t="shared" si="1"/>
        <v>0</v>
      </c>
      <c r="D432" s="387">
        <v>25.0</v>
      </c>
      <c r="E432" s="388">
        <v>34.0</v>
      </c>
      <c r="F432" s="388">
        <v>20.0</v>
      </c>
      <c r="G432" s="388">
        <v>16.0</v>
      </c>
      <c r="H432" s="388">
        <v>22.0</v>
      </c>
      <c r="I432" s="388">
        <v>1.0</v>
      </c>
      <c r="J432" s="388">
        <v>1.0</v>
      </c>
      <c r="K432" s="389" t="s">
        <v>300</v>
      </c>
      <c r="L432" s="387">
        <v>4.0</v>
      </c>
      <c r="M432" s="388">
        <v>0.0</v>
      </c>
      <c r="N432" s="388">
        <v>0.0</v>
      </c>
      <c r="O432" s="388">
        <v>0.0</v>
      </c>
      <c r="P432" s="388">
        <v>0.0</v>
      </c>
      <c r="Q432" s="388">
        <v>0.0</v>
      </c>
      <c r="R432" s="388">
        <v>0.0</v>
      </c>
      <c r="S432" s="388"/>
      <c r="T432" s="388">
        <v>0.0</v>
      </c>
      <c r="U432" s="389">
        <v>0.0</v>
      </c>
      <c r="V432" s="387">
        <v>0.0</v>
      </c>
      <c r="W432" s="388">
        <v>0.0</v>
      </c>
      <c r="X432" s="388">
        <v>0.0</v>
      </c>
      <c r="Y432" s="388">
        <v>0.0</v>
      </c>
      <c r="Z432" s="389">
        <v>0.0</v>
      </c>
      <c r="AA432" s="305"/>
      <c r="AB432" s="306"/>
      <c r="AC432" s="306"/>
    </row>
    <row r="433">
      <c r="A433" s="306" t="s">
        <v>1446</v>
      </c>
      <c r="B433" s="306" t="s">
        <v>993</v>
      </c>
      <c r="C433" s="390">
        <f t="shared" si="1"/>
        <v>0</v>
      </c>
      <c r="D433" s="387">
        <v>38.0</v>
      </c>
      <c r="E433" s="388">
        <v>44.0</v>
      </c>
      <c r="F433" s="388">
        <v>30.0</v>
      </c>
      <c r="G433" s="388">
        <v>31.0</v>
      </c>
      <c r="H433" s="388">
        <v>32.0</v>
      </c>
      <c r="I433" s="388">
        <v>1.0</v>
      </c>
      <c r="J433" s="388">
        <v>1.0</v>
      </c>
      <c r="K433" s="389" t="s">
        <v>300</v>
      </c>
      <c r="L433" s="387">
        <v>4.0</v>
      </c>
      <c r="M433" s="388">
        <v>0.0</v>
      </c>
      <c r="N433" s="388">
        <v>0.0</v>
      </c>
      <c r="O433" s="388">
        <v>0.0</v>
      </c>
      <c r="P433" s="388">
        <v>0.0</v>
      </c>
      <c r="Q433" s="388">
        <v>0.0</v>
      </c>
      <c r="R433" s="388">
        <v>0.0</v>
      </c>
      <c r="S433" s="388"/>
      <c r="T433" s="388">
        <v>0.0</v>
      </c>
      <c r="U433" s="389">
        <v>0.0</v>
      </c>
      <c r="V433" s="387">
        <v>0.0</v>
      </c>
      <c r="W433" s="388">
        <v>0.0</v>
      </c>
      <c r="X433" s="388">
        <v>0.0</v>
      </c>
      <c r="Y433" s="388">
        <v>0.0</v>
      </c>
      <c r="Z433" s="389">
        <v>0.0</v>
      </c>
      <c r="AA433" s="305"/>
      <c r="AB433" s="306"/>
      <c r="AC433" s="306"/>
    </row>
    <row r="434">
      <c r="A434" s="405" t="s">
        <v>1447</v>
      </c>
      <c r="B434" s="405"/>
      <c r="C434" s="406">
        <f t="shared" si="1"/>
        <v>0.025</v>
      </c>
      <c r="D434" s="407">
        <v>143.0</v>
      </c>
      <c r="E434" s="408">
        <v>121.0</v>
      </c>
      <c r="F434" s="408">
        <v>80.0</v>
      </c>
      <c r="G434" s="408">
        <v>50.0</v>
      </c>
      <c r="H434" s="408">
        <v>160.0</v>
      </c>
      <c r="I434" s="408">
        <v>150.0</v>
      </c>
      <c r="J434" s="408">
        <v>100.0</v>
      </c>
      <c r="K434" s="409"/>
      <c r="L434" s="407"/>
      <c r="M434" s="408">
        <v>0.0</v>
      </c>
      <c r="N434" s="408">
        <v>0.0</v>
      </c>
      <c r="O434" s="408">
        <v>0.0</v>
      </c>
      <c r="P434" s="408">
        <v>45.0</v>
      </c>
      <c r="Q434" s="408">
        <v>25.0</v>
      </c>
      <c r="R434" s="408">
        <v>0.0</v>
      </c>
      <c r="S434" s="408"/>
      <c r="T434" s="408">
        <v>0.0</v>
      </c>
      <c r="U434" s="409"/>
      <c r="V434" s="407">
        <v>0.0</v>
      </c>
      <c r="W434" s="408">
        <v>0.0</v>
      </c>
      <c r="X434" s="408">
        <v>0.0</v>
      </c>
      <c r="Y434" s="408">
        <v>0.0</v>
      </c>
      <c r="Z434" s="409">
        <v>0.0</v>
      </c>
      <c r="AA434" s="410"/>
      <c r="AB434" s="405"/>
      <c r="AC434" s="405"/>
    </row>
    <row r="435">
      <c r="A435" s="432" t="s">
        <v>1448</v>
      </c>
      <c r="B435" s="432"/>
      <c r="C435" s="406">
        <f t="shared" si="1"/>
        <v>0</v>
      </c>
      <c r="D435" s="407">
        <v>47.0</v>
      </c>
      <c r="E435" s="408">
        <v>63.0</v>
      </c>
      <c r="F435" s="408">
        <v>54.0</v>
      </c>
      <c r="G435" s="408">
        <v>30.0</v>
      </c>
      <c r="H435" s="408">
        <v>19.0</v>
      </c>
      <c r="I435" s="408">
        <v>1.0</v>
      </c>
      <c r="J435" s="408">
        <v>1.0</v>
      </c>
      <c r="K435" s="409"/>
      <c r="L435" s="407"/>
      <c r="M435" s="408">
        <v>0.0</v>
      </c>
      <c r="N435" s="408">
        <v>0.0</v>
      </c>
      <c r="O435" s="408">
        <v>0.0</v>
      </c>
      <c r="P435" s="408">
        <v>0.0</v>
      </c>
      <c r="Q435" s="408">
        <v>0.0</v>
      </c>
      <c r="R435" s="408">
        <v>0.0</v>
      </c>
      <c r="S435" s="408"/>
      <c r="T435" s="408">
        <v>0.0</v>
      </c>
      <c r="U435" s="409"/>
      <c r="V435" s="407">
        <v>0.0</v>
      </c>
      <c r="W435" s="408">
        <v>0.0</v>
      </c>
      <c r="X435" s="408">
        <v>0.0</v>
      </c>
      <c r="Y435" s="408">
        <v>0.0</v>
      </c>
      <c r="Z435" s="409">
        <v>0.0</v>
      </c>
      <c r="AA435" s="410"/>
      <c r="AB435" s="405"/>
      <c r="AC435" s="405"/>
    </row>
    <row r="436">
      <c r="A436" s="432" t="s">
        <v>1449</v>
      </c>
      <c r="B436" s="432"/>
      <c r="C436" s="406">
        <f t="shared" si="1"/>
        <v>0</v>
      </c>
      <c r="D436" s="407">
        <v>77.0</v>
      </c>
      <c r="E436" s="408">
        <v>93.0</v>
      </c>
      <c r="F436" s="408">
        <v>84.0</v>
      </c>
      <c r="G436" s="408">
        <v>60.0</v>
      </c>
      <c r="H436" s="408">
        <v>29.0</v>
      </c>
      <c r="I436" s="408">
        <v>1.0</v>
      </c>
      <c r="J436" s="408">
        <v>1.0</v>
      </c>
      <c r="K436" s="409"/>
      <c r="L436" s="407"/>
      <c r="M436" s="408">
        <v>0.0</v>
      </c>
      <c r="N436" s="408">
        <v>0.0</v>
      </c>
      <c r="O436" s="408">
        <v>0.0</v>
      </c>
      <c r="P436" s="408">
        <v>0.0</v>
      </c>
      <c r="Q436" s="408">
        <v>0.0</v>
      </c>
      <c r="R436" s="408">
        <v>0.0</v>
      </c>
      <c r="S436" s="408"/>
      <c r="T436" s="408">
        <v>0.0</v>
      </c>
      <c r="U436" s="409"/>
      <c r="V436" s="407">
        <v>0.0</v>
      </c>
      <c r="W436" s="408">
        <v>0.0</v>
      </c>
      <c r="X436" s="408">
        <v>0.0</v>
      </c>
      <c r="Y436" s="408">
        <v>0.0</v>
      </c>
      <c r="Z436" s="409">
        <v>0.0</v>
      </c>
      <c r="AA436" s="410"/>
      <c r="AB436" s="405"/>
      <c r="AC436" s="405"/>
    </row>
    <row r="437">
      <c r="A437" s="432" t="s">
        <v>1450</v>
      </c>
      <c r="B437" s="432"/>
      <c r="C437" s="406">
        <f t="shared" si="1"/>
        <v>0</v>
      </c>
      <c r="D437" s="407">
        <v>90.0</v>
      </c>
      <c r="E437" s="408">
        <v>103.0</v>
      </c>
      <c r="F437" s="408">
        <v>95.0</v>
      </c>
      <c r="G437" s="408">
        <v>75.0</v>
      </c>
      <c r="H437" s="408">
        <v>39.0</v>
      </c>
      <c r="I437" s="408">
        <v>1.0</v>
      </c>
      <c r="J437" s="408">
        <v>1.0</v>
      </c>
      <c r="K437" s="409"/>
      <c r="L437" s="407"/>
      <c r="M437" s="408">
        <v>0.0</v>
      </c>
      <c r="N437" s="408">
        <v>0.0</v>
      </c>
      <c r="O437" s="408">
        <v>0.0</v>
      </c>
      <c r="P437" s="408">
        <v>0.0</v>
      </c>
      <c r="Q437" s="408">
        <v>0.0</v>
      </c>
      <c r="R437" s="408">
        <v>0.0</v>
      </c>
      <c r="S437" s="408"/>
      <c r="T437" s="408">
        <v>0.0</v>
      </c>
      <c r="U437" s="409"/>
      <c r="V437" s="407">
        <v>0.0</v>
      </c>
      <c r="W437" s="408">
        <v>0.0</v>
      </c>
      <c r="X437" s="408">
        <v>0.0</v>
      </c>
      <c r="Y437" s="408">
        <v>0.0</v>
      </c>
      <c r="Z437" s="409">
        <v>0.0</v>
      </c>
      <c r="AA437" s="410"/>
      <c r="AB437" s="405"/>
      <c r="AC437" s="405"/>
    </row>
    <row r="438">
      <c r="A438" s="432" t="s">
        <v>1451</v>
      </c>
      <c r="B438" s="432"/>
      <c r="C438" s="406">
        <f t="shared" si="1"/>
        <v>0</v>
      </c>
      <c r="D438" s="407">
        <v>103.0</v>
      </c>
      <c r="E438" s="408">
        <v>113.0</v>
      </c>
      <c r="F438" s="408">
        <v>105.0</v>
      </c>
      <c r="G438" s="408">
        <v>88.0</v>
      </c>
      <c r="H438" s="408">
        <v>49.0</v>
      </c>
      <c r="I438" s="408">
        <v>1.0</v>
      </c>
      <c r="J438" s="408">
        <v>1.0</v>
      </c>
      <c r="K438" s="409"/>
      <c r="L438" s="407"/>
      <c r="M438" s="408">
        <v>0.0</v>
      </c>
      <c r="N438" s="408">
        <v>0.0</v>
      </c>
      <c r="O438" s="408">
        <v>0.0</v>
      </c>
      <c r="P438" s="408">
        <v>0.0</v>
      </c>
      <c r="Q438" s="408">
        <v>0.0</v>
      </c>
      <c r="R438" s="408">
        <v>0.0</v>
      </c>
      <c r="S438" s="408"/>
      <c r="T438" s="408">
        <v>0.0</v>
      </c>
      <c r="U438" s="409"/>
      <c r="V438" s="407">
        <v>0.0</v>
      </c>
      <c r="W438" s="408">
        <v>0.0</v>
      </c>
      <c r="X438" s="408">
        <v>0.0</v>
      </c>
      <c r="Y438" s="408">
        <v>0.0</v>
      </c>
      <c r="Z438" s="409">
        <v>0.0</v>
      </c>
      <c r="AA438" s="410"/>
      <c r="AB438" s="405"/>
      <c r="AC438" s="405"/>
    </row>
    <row r="439">
      <c r="A439" s="429" t="s">
        <v>1452</v>
      </c>
      <c r="B439" s="429" t="s">
        <v>1054</v>
      </c>
      <c r="C439" s="390">
        <f t="shared" si="1"/>
        <v>0</v>
      </c>
      <c r="D439" s="387">
        <v>64.0</v>
      </c>
      <c r="E439" s="388">
        <v>69.0</v>
      </c>
      <c r="F439" s="388">
        <v>50.0</v>
      </c>
      <c r="G439" s="388">
        <v>55.0</v>
      </c>
      <c r="H439" s="388">
        <v>52.0</v>
      </c>
      <c r="I439" s="388">
        <v>1.0</v>
      </c>
      <c r="J439" s="388">
        <v>1.0</v>
      </c>
      <c r="K439" s="389" t="s">
        <v>300</v>
      </c>
      <c r="L439" s="387">
        <v>4.0</v>
      </c>
      <c r="M439" s="388">
        <v>0.0</v>
      </c>
      <c r="N439" s="388">
        <v>0.0</v>
      </c>
      <c r="O439" s="388">
        <v>0.0</v>
      </c>
      <c r="P439" s="388">
        <v>0.0</v>
      </c>
      <c r="Q439" s="388">
        <v>0.0</v>
      </c>
      <c r="R439" s="388">
        <v>0.0</v>
      </c>
      <c r="S439" s="388"/>
      <c r="T439" s="388">
        <v>0.0</v>
      </c>
      <c r="U439" s="389">
        <v>0.0</v>
      </c>
      <c r="V439" s="387">
        <v>0.0</v>
      </c>
      <c r="W439" s="388">
        <v>0.0</v>
      </c>
      <c r="X439" s="388">
        <v>0.0</v>
      </c>
      <c r="Y439" s="388">
        <v>0.0</v>
      </c>
      <c r="Z439" s="389">
        <v>0.0</v>
      </c>
      <c r="AA439" s="305"/>
      <c r="AB439" s="306"/>
      <c r="AC439" s="306"/>
    </row>
    <row r="440">
      <c r="A440" s="429" t="s">
        <v>1453</v>
      </c>
      <c r="B440" s="429" t="s">
        <v>1258</v>
      </c>
      <c r="C440" s="390">
        <f t="shared" si="1"/>
        <v>0</v>
      </c>
      <c r="D440" s="387">
        <v>3.0</v>
      </c>
      <c r="E440" s="388">
        <v>10.0</v>
      </c>
      <c r="F440" s="388">
        <v>1.0</v>
      </c>
      <c r="G440" s="388">
        <v>1.0</v>
      </c>
      <c r="H440" s="388">
        <v>2.0</v>
      </c>
      <c r="I440" s="388">
        <v>1.0</v>
      </c>
      <c r="J440" s="388">
        <v>1.0</v>
      </c>
      <c r="K440" s="389" t="s">
        <v>299</v>
      </c>
      <c r="L440" s="387">
        <v>4.0</v>
      </c>
      <c r="M440" s="388">
        <v>0.0</v>
      </c>
      <c r="N440" s="388">
        <v>0.0</v>
      </c>
      <c r="O440" s="388">
        <v>0.0</v>
      </c>
      <c r="P440" s="388">
        <v>0.0</v>
      </c>
      <c r="Q440" s="388">
        <v>0.0</v>
      </c>
      <c r="R440" s="388">
        <v>0.0</v>
      </c>
      <c r="S440" s="388"/>
      <c r="T440" s="388">
        <v>0.0</v>
      </c>
      <c r="U440" s="389">
        <v>0.0</v>
      </c>
      <c r="V440" s="387">
        <v>1.0</v>
      </c>
      <c r="W440" s="388">
        <v>1.0</v>
      </c>
      <c r="X440" s="388">
        <v>1.0</v>
      </c>
      <c r="Y440" s="388">
        <v>0.0</v>
      </c>
      <c r="Z440" s="389">
        <v>0.0</v>
      </c>
      <c r="AA440" s="305"/>
      <c r="AB440" s="306"/>
      <c r="AC440" s="306"/>
    </row>
    <row r="441">
      <c r="A441" s="429" t="s">
        <v>1454</v>
      </c>
      <c r="B441" s="429" t="s">
        <v>1258</v>
      </c>
      <c r="C441" s="390">
        <f t="shared" si="1"/>
        <v>0</v>
      </c>
      <c r="D441" s="387">
        <v>4.0</v>
      </c>
      <c r="E441" s="388">
        <v>13.0</v>
      </c>
      <c r="F441" s="388">
        <v>2.0</v>
      </c>
      <c r="G441" s="388">
        <v>1.0</v>
      </c>
      <c r="H441" s="388">
        <v>1.0</v>
      </c>
      <c r="I441" s="388">
        <v>1.0</v>
      </c>
      <c r="J441" s="388">
        <v>1.0</v>
      </c>
      <c r="K441" s="389" t="s">
        <v>299</v>
      </c>
      <c r="L441" s="387">
        <v>4.0</v>
      </c>
      <c r="M441" s="388">
        <v>0.0</v>
      </c>
      <c r="N441" s="388">
        <v>0.0</v>
      </c>
      <c r="O441" s="388">
        <v>0.0</v>
      </c>
      <c r="P441" s="388">
        <v>0.0</v>
      </c>
      <c r="Q441" s="388">
        <v>0.0</v>
      </c>
      <c r="R441" s="388">
        <v>0.0</v>
      </c>
      <c r="S441" s="388"/>
      <c r="T441" s="388">
        <v>0.0</v>
      </c>
      <c r="U441" s="389">
        <v>0.0</v>
      </c>
      <c r="V441" s="387">
        <v>1.0</v>
      </c>
      <c r="W441" s="388">
        <v>1.0</v>
      </c>
      <c r="X441" s="388">
        <v>1.0</v>
      </c>
      <c r="Y441" s="388">
        <v>0.0</v>
      </c>
      <c r="Z441" s="389">
        <v>0.0</v>
      </c>
      <c r="AA441" s="305"/>
      <c r="AB441" s="306"/>
      <c r="AC441" s="306"/>
    </row>
    <row r="442">
      <c r="A442" s="429" t="s">
        <v>1455</v>
      </c>
      <c r="B442" s="429" t="s">
        <v>1258</v>
      </c>
      <c r="C442" s="390">
        <f t="shared" si="1"/>
        <v>0</v>
      </c>
      <c r="D442" s="387">
        <v>14.0</v>
      </c>
      <c r="E442" s="388">
        <v>23.0</v>
      </c>
      <c r="F442" s="388">
        <v>10.0</v>
      </c>
      <c r="G442" s="388">
        <v>10.0</v>
      </c>
      <c r="H442" s="388">
        <v>10.0</v>
      </c>
      <c r="I442" s="388">
        <v>1.0</v>
      </c>
      <c r="J442" s="388">
        <v>1.0</v>
      </c>
      <c r="K442" s="389" t="s">
        <v>299</v>
      </c>
      <c r="L442" s="387">
        <v>4.0</v>
      </c>
      <c r="M442" s="388">
        <v>0.0</v>
      </c>
      <c r="N442" s="388">
        <v>0.0</v>
      </c>
      <c r="O442" s="388">
        <v>0.0</v>
      </c>
      <c r="P442" s="388">
        <v>0.0</v>
      </c>
      <c r="Q442" s="388">
        <v>0.0</v>
      </c>
      <c r="R442" s="388">
        <v>0.0</v>
      </c>
      <c r="S442" s="388"/>
      <c r="T442" s="388">
        <v>0.0</v>
      </c>
      <c r="U442" s="389">
        <v>0.0</v>
      </c>
      <c r="V442" s="387">
        <v>0.0</v>
      </c>
      <c r="W442" s="388">
        <v>0.0</v>
      </c>
      <c r="X442" s="388">
        <v>0.0</v>
      </c>
      <c r="Y442" s="388">
        <v>0.0</v>
      </c>
      <c r="Z442" s="389">
        <v>0.0</v>
      </c>
      <c r="AA442" s="305"/>
      <c r="AB442" s="306"/>
      <c r="AC442" s="306"/>
    </row>
    <row r="443">
      <c r="A443" s="429" t="s">
        <v>1456</v>
      </c>
      <c r="B443" s="429" t="s">
        <v>1081</v>
      </c>
      <c r="C443" s="390">
        <f t="shared" si="1"/>
        <v>0.025</v>
      </c>
      <c r="D443" s="387">
        <v>99.0</v>
      </c>
      <c r="E443" s="388">
        <v>130.0</v>
      </c>
      <c r="F443" s="388">
        <v>85.0</v>
      </c>
      <c r="G443" s="388">
        <v>60.0</v>
      </c>
      <c r="H443" s="388">
        <v>80.0</v>
      </c>
      <c r="I443" s="388">
        <v>80.0</v>
      </c>
      <c r="J443" s="388">
        <v>80.0</v>
      </c>
      <c r="K443" s="389"/>
      <c r="L443" s="387"/>
      <c r="M443" s="388"/>
      <c r="N443" s="388"/>
      <c r="O443" s="388"/>
      <c r="P443" s="388"/>
      <c r="Q443" s="388">
        <v>30.0</v>
      </c>
      <c r="R443" s="388"/>
      <c r="S443" s="388"/>
      <c r="T443" s="388"/>
      <c r="U443" s="389"/>
      <c r="V443" s="387">
        <v>20.0</v>
      </c>
      <c r="W443" s="388">
        <v>50.0</v>
      </c>
      <c r="X443" s="388">
        <v>50.0</v>
      </c>
      <c r="Y443" s="388">
        <v>50.0</v>
      </c>
      <c r="Z443" s="389">
        <v>20.0</v>
      </c>
      <c r="AA443" s="305"/>
      <c r="AB443" s="306" t="s">
        <v>936</v>
      </c>
      <c r="AC443" s="306"/>
    </row>
    <row r="444">
      <c r="A444" s="405" t="s">
        <v>1457</v>
      </c>
      <c r="B444" s="405"/>
      <c r="C444" s="406">
        <f t="shared" si="1"/>
        <v>0</v>
      </c>
      <c r="D444" s="407">
        <v>22.0</v>
      </c>
      <c r="E444" s="408">
        <v>50.0</v>
      </c>
      <c r="F444" s="408">
        <v>30.0</v>
      </c>
      <c r="G444" s="408">
        <v>20.0</v>
      </c>
      <c r="H444" s="408">
        <v>1.0</v>
      </c>
      <c r="I444" s="408">
        <v>1.0</v>
      </c>
      <c r="J444" s="408">
        <v>1.0</v>
      </c>
      <c r="K444" s="409"/>
      <c r="L444" s="407"/>
      <c r="M444" s="408">
        <v>0.0</v>
      </c>
      <c r="N444" s="408">
        <v>0.0</v>
      </c>
      <c r="O444" s="408">
        <v>0.0</v>
      </c>
      <c r="P444" s="408">
        <v>0.0</v>
      </c>
      <c r="Q444" s="408">
        <v>0.0</v>
      </c>
      <c r="R444" s="408">
        <v>0.0</v>
      </c>
      <c r="S444" s="408"/>
      <c r="T444" s="408">
        <v>0.0</v>
      </c>
      <c r="U444" s="409">
        <v>0.0</v>
      </c>
      <c r="V444" s="407">
        <v>0.0</v>
      </c>
      <c r="W444" s="408">
        <v>0.0</v>
      </c>
      <c r="X444" s="408">
        <v>0.0</v>
      </c>
      <c r="Y444" s="408">
        <v>0.0</v>
      </c>
      <c r="Z444" s="409">
        <v>0.0</v>
      </c>
      <c r="AA444" s="410"/>
      <c r="AB444" s="405"/>
      <c r="AC444" s="405"/>
    </row>
    <row r="445">
      <c r="A445" s="405" t="s">
        <v>1458</v>
      </c>
      <c r="B445" s="405" t="s">
        <v>1200</v>
      </c>
      <c r="C445" s="406">
        <f t="shared" si="1"/>
        <v>0</v>
      </c>
      <c r="D445" s="407">
        <v>141.0</v>
      </c>
      <c r="E445" s="408"/>
      <c r="F445" s="408">
        <v>165.0</v>
      </c>
      <c r="G445" s="408">
        <v>125.0</v>
      </c>
      <c r="H445" s="408">
        <v>100.0</v>
      </c>
      <c r="I445" s="408">
        <v>150.0</v>
      </c>
      <c r="J445" s="408">
        <v>150.0</v>
      </c>
      <c r="K445" s="409" t="s">
        <v>299</v>
      </c>
      <c r="L445" s="407">
        <v>4.0</v>
      </c>
      <c r="M445" s="408"/>
      <c r="N445" s="408"/>
      <c r="O445" s="408"/>
      <c r="P445" s="408"/>
      <c r="Q445" s="408"/>
      <c r="R445" s="408">
        <v>100.0</v>
      </c>
      <c r="S445" s="408"/>
      <c r="T445" s="408">
        <v>80.0</v>
      </c>
      <c r="U445" s="409"/>
      <c r="V445" s="407">
        <v>0.0</v>
      </c>
      <c r="W445" s="408">
        <v>0.0</v>
      </c>
      <c r="X445" s="408">
        <v>0.0</v>
      </c>
      <c r="Y445" s="408">
        <v>130.0</v>
      </c>
      <c r="Z445" s="409">
        <v>130.0</v>
      </c>
      <c r="AA445" s="410"/>
      <c r="AB445" s="405"/>
      <c r="AC445" s="405"/>
    </row>
    <row r="446">
      <c r="A446" s="405" t="s">
        <v>1459</v>
      </c>
      <c r="B446" s="405" t="s">
        <v>1460</v>
      </c>
      <c r="C446" s="406">
        <f t="shared" si="1"/>
        <v>0</v>
      </c>
      <c r="D446" s="407">
        <v>180.0</v>
      </c>
      <c r="E446" s="408">
        <v>80.0</v>
      </c>
      <c r="F446" s="408">
        <v>160.0</v>
      </c>
      <c r="G446" s="408">
        <v>240.0</v>
      </c>
      <c r="H446" s="408">
        <v>120.0</v>
      </c>
      <c r="I446" s="408">
        <v>120.0</v>
      </c>
      <c r="J446" s="408">
        <v>240.0</v>
      </c>
      <c r="K446" s="409"/>
      <c r="L446" s="407"/>
      <c r="M446" s="408">
        <v>0.0</v>
      </c>
      <c r="N446" s="408">
        <v>0.0</v>
      </c>
      <c r="O446" s="408">
        <v>0.0</v>
      </c>
      <c r="P446" s="408">
        <v>0.0</v>
      </c>
      <c r="Q446" s="408">
        <v>0.0</v>
      </c>
      <c r="R446" s="408">
        <v>0.0</v>
      </c>
      <c r="S446" s="408"/>
      <c r="T446" s="408">
        <v>0.0</v>
      </c>
      <c r="U446" s="409"/>
      <c r="V446" s="407">
        <v>0.0</v>
      </c>
      <c r="W446" s="408">
        <v>0.0</v>
      </c>
      <c r="X446" s="408">
        <v>0.0</v>
      </c>
      <c r="Y446" s="408">
        <v>0.0</v>
      </c>
      <c r="Z446" s="409">
        <v>0.0</v>
      </c>
      <c r="AA446" s="410"/>
      <c r="AB446" s="405"/>
      <c r="AC446" s="405"/>
    </row>
    <row r="447">
      <c r="A447" s="405" t="s">
        <v>1461</v>
      </c>
      <c r="B447" s="405"/>
      <c r="C447" s="406">
        <f t="shared" si="1"/>
        <v>0</v>
      </c>
      <c r="D447" s="407">
        <v>142.0</v>
      </c>
      <c r="E447" s="408">
        <v>150.0</v>
      </c>
      <c r="F447" s="408">
        <v>83.0</v>
      </c>
      <c r="G447" s="408">
        <v>76.0</v>
      </c>
      <c r="H447" s="408">
        <v>127.0</v>
      </c>
      <c r="I447" s="408">
        <v>50.0</v>
      </c>
      <c r="J447" s="408">
        <v>150.0</v>
      </c>
      <c r="K447" s="409"/>
      <c r="L447" s="407"/>
      <c r="M447" s="408">
        <v>0.0</v>
      </c>
      <c r="N447" s="408">
        <v>0.0</v>
      </c>
      <c r="O447" s="408">
        <v>0.0</v>
      </c>
      <c r="P447" s="408">
        <v>0.0</v>
      </c>
      <c r="Q447" s="408">
        <v>0.0</v>
      </c>
      <c r="R447" s="408">
        <v>0.0</v>
      </c>
      <c r="S447" s="408"/>
      <c r="T447" s="408">
        <v>20.0</v>
      </c>
      <c r="U447" s="409"/>
      <c r="V447" s="407">
        <v>0.0</v>
      </c>
      <c r="W447" s="408">
        <v>0.0</v>
      </c>
      <c r="X447" s="408">
        <v>0.0</v>
      </c>
      <c r="Y447" s="408">
        <v>-5.0</v>
      </c>
      <c r="Z447" s="409">
        <v>0.0</v>
      </c>
      <c r="AA447" s="410"/>
      <c r="AB447" s="405" t="s">
        <v>931</v>
      </c>
      <c r="AC447" s="405"/>
    </row>
    <row r="448">
      <c r="A448" s="306" t="s">
        <v>1462</v>
      </c>
      <c r="B448" s="417" t="s">
        <v>1463</v>
      </c>
      <c r="C448" s="390">
        <f t="shared" si="1"/>
        <v>0</v>
      </c>
      <c r="D448" s="387">
        <v>13.0</v>
      </c>
      <c r="E448" s="388">
        <v>22.0</v>
      </c>
      <c r="F448" s="388">
        <v>8.0</v>
      </c>
      <c r="G448" s="388">
        <v>9.0</v>
      </c>
      <c r="H448" s="388">
        <v>10.0</v>
      </c>
      <c r="I448" s="388">
        <v>1.0</v>
      </c>
      <c r="J448" s="388">
        <v>1.0</v>
      </c>
      <c r="K448" s="389" t="s">
        <v>299</v>
      </c>
      <c r="L448" s="387">
        <v>4.0</v>
      </c>
      <c r="M448" s="388">
        <v>0.0</v>
      </c>
      <c r="N448" s="388">
        <v>0.0</v>
      </c>
      <c r="O448" s="388">
        <v>0.0</v>
      </c>
      <c r="P448" s="388">
        <v>0.0</v>
      </c>
      <c r="Q448" s="388">
        <v>0.0</v>
      </c>
      <c r="R448" s="388">
        <v>0.0</v>
      </c>
      <c r="S448" s="388"/>
      <c r="T448" s="388">
        <v>0.0</v>
      </c>
      <c r="U448" s="389">
        <v>0.0</v>
      </c>
      <c r="V448" s="387">
        <v>0.0</v>
      </c>
      <c r="W448" s="388">
        <v>0.0</v>
      </c>
      <c r="X448" s="388">
        <v>0.0</v>
      </c>
      <c r="Y448" s="388">
        <v>0.0</v>
      </c>
      <c r="Z448" s="389">
        <v>0.0</v>
      </c>
      <c r="AA448" s="305"/>
      <c r="AB448" s="306" t="s">
        <v>929</v>
      </c>
      <c r="AC448" s="306"/>
    </row>
    <row r="449">
      <c r="A449" s="306" t="s">
        <v>1464</v>
      </c>
      <c r="B449" s="424" t="s">
        <v>1465</v>
      </c>
      <c r="C449" s="390">
        <f t="shared" si="1"/>
        <v>0</v>
      </c>
      <c r="D449" s="387">
        <v>18.0</v>
      </c>
      <c r="E449" s="388">
        <v>24.0</v>
      </c>
      <c r="F449" s="388">
        <v>13.0</v>
      </c>
      <c r="G449" s="388">
        <v>13.0</v>
      </c>
      <c r="H449" s="388">
        <v>18.0</v>
      </c>
      <c r="I449" s="388">
        <v>1.0</v>
      </c>
      <c r="J449" s="388">
        <v>1.0</v>
      </c>
      <c r="K449" s="389" t="s">
        <v>299</v>
      </c>
      <c r="L449" s="387">
        <v>4.0</v>
      </c>
      <c r="M449" s="388">
        <v>0.0</v>
      </c>
      <c r="N449" s="388">
        <v>0.0</v>
      </c>
      <c r="O449" s="388">
        <v>0.0</v>
      </c>
      <c r="P449" s="388">
        <v>0.0</v>
      </c>
      <c r="Q449" s="388">
        <v>0.0</v>
      </c>
      <c r="R449" s="388">
        <v>0.0</v>
      </c>
      <c r="S449" s="388"/>
      <c r="T449" s="388">
        <v>0.0</v>
      </c>
      <c r="U449" s="389">
        <v>0.0</v>
      </c>
      <c r="V449" s="387">
        <v>0.0</v>
      </c>
      <c r="W449" s="388">
        <v>0.0</v>
      </c>
      <c r="X449" s="388">
        <v>0.0</v>
      </c>
      <c r="Y449" s="388">
        <v>0.0</v>
      </c>
      <c r="Z449" s="389">
        <v>0.0</v>
      </c>
      <c r="AA449" s="305"/>
      <c r="AB449" s="306" t="s">
        <v>929</v>
      </c>
      <c r="AC449" s="306"/>
    </row>
    <row r="450">
      <c r="A450" s="306" t="s">
        <v>1466</v>
      </c>
      <c r="B450" s="417" t="s">
        <v>1467</v>
      </c>
      <c r="C450" s="390">
        <f t="shared" si="1"/>
        <v>0</v>
      </c>
      <c r="D450" s="387">
        <v>24.0</v>
      </c>
      <c r="E450" s="388">
        <v>30.0</v>
      </c>
      <c r="F450" s="388">
        <v>19.0</v>
      </c>
      <c r="G450" s="388">
        <v>21.0</v>
      </c>
      <c r="H450" s="388">
        <v>16.0</v>
      </c>
      <c r="I450" s="388">
        <v>1.0</v>
      </c>
      <c r="J450" s="388">
        <v>1.0</v>
      </c>
      <c r="K450" s="389" t="s">
        <v>301</v>
      </c>
      <c r="L450" s="387">
        <v>5.0</v>
      </c>
      <c r="M450" s="388">
        <v>0.0</v>
      </c>
      <c r="N450" s="388">
        <v>0.0</v>
      </c>
      <c r="O450" s="388">
        <v>0.0</v>
      </c>
      <c r="P450" s="388">
        <v>5.0</v>
      </c>
      <c r="Q450" s="388">
        <v>7.0</v>
      </c>
      <c r="R450" s="388">
        <v>0.0</v>
      </c>
      <c r="S450" s="388"/>
      <c r="T450" s="388">
        <v>0.0</v>
      </c>
      <c r="U450" s="389">
        <v>0.0</v>
      </c>
      <c r="V450" s="387">
        <v>9.0</v>
      </c>
      <c r="W450" s="388">
        <v>8.0</v>
      </c>
      <c r="X450" s="388">
        <v>12.0</v>
      </c>
      <c r="Y450" s="388">
        <v>10.0</v>
      </c>
      <c r="Z450" s="389">
        <v>11.0</v>
      </c>
      <c r="AA450" s="305"/>
      <c r="AB450" s="306" t="s">
        <v>929</v>
      </c>
      <c r="AC450" s="306"/>
    </row>
    <row r="451">
      <c r="A451" s="405" t="s">
        <v>1468</v>
      </c>
      <c r="B451" s="405"/>
      <c r="C451" s="406">
        <f t="shared" si="1"/>
        <v>0</v>
      </c>
      <c r="D451" s="407">
        <v>725.0</v>
      </c>
      <c r="E451" s="408">
        <v>500.0</v>
      </c>
      <c r="F451" s="408"/>
      <c r="G451" s="408"/>
      <c r="H451" s="408">
        <v>300.0</v>
      </c>
      <c r="I451" s="408">
        <v>300.0</v>
      </c>
      <c r="J451" s="408">
        <v>300.0</v>
      </c>
      <c r="K451" s="409"/>
      <c r="L451" s="407"/>
      <c r="M451" s="408">
        <v>0.0</v>
      </c>
      <c r="N451" s="408">
        <v>0.0</v>
      </c>
      <c r="O451" s="408">
        <v>0.0</v>
      </c>
      <c r="P451" s="408">
        <v>0.0</v>
      </c>
      <c r="Q451" s="408">
        <v>0.0</v>
      </c>
      <c r="R451" s="408">
        <v>50.0</v>
      </c>
      <c r="S451" s="408">
        <v>20.0</v>
      </c>
      <c r="T451" s="408">
        <v>50.0</v>
      </c>
      <c r="U451" s="409">
        <v>20.0</v>
      </c>
      <c r="V451" s="425"/>
      <c r="W451" s="426"/>
      <c r="X451" s="426"/>
      <c r="Y451" s="408">
        <v>0.0</v>
      </c>
      <c r="Z451" s="409">
        <v>300.0</v>
      </c>
      <c r="AA451" s="410"/>
      <c r="AB451" s="405"/>
      <c r="AC451" s="405"/>
    </row>
    <row r="452">
      <c r="A452" s="405" t="s">
        <v>1469</v>
      </c>
      <c r="B452" s="405"/>
      <c r="C452" s="406">
        <f t="shared" si="1"/>
        <v>0</v>
      </c>
      <c r="D452" s="407">
        <v>725.0</v>
      </c>
      <c r="E452" s="408">
        <v>500.0</v>
      </c>
      <c r="F452" s="408"/>
      <c r="G452" s="408"/>
      <c r="H452" s="408">
        <v>300.0</v>
      </c>
      <c r="I452" s="408">
        <v>300.0</v>
      </c>
      <c r="J452" s="408">
        <v>300.0</v>
      </c>
      <c r="K452" s="409"/>
      <c r="L452" s="407"/>
      <c r="M452" s="408">
        <v>0.0</v>
      </c>
      <c r="N452" s="408">
        <v>0.0</v>
      </c>
      <c r="O452" s="408">
        <v>0.0</v>
      </c>
      <c r="P452" s="408">
        <v>0.0</v>
      </c>
      <c r="Q452" s="408">
        <v>0.0</v>
      </c>
      <c r="R452" s="408">
        <v>50.0</v>
      </c>
      <c r="S452" s="408">
        <v>20.0</v>
      </c>
      <c r="T452" s="408">
        <v>50.0</v>
      </c>
      <c r="U452" s="409">
        <v>20.0</v>
      </c>
      <c r="V452" s="425"/>
      <c r="W452" s="426"/>
      <c r="X452" s="426"/>
      <c r="Y452" s="408">
        <v>-45.0</v>
      </c>
      <c r="Z452" s="409">
        <v>50.0</v>
      </c>
      <c r="AA452" s="410"/>
      <c r="AB452" s="405"/>
      <c r="AC452" s="405"/>
    </row>
    <row r="453">
      <c r="A453" s="405" t="s">
        <v>1470</v>
      </c>
      <c r="B453" s="405"/>
      <c r="C453" s="406">
        <f t="shared" si="1"/>
        <v>0</v>
      </c>
      <c r="D453" s="407">
        <v>725.0</v>
      </c>
      <c r="E453" s="408">
        <v>500.0</v>
      </c>
      <c r="F453" s="408"/>
      <c r="G453" s="408"/>
      <c r="H453" s="408">
        <v>300.0</v>
      </c>
      <c r="I453" s="408">
        <v>300.0</v>
      </c>
      <c r="J453" s="408">
        <v>300.0</v>
      </c>
      <c r="K453" s="409"/>
      <c r="L453" s="407"/>
      <c r="M453" s="408">
        <v>0.0</v>
      </c>
      <c r="N453" s="408">
        <v>0.0</v>
      </c>
      <c r="O453" s="408">
        <v>0.0</v>
      </c>
      <c r="P453" s="408">
        <v>0.0</v>
      </c>
      <c r="Q453" s="408">
        <v>0.0</v>
      </c>
      <c r="R453" s="408">
        <v>50.0</v>
      </c>
      <c r="S453" s="408">
        <v>20.0</v>
      </c>
      <c r="T453" s="408">
        <v>50.0</v>
      </c>
      <c r="U453" s="409">
        <v>20.0</v>
      </c>
      <c r="V453" s="425"/>
      <c r="W453" s="426"/>
      <c r="X453" s="426"/>
      <c r="Y453" s="408">
        <v>300.0</v>
      </c>
      <c r="Z453" s="409">
        <v>0.0</v>
      </c>
      <c r="AA453" s="410"/>
      <c r="AB453" s="405"/>
      <c r="AC453" s="405"/>
    </row>
    <row r="454">
      <c r="A454" s="405" t="s">
        <v>1471</v>
      </c>
      <c r="B454" s="405"/>
      <c r="C454" s="406">
        <f t="shared" si="1"/>
        <v>0</v>
      </c>
      <c r="D454" s="407">
        <v>74.0</v>
      </c>
      <c r="E454" s="408">
        <v>65.0</v>
      </c>
      <c r="F454" s="408">
        <v>65.0</v>
      </c>
      <c r="G454" s="408">
        <v>65.0</v>
      </c>
      <c r="H454" s="408">
        <v>65.0</v>
      </c>
      <c r="I454" s="408">
        <v>65.0</v>
      </c>
      <c r="J454" s="408">
        <v>65.0</v>
      </c>
      <c r="K454" s="409"/>
      <c r="L454" s="407"/>
      <c r="M454" s="408">
        <v>0.0</v>
      </c>
      <c r="N454" s="408">
        <v>0.0</v>
      </c>
      <c r="O454" s="408">
        <v>0.0</v>
      </c>
      <c r="P454" s="408">
        <v>30.0</v>
      </c>
      <c r="Q454" s="408">
        <v>0.0</v>
      </c>
      <c r="R454" s="408">
        <v>0.0</v>
      </c>
      <c r="S454" s="408"/>
      <c r="T454" s="408">
        <v>0.0</v>
      </c>
      <c r="U454" s="409"/>
      <c r="V454" s="407">
        <v>10.0</v>
      </c>
      <c r="W454" s="408">
        <v>10.0</v>
      </c>
      <c r="X454" s="408">
        <v>10.0</v>
      </c>
      <c r="Y454" s="408">
        <v>20.0</v>
      </c>
      <c r="Z454" s="409">
        <v>20.0</v>
      </c>
      <c r="AA454" s="410"/>
      <c r="AB454" s="405"/>
      <c r="AC454" s="405"/>
    </row>
    <row r="455">
      <c r="A455" s="405" t="s">
        <v>1472</v>
      </c>
      <c r="B455" s="405"/>
      <c r="C455" s="406">
        <f t="shared" si="1"/>
        <v>0</v>
      </c>
      <c r="D455" s="407">
        <v>86.0</v>
      </c>
      <c r="E455" s="408">
        <v>75.0</v>
      </c>
      <c r="F455" s="408">
        <v>75.0</v>
      </c>
      <c r="G455" s="408">
        <v>75.0</v>
      </c>
      <c r="H455" s="408">
        <v>75.0</v>
      </c>
      <c r="I455" s="408">
        <v>75.0</v>
      </c>
      <c r="J455" s="408">
        <v>75.0</v>
      </c>
      <c r="K455" s="409"/>
      <c r="L455" s="407"/>
      <c r="M455" s="408">
        <v>0.0</v>
      </c>
      <c r="N455" s="408">
        <v>0.0</v>
      </c>
      <c r="O455" s="408">
        <v>0.0</v>
      </c>
      <c r="P455" s="408">
        <v>30.0</v>
      </c>
      <c r="Q455" s="408">
        <v>0.0</v>
      </c>
      <c r="R455" s="408">
        <v>0.0</v>
      </c>
      <c r="S455" s="408"/>
      <c r="T455" s="408">
        <v>0.0</v>
      </c>
      <c r="U455" s="409"/>
      <c r="V455" s="407">
        <v>10.0</v>
      </c>
      <c r="W455" s="408">
        <v>10.0</v>
      </c>
      <c r="X455" s="408">
        <v>10.0</v>
      </c>
      <c r="Y455" s="408">
        <v>20.0</v>
      </c>
      <c r="Z455" s="409">
        <v>20.0</v>
      </c>
      <c r="AA455" s="410"/>
      <c r="AB455" s="405"/>
      <c r="AC455" s="405"/>
    </row>
    <row r="456">
      <c r="A456" s="306"/>
      <c r="B456" s="306"/>
      <c r="C456" s="390">
        <f t="shared" si="1"/>
        <v>0</v>
      </c>
      <c r="D456" s="387"/>
      <c r="E456" s="388"/>
      <c r="F456" s="388"/>
      <c r="G456" s="391"/>
      <c r="H456" s="388"/>
      <c r="I456" s="391"/>
      <c r="J456" s="391"/>
      <c r="K456" s="392"/>
      <c r="L456" s="387"/>
      <c r="M456" s="388"/>
      <c r="N456" s="388"/>
      <c r="O456" s="388"/>
      <c r="P456" s="388"/>
      <c r="Q456" s="388"/>
      <c r="R456" s="388"/>
      <c r="S456" s="388"/>
      <c r="T456" s="388"/>
      <c r="U456" s="389"/>
      <c r="V456" s="387"/>
      <c r="W456" s="388"/>
      <c r="X456" s="388"/>
      <c r="Y456" s="388"/>
      <c r="Z456" s="389"/>
      <c r="AA456" s="305"/>
      <c r="AB456" s="306"/>
      <c r="AC456" s="306"/>
    </row>
    <row r="457">
      <c r="A457" s="306" t="s">
        <v>1473</v>
      </c>
      <c r="B457" s="306" t="s">
        <v>1474</v>
      </c>
      <c r="C457" s="390">
        <f t="shared" si="1"/>
        <v>0</v>
      </c>
      <c r="D457" s="387">
        <v>940.0</v>
      </c>
      <c r="E457" s="388">
        <f>int(if(OR(Size=3,Size=2,Size=1),75%,if(Size=4,87.5%,1))*3500)</f>
        <v>2625</v>
      </c>
      <c r="F457" s="388">
        <v>350.0</v>
      </c>
      <c r="G457" s="388">
        <v>350.0</v>
      </c>
      <c r="H457" s="388">
        <v>200.0</v>
      </c>
      <c r="I457" s="388">
        <v>350.0</v>
      </c>
      <c r="J457" s="388">
        <v>350.0</v>
      </c>
      <c r="K457" s="392"/>
      <c r="L457" s="387">
        <v>10.0</v>
      </c>
      <c r="M457" s="391"/>
      <c r="N457" s="391"/>
      <c r="O457" s="391"/>
      <c r="P457" s="391"/>
      <c r="Q457" s="391"/>
      <c r="R457" s="388">
        <v>350.0</v>
      </c>
      <c r="S457" s="388"/>
      <c r="T457" s="388"/>
      <c r="U457" s="389"/>
      <c r="V457" s="387"/>
      <c r="W457" s="388"/>
      <c r="X457" s="388"/>
      <c r="Y457" s="388"/>
      <c r="Z457" s="389"/>
      <c r="AA457" s="394"/>
      <c r="AB457" s="395"/>
      <c r="AC457" s="395"/>
    </row>
    <row r="458">
      <c r="A458" s="306" t="s">
        <v>1475</v>
      </c>
      <c r="B458" s="306" t="s">
        <v>1474</v>
      </c>
      <c r="C458" s="390">
        <f t="shared" si="1"/>
        <v>0.7</v>
      </c>
      <c r="D458" s="387">
        <v>870.0</v>
      </c>
      <c r="E458" s="388">
        <f>int(if(OR(Size=3,Size=2,Size=1),75%,if(Size=4,87.5%,1))*2000)</f>
        <v>1500</v>
      </c>
      <c r="F458" s="388">
        <v>250.0</v>
      </c>
      <c r="G458" s="388">
        <v>340.0</v>
      </c>
      <c r="H458" s="388">
        <v>100.0</v>
      </c>
      <c r="I458" s="388">
        <v>150.0</v>
      </c>
      <c r="J458" s="388">
        <v>180.0</v>
      </c>
      <c r="K458" s="392"/>
      <c r="L458" s="393"/>
      <c r="M458" s="391"/>
      <c r="N458" s="391"/>
      <c r="O458" s="391"/>
      <c r="P458" s="388">
        <v>150.0</v>
      </c>
      <c r="Q458" s="388">
        <v>82.0</v>
      </c>
      <c r="R458" s="391"/>
      <c r="S458" s="388"/>
      <c r="T458" s="388">
        <v>180.0</v>
      </c>
      <c r="U458" s="389">
        <v>4.0</v>
      </c>
      <c r="V458" s="387">
        <v>40.0</v>
      </c>
      <c r="W458" s="388">
        <v>20.0</v>
      </c>
      <c r="X458" s="388">
        <v>40.0</v>
      </c>
      <c r="Y458" s="388">
        <v>600.0</v>
      </c>
      <c r="Z458" s="389">
        <v>800.0</v>
      </c>
      <c r="AA458" s="394"/>
      <c r="AB458" s="306" t="s">
        <v>929</v>
      </c>
      <c r="AC458" s="395"/>
    </row>
    <row r="459">
      <c r="A459" s="306" t="s">
        <v>1476</v>
      </c>
      <c r="B459" s="306" t="s">
        <v>1474</v>
      </c>
      <c r="C459" s="390">
        <f t="shared" si="1"/>
        <v>0.525</v>
      </c>
      <c r="D459" s="387">
        <v>995.0</v>
      </c>
      <c r="E459" s="388">
        <f>int(if(OR(Size=3,Size=2,Size=1),75%,if(Size=4,87.5%,1))*4000)</f>
        <v>3000</v>
      </c>
      <c r="F459" s="388">
        <v>250.0</v>
      </c>
      <c r="G459" s="388">
        <v>250.0</v>
      </c>
      <c r="H459" s="388">
        <v>200.0</v>
      </c>
      <c r="I459" s="388">
        <v>250.0</v>
      </c>
      <c r="J459" s="388">
        <v>0.0</v>
      </c>
      <c r="K459" s="392"/>
      <c r="L459" s="393"/>
      <c r="M459" s="391"/>
      <c r="N459" s="391"/>
      <c r="O459" s="391"/>
      <c r="P459" s="391"/>
      <c r="Q459" s="388">
        <v>48.0</v>
      </c>
      <c r="R459" s="391"/>
      <c r="S459" s="391"/>
      <c r="T459" s="391"/>
      <c r="U459" s="391"/>
      <c r="V459" s="387">
        <v>70.0</v>
      </c>
      <c r="W459" s="388">
        <v>70.0</v>
      </c>
      <c r="X459" s="388">
        <v>70.0</v>
      </c>
      <c r="Y459" s="388">
        <v>30.0</v>
      </c>
      <c r="Z459" s="389">
        <v>150.0</v>
      </c>
      <c r="AA459" s="352"/>
    </row>
    <row r="460">
      <c r="A460" s="306" t="s">
        <v>1477</v>
      </c>
      <c r="B460" s="306" t="s">
        <v>1474</v>
      </c>
      <c r="C460" s="390">
        <f t="shared" si="1"/>
        <v>0.05</v>
      </c>
      <c r="D460" s="387">
        <v>1040.0</v>
      </c>
      <c r="E460" s="388">
        <f>int(if(OR(Size=3,Size=2,Size=1),75%,if(Size=4,87.5%,1))*2000)</f>
        <v>1500</v>
      </c>
      <c r="F460" s="388">
        <v>400.0</v>
      </c>
      <c r="G460" s="388">
        <v>400.0</v>
      </c>
      <c r="H460" s="388">
        <v>20.0</v>
      </c>
      <c r="I460" s="388">
        <v>400.0</v>
      </c>
      <c r="J460" s="388">
        <v>400.0</v>
      </c>
      <c r="K460" s="392"/>
      <c r="L460" s="387">
        <v>4.0</v>
      </c>
      <c r="M460" s="391"/>
      <c r="N460" s="391"/>
      <c r="O460" s="391"/>
      <c r="P460" s="391"/>
      <c r="Q460" s="388"/>
      <c r="R460" s="388">
        <v>80.0</v>
      </c>
      <c r="S460" s="388">
        <v>150.0</v>
      </c>
      <c r="T460" s="388">
        <v>80.0</v>
      </c>
      <c r="U460" s="388">
        <v>80.0</v>
      </c>
      <c r="V460" s="387">
        <v>20.0</v>
      </c>
      <c r="W460" s="388">
        <v>20.0</v>
      </c>
      <c r="X460" s="388">
        <v>20.0</v>
      </c>
      <c r="Y460" s="388">
        <v>20.0</v>
      </c>
      <c r="Z460" s="389">
        <v>20.0</v>
      </c>
      <c r="AA460" s="394"/>
      <c r="AB460" s="395"/>
      <c r="AC460" s="395"/>
    </row>
    <row r="461">
      <c r="A461" s="306" t="s">
        <v>1478</v>
      </c>
      <c r="B461" s="306" t="s">
        <v>1474</v>
      </c>
      <c r="C461" s="390">
        <f t="shared" si="1"/>
        <v>0.35</v>
      </c>
      <c r="D461" s="387">
        <v>1265.0</v>
      </c>
      <c r="E461" s="388">
        <f>int(if(OR(Size=3,Size=2,Size=1),75%,if(Size=4,87.5%,1))*3250)</f>
        <v>2437</v>
      </c>
      <c r="F461" s="388">
        <v>400.0</v>
      </c>
      <c r="G461" s="388">
        <v>400.0</v>
      </c>
      <c r="H461" s="388">
        <v>200.0</v>
      </c>
      <c r="I461" s="388">
        <v>400.0</v>
      </c>
      <c r="J461" s="388">
        <v>400.0</v>
      </c>
      <c r="K461" s="392"/>
      <c r="L461" s="393"/>
      <c r="M461" s="391"/>
      <c r="N461" s="391"/>
      <c r="O461" s="391"/>
      <c r="P461" s="391"/>
      <c r="Q461" s="388"/>
      <c r="R461" s="388">
        <v>80.0</v>
      </c>
      <c r="S461" s="388"/>
      <c r="T461" s="388">
        <v>80.0</v>
      </c>
      <c r="U461" s="389">
        <v>80.0</v>
      </c>
      <c r="V461" s="387">
        <v>100.0</v>
      </c>
      <c r="W461" s="388">
        <v>60.0</v>
      </c>
      <c r="X461" s="388">
        <v>100.0</v>
      </c>
      <c r="Y461" s="388">
        <v>70.0</v>
      </c>
      <c r="Z461" s="389">
        <v>250.0</v>
      </c>
      <c r="AA461" s="394"/>
      <c r="AB461" s="395"/>
      <c r="AC461" s="395"/>
    </row>
    <row r="462">
      <c r="A462" s="306" t="s">
        <v>1479</v>
      </c>
      <c r="B462" s="306" t="s">
        <v>1474</v>
      </c>
      <c r="C462" s="390">
        <f t="shared" si="1"/>
        <v>0.675</v>
      </c>
      <c r="D462" s="387">
        <v>1520.0</v>
      </c>
      <c r="E462" s="388">
        <f>int(if(OR(Size=3,Size=2,Size=1),75%,if(Size=4,87.5%,1))*3250)</f>
        <v>2437</v>
      </c>
      <c r="F462" s="388">
        <v>400.0</v>
      </c>
      <c r="G462" s="388">
        <v>400.0</v>
      </c>
      <c r="H462" s="388">
        <v>150.0</v>
      </c>
      <c r="I462" s="388">
        <v>300.0</v>
      </c>
      <c r="J462" s="388">
        <v>300.0</v>
      </c>
      <c r="K462" s="392"/>
      <c r="L462" s="393"/>
      <c r="M462" s="391"/>
      <c r="N462" s="391"/>
      <c r="O462" s="391"/>
      <c r="P462" s="388">
        <v>80.0</v>
      </c>
      <c r="Q462" s="388">
        <v>30.0</v>
      </c>
      <c r="R462" s="388">
        <v>80.0</v>
      </c>
      <c r="S462" s="388">
        <v>5.0</v>
      </c>
      <c r="T462" s="388">
        <v>80.0</v>
      </c>
      <c r="U462" s="389">
        <v>5.0</v>
      </c>
      <c r="V462" s="387">
        <v>70.0</v>
      </c>
      <c r="W462" s="388">
        <v>30.0</v>
      </c>
      <c r="X462" s="388">
        <v>70.0</v>
      </c>
      <c r="Y462" s="388">
        <v>100.0</v>
      </c>
      <c r="Z462" s="389">
        <v>230.0</v>
      </c>
      <c r="AA462" s="394"/>
      <c r="AB462" s="395"/>
      <c r="AC462" s="395"/>
    </row>
    <row r="463">
      <c r="A463" s="306" t="s">
        <v>169</v>
      </c>
      <c r="B463" s="306" t="s">
        <v>1474</v>
      </c>
      <c r="C463" s="390">
        <f t="shared" si="1"/>
        <v>0</v>
      </c>
      <c r="D463" s="387">
        <v>115.0</v>
      </c>
      <c r="E463" s="388">
        <f>int(if(OR(Size=3,Size=2,Size=1),75%,if(Size=4,87.5%,1))*200)</f>
        <v>150</v>
      </c>
      <c r="F463" s="388">
        <v>100.0</v>
      </c>
      <c r="G463" s="388">
        <v>100.0</v>
      </c>
      <c r="H463" s="388">
        <v>100.0</v>
      </c>
      <c r="I463" s="388">
        <v>100.0</v>
      </c>
      <c r="J463" s="388">
        <v>100.0</v>
      </c>
      <c r="K463" s="392"/>
      <c r="L463" s="393"/>
      <c r="M463" s="391"/>
      <c r="N463" s="391"/>
      <c r="O463" s="391"/>
      <c r="P463" s="391"/>
      <c r="Q463" s="391"/>
      <c r="R463" s="391"/>
      <c r="S463" s="391"/>
      <c r="T463" s="391"/>
      <c r="U463" s="392"/>
      <c r="V463" s="352"/>
      <c r="Z463" s="43"/>
      <c r="AA463" s="394"/>
      <c r="AB463" s="395"/>
      <c r="AC463" s="395"/>
    </row>
    <row r="464">
      <c r="A464" s="306" t="s">
        <v>1480</v>
      </c>
      <c r="B464" s="306" t="s">
        <v>1474</v>
      </c>
      <c r="C464" s="390">
        <f t="shared" si="1"/>
        <v>0</v>
      </c>
      <c r="D464" s="387">
        <v>960.0</v>
      </c>
      <c r="E464" s="388">
        <f>int(if(OR(Size=3,Size=2,Size=1),75%,if(Size=4,87.5%,1))*5080)</f>
        <v>3810</v>
      </c>
      <c r="F464" s="388">
        <v>1.0</v>
      </c>
      <c r="G464" s="388">
        <v>1.0</v>
      </c>
      <c r="H464" s="388">
        <v>250.0</v>
      </c>
      <c r="I464" s="388">
        <v>220.0</v>
      </c>
      <c r="J464" s="388">
        <v>1.0</v>
      </c>
      <c r="K464" s="392"/>
      <c r="L464" s="393"/>
      <c r="M464" s="391"/>
      <c r="N464" s="391"/>
      <c r="O464" s="391"/>
      <c r="P464" s="391"/>
      <c r="Q464" s="391"/>
      <c r="R464" s="391"/>
      <c r="S464" s="391"/>
      <c r="T464" s="391"/>
      <c r="U464" s="392"/>
      <c r="V464" s="393"/>
      <c r="W464" s="391"/>
      <c r="X464" s="391"/>
      <c r="Y464" s="391"/>
      <c r="Z464" s="389">
        <v>160.0</v>
      </c>
      <c r="AA464" s="394"/>
      <c r="AB464" s="395"/>
      <c r="AC464" s="395"/>
    </row>
    <row r="465">
      <c r="A465" s="306" t="s">
        <v>1481</v>
      </c>
      <c r="B465" s="306" t="s">
        <v>1474</v>
      </c>
      <c r="C465" s="390">
        <f t="shared" si="1"/>
        <v>0.175</v>
      </c>
      <c r="D465" s="387">
        <v>800.0</v>
      </c>
      <c r="E465" s="388">
        <f>int(if(OR(Size=3,Size=2,Size=1),75%,if(Size=4,87.5%,1))*2500)</f>
        <v>1875</v>
      </c>
      <c r="F465" s="388">
        <v>400.0</v>
      </c>
      <c r="G465" s="388">
        <v>350.0</v>
      </c>
      <c r="H465" s="388">
        <v>50.0</v>
      </c>
      <c r="I465" s="388">
        <v>50.0</v>
      </c>
      <c r="J465" s="388">
        <v>350.0</v>
      </c>
      <c r="K465" s="392"/>
      <c r="L465" s="393"/>
      <c r="M465" s="391"/>
      <c r="N465" s="391"/>
      <c r="O465" s="391"/>
      <c r="P465" s="391"/>
      <c r="Q465" s="388">
        <v>60.0</v>
      </c>
      <c r="R465" s="388">
        <v>600.0</v>
      </c>
      <c r="S465" s="388">
        <v>600.0</v>
      </c>
      <c r="T465" s="391"/>
      <c r="U465" s="389">
        <v>60.0</v>
      </c>
      <c r="V465" s="393"/>
      <c r="W465" s="391"/>
      <c r="X465" s="391"/>
      <c r="Y465" s="391"/>
      <c r="Z465" s="389"/>
      <c r="AA465" s="394"/>
      <c r="AB465" s="395"/>
      <c r="AC465" s="395"/>
    </row>
    <row r="466">
      <c r="A466" s="306" t="s">
        <v>1482</v>
      </c>
      <c r="B466" s="306" t="s">
        <v>1474</v>
      </c>
      <c r="C466" s="390">
        <f t="shared" si="1"/>
        <v>0</v>
      </c>
      <c r="D466" s="387">
        <v>162.0</v>
      </c>
      <c r="E466" s="388">
        <f>int(if(OR(Size=3,Size=2,Size=1),75%,if(Size=4,87.5%,1))*11)</f>
        <v>8</v>
      </c>
      <c r="F466" s="388">
        <v>200.0</v>
      </c>
      <c r="G466" s="388">
        <v>160.0</v>
      </c>
      <c r="H466" s="388">
        <v>1.0</v>
      </c>
      <c r="I466" s="388">
        <v>1.0</v>
      </c>
      <c r="J466" s="388">
        <v>200.0</v>
      </c>
      <c r="K466" s="392"/>
      <c r="L466" s="387">
        <v>3.0</v>
      </c>
      <c r="M466" s="391"/>
      <c r="N466" s="391"/>
      <c r="O466" s="391"/>
      <c r="P466" s="391"/>
      <c r="Q466" s="388"/>
      <c r="R466" s="388">
        <v>1073.0</v>
      </c>
      <c r="S466" s="388">
        <v>928.0</v>
      </c>
      <c r="T466" s="391"/>
      <c r="U466" s="389">
        <v>-15.0</v>
      </c>
      <c r="V466" s="393"/>
      <c r="W466" s="391"/>
      <c r="X466" s="391"/>
      <c r="Y466" s="391"/>
      <c r="Z466" s="389"/>
      <c r="AA466" s="394"/>
      <c r="AB466" s="395"/>
      <c r="AC466" s="395"/>
    </row>
    <row r="467">
      <c r="A467" s="306" t="s">
        <v>1483</v>
      </c>
      <c r="B467" s="306" t="s">
        <v>1474</v>
      </c>
      <c r="C467" s="390">
        <f t="shared" si="1"/>
        <v>0</v>
      </c>
      <c r="D467" s="387">
        <v>260.0</v>
      </c>
      <c r="E467" s="388">
        <f>int(if(OR(Size=3,Size=2,Size=1),75%,if(Size=4,87.5%,1))*22)</f>
        <v>16</v>
      </c>
      <c r="F467" s="388">
        <v>250.0</v>
      </c>
      <c r="G467" s="388">
        <v>230.0</v>
      </c>
      <c r="H467" s="388">
        <v>20.0</v>
      </c>
      <c r="I467" s="388">
        <v>20.0</v>
      </c>
      <c r="J467" s="388">
        <v>250.0</v>
      </c>
      <c r="K467" s="392"/>
      <c r="L467" s="387">
        <v>3.0</v>
      </c>
      <c r="M467" s="391"/>
      <c r="N467" s="391"/>
      <c r="O467" s="391"/>
      <c r="P467" s="391"/>
      <c r="Q467" s="388"/>
      <c r="R467" s="388">
        <v>500.0</v>
      </c>
      <c r="S467" s="388">
        <v>500.0</v>
      </c>
      <c r="T467" s="391"/>
      <c r="U467" s="389"/>
      <c r="V467" s="393"/>
      <c r="W467" s="391"/>
      <c r="X467" s="391"/>
      <c r="Y467" s="391"/>
      <c r="Z467" s="389"/>
      <c r="AA467" s="394"/>
      <c r="AB467" s="395"/>
      <c r="AC467" s="395"/>
    </row>
    <row r="468">
      <c r="A468" s="306" t="s">
        <v>1484</v>
      </c>
      <c r="B468" s="306" t="s">
        <v>1474</v>
      </c>
      <c r="C468" s="390">
        <f t="shared" si="1"/>
        <v>0</v>
      </c>
      <c r="D468" s="387">
        <v>162.0</v>
      </c>
      <c r="E468" s="388">
        <f>int(if(OR(Size=3,Size=2,Size=1),75%,if(Size=4,87.5%,1))*11)</f>
        <v>8</v>
      </c>
      <c r="F468" s="388">
        <v>200.0</v>
      </c>
      <c r="G468" s="388">
        <v>160.0</v>
      </c>
      <c r="H468" s="388">
        <v>1.0</v>
      </c>
      <c r="I468" s="388">
        <v>1.0</v>
      </c>
      <c r="J468" s="388">
        <v>200.0</v>
      </c>
      <c r="K468" s="392"/>
      <c r="L468" s="387">
        <v>3.0</v>
      </c>
      <c r="M468" s="391"/>
      <c r="N468" s="391"/>
      <c r="O468" s="391"/>
      <c r="P468" s="391"/>
      <c r="Q468" s="388"/>
      <c r="R468" s="388">
        <v>1073.0</v>
      </c>
      <c r="S468" s="388">
        <v>928.0</v>
      </c>
      <c r="T468" s="391"/>
      <c r="U468" s="389">
        <v>-15.0</v>
      </c>
      <c r="V468" s="393"/>
      <c r="W468" s="391"/>
      <c r="X468" s="391"/>
      <c r="Y468" s="391"/>
      <c r="Z468" s="389"/>
      <c r="AA468" s="394"/>
      <c r="AB468" s="395"/>
      <c r="AC468" s="395"/>
    </row>
    <row r="469">
      <c r="A469" s="306" t="s">
        <v>1485</v>
      </c>
      <c r="B469" s="306" t="s">
        <v>1474</v>
      </c>
      <c r="C469" s="390">
        <f t="shared" si="1"/>
        <v>0</v>
      </c>
      <c r="D469" s="387">
        <v>260.0</v>
      </c>
      <c r="E469" s="388">
        <f>int(if(OR(Size=3,Size=2,Size=1),75%,if(Size=4,87.5%,1))*22)</f>
        <v>16</v>
      </c>
      <c r="F469" s="388">
        <v>250.0</v>
      </c>
      <c r="G469" s="388">
        <v>230.0</v>
      </c>
      <c r="H469" s="388">
        <v>20.0</v>
      </c>
      <c r="I469" s="388">
        <v>20.0</v>
      </c>
      <c r="J469" s="388">
        <v>250.0</v>
      </c>
      <c r="K469" s="392"/>
      <c r="L469" s="387">
        <v>3.0</v>
      </c>
      <c r="M469" s="391"/>
      <c r="N469" s="391"/>
      <c r="O469" s="391"/>
      <c r="P469" s="391"/>
      <c r="Q469" s="388"/>
      <c r="R469" s="388">
        <v>500.0</v>
      </c>
      <c r="S469" s="388">
        <v>500.0</v>
      </c>
      <c r="T469" s="391"/>
      <c r="U469" s="389"/>
      <c r="V469" s="393"/>
      <c r="W469" s="391"/>
      <c r="X469" s="391"/>
      <c r="Y469" s="391"/>
      <c r="Z469" s="389"/>
      <c r="AA469" s="394"/>
      <c r="AB469" s="395"/>
      <c r="AC469" s="395"/>
    </row>
    <row r="470">
      <c r="A470" s="306" t="s">
        <v>1486</v>
      </c>
      <c r="B470" s="306" t="s">
        <v>1474</v>
      </c>
      <c r="C470" s="390">
        <f t="shared" si="1"/>
        <v>0</v>
      </c>
      <c r="D470" s="387">
        <v>162.0</v>
      </c>
      <c r="E470" s="388">
        <f>int(if(OR(Size=3,Size=2,Size=1),75%,if(Size=4,87.5%,1))*11)</f>
        <v>8</v>
      </c>
      <c r="F470" s="388">
        <v>200.0</v>
      </c>
      <c r="G470" s="388">
        <v>160.0</v>
      </c>
      <c r="H470" s="388">
        <v>1.0</v>
      </c>
      <c r="I470" s="388">
        <v>1.0</v>
      </c>
      <c r="J470" s="388">
        <v>200.0</v>
      </c>
      <c r="K470" s="392"/>
      <c r="L470" s="387">
        <v>3.0</v>
      </c>
      <c r="M470" s="391"/>
      <c r="N470" s="391"/>
      <c r="O470" s="391"/>
      <c r="P470" s="391"/>
      <c r="Q470" s="388"/>
      <c r="R470" s="388">
        <v>1073.0</v>
      </c>
      <c r="S470" s="388">
        <v>928.0</v>
      </c>
      <c r="T470" s="391"/>
      <c r="U470" s="389">
        <v>-15.0</v>
      </c>
      <c r="V470" s="393"/>
      <c r="W470" s="391"/>
      <c r="X470" s="391"/>
      <c r="Y470" s="391"/>
      <c r="Z470" s="389"/>
      <c r="AA470" s="394"/>
      <c r="AB470" s="395"/>
      <c r="AC470" s="395"/>
    </row>
    <row r="471">
      <c r="A471" s="306" t="s">
        <v>1487</v>
      </c>
      <c r="B471" s="306" t="s">
        <v>1474</v>
      </c>
      <c r="C471" s="390">
        <f t="shared" si="1"/>
        <v>0</v>
      </c>
      <c r="D471" s="387">
        <v>260.0</v>
      </c>
      <c r="E471" s="388">
        <f>int(if(OR(Size=3,Size=2,Size=1),75%,if(Size=4,87.5%,1))*22)</f>
        <v>16</v>
      </c>
      <c r="F471" s="388">
        <v>250.0</v>
      </c>
      <c r="G471" s="388">
        <v>230.0</v>
      </c>
      <c r="H471" s="388">
        <v>20.0</v>
      </c>
      <c r="I471" s="388">
        <v>20.0</v>
      </c>
      <c r="J471" s="388">
        <v>250.0</v>
      </c>
      <c r="K471" s="392"/>
      <c r="L471" s="387">
        <v>3.0</v>
      </c>
      <c r="M471" s="391"/>
      <c r="N471" s="391"/>
      <c r="O471" s="391"/>
      <c r="P471" s="391"/>
      <c r="Q471" s="388"/>
      <c r="R471" s="388">
        <v>500.0</v>
      </c>
      <c r="S471" s="388">
        <v>500.0</v>
      </c>
      <c r="T471" s="391"/>
      <c r="U471" s="389"/>
      <c r="V471" s="393"/>
      <c r="W471" s="391"/>
      <c r="X471" s="391"/>
      <c r="Y471" s="391"/>
      <c r="Z471" s="389"/>
      <c r="AA471" s="394"/>
      <c r="AB471" s="395"/>
      <c r="AC471" s="395"/>
    </row>
    <row r="472">
      <c r="A472" s="405" t="s">
        <v>1488</v>
      </c>
      <c r="B472" s="405" t="s">
        <v>1489</v>
      </c>
      <c r="C472" s="406">
        <f t="shared" si="1"/>
        <v>0.075</v>
      </c>
      <c r="D472" s="393"/>
      <c r="E472" s="388">
        <f>int(300*(1+int(Size/2)))</f>
        <v>300</v>
      </c>
      <c r="F472" s="388">
        <f>int(1*if(Size=1,1,(1+(0.07*(1+int(Size/5)))+0.01*(Size-1))))</f>
        <v>1</v>
      </c>
      <c r="G472" s="388">
        <f>int(1*if(Size=1,1,(1+(0.07*(1+int(Size/5)))+0.01*(Size-1))))</f>
        <v>1</v>
      </c>
      <c r="H472" s="388">
        <f>int(175*(1+(0.01*(Size-1))))</f>
        <v>175</v>
      </c>
      <c r="I472" s="388">
        <f>int(230*if(Size=1,1,(1+(0.07*(1+int(Size/5)))+0.01*(Size-1))))</f>
        <v>230</v>
      </c>
      <c r="J472" s="388">
        <f>int(230*if(Size=1,1,(1+(0.07*(1+int(Size/5)))+0.01*(Size-1))))</f>
        <v>230</v>
      </c>
      <c r="K472" s="392"/>
      <c r="L472" s="393"/>
      <c r="M472" s="391"/>
      <c r="N472" s="391"/>
      <c r="O472" s="391"/>
      <c r="P472" s="391"/>
      <c r="Q472" s="391"/>
      <c r="R472" s="391"/>
      <c r="S472" s="391"/>
      <c r="T472" s="391"/>
      <c r="U472" s="392"/>
      <c r="V472" s="387">
        <v>170.0</v>
      </c>
      <c r="W472" s="388">
        <v>190.0</v>
      </c>
      <c r="X472" s="388">
        <v>50.0</v>
      </c>
      <c r="Y472" s="388">
        <v>400.0</v>
      </c>
      <c r="Z472" s="389">
        <v>60.0</v>
      </c>
      <c r="AA472" s="394"/>
      <c r="AB472" s="395"/>
      <c r="AC472" s="395"/>
    </row>
    <row r="473">
      <c r="A473" s="405" t="s">
        <v>1490</v>
      </c>
      <c r="B473" s="405" t="s">
        <v>1489</v>
      </c>
      <c r="C473" s="406">
        <f t="shared" si="1"/>
        <v>0.025</v>
      </c>
      <c r="D473" s="393"/>
      <c r="E473" s="388">
        <f>int(116*(1+int(Size/2)))</f>
        <v>116</v>
      </c>
      <c r="F473" s="388">
        <f>int(1*if(Size=1,1,(1+(0.07*(1+int(Size/5)))+0.01*(Size-1))))</f>
        <v>1</v>
      </c>
      <c r="G473" s="388">
        <f>int(1*if(Size=1,1,(1+(0.07*(1+int(Size/5)))+0.01*(Size-1))))</f>
        <v>1</v>
      </c>
      <c r="H473" s="388">
        <f>int(100*(1+(0.01*(Size-1))))</f>
        <v>100</v>
      </c>
      <c r="I473" s="388">
        <f>int(1*if(Size=1,1,(1+(0.07*(1+int(Size/5)))+0.01*(Size-1))))</f>
        <v>1</v>
      </c>
      <c r="J473" s="388">
        <f>int(1*if(Size=1,1,(1+(0.07*(1+int(Size/5)))+0.01*(Size-1))))</f>
        <v>1</v>
      </c>
      <c r="K473" s="392"/>
      <c r="L473" s="393"/>
      <c r="P473" s="391"/>
      <c r="Q473" s="391"/>
      <c r="S473" s="391"/>
      <c r="U473" s="392"/>
      <c r="V473" s="387">
        <v>-5.0</v>
      </c>
      <c r="W473" s="388">
        <v>180.0</v>
      </c>
      <c r="X473" s="388">
        <v>180.0</v>
      </c>
      <c r="Y473" s="388">
        <v>0.0</v>
      </c>
      <c r="Z473" s="389">
        <v>0.0</v>
      </c>
      <c r="AA473" s="394"/>
      <c r="AB473" s="395"/>
      <c r="AC473" s="395"/>
    </row>
    <row r="474">
      <c r="A474" s="405" t="s">
        <v>1491</v>
      </c>
      <c r="B474" s="405" t="s">
        <v>1489</v>
      </c>
      <c r="C474" s="406">
        <f t="shared" si="1"/>
        <v>0.35</v>
      </c>
      <c r="D474" s="393"/>
      <c r="E474" s="388">
        <f>int(300*(1+int(Size/2)))</f>
        <v>300</v>
      </c>
      <c r="F474" s="388">
        <f>int(390*if(Size=1,1,(1+(0.07*(1+int(Size/5)))+0.01*(Size-1))))</f>
        <v>390</v>
      </c>
      <c r="G474" s="388">
        <f>int(390*if(Size=1,1,(1+(0.07*(1+int(Size/5)))+0.01*(Size-1))))</f>
        <v>390</v>
      </c>
      <c r="H474" s="388">
        <f>int(205*(1+(0.01*(Size-1))))</f>
        <v>205</v>
      </c>
      <c r="I474" s="388">
        <f>int(205*if(Size=1,1,(1+(0.07*(1+int(Size/5)))+0.01*(Size-1))))</f>
        <v>205</v>
      </c>
      <c r="J474" s="388">
        <f>int(1*if(Size=1,1,(1+(0.07*(1+int(Size/5)))+0.01*(Size-1))))</f>
        <v>1</v>
      </c>
      <c r="K474" s="392"/>
      <c r="L474" s="393"/>
      <c r="P474" s="388">
        <v>64.0</v>
      </c>
      <c r="Q474" s="388">
        <v>20.0</v>
      </c>
      <c r="S474" s="391"/>
      <c r="U474" s="392"/>
      <c r="V474" s="387">
        <v>155.0</v>
      </c>
      <c r="W474" s="388">
        <v>165.0</v>
      </c>
      <c r="X474" s="388">
        <v>105.0</v>
      </c>
      <c r="Y474" s="391"/>
      <c r="Z474" s="392"/>
      <c r="AA474" s="394"/>
      <c r="AB474" s="395"/>
      <c r="AC474" s="395"/>
    </row>
    <row r="475">
      <c r="A475" s="306" t="s">
        <v>1492</v>
      </c>
      <c r="B475" s="405" t="s">
        <v>1489</v>
      </c>
      <c r="C475" s="406">
        <f t="shared" si="1"/>
        <v>0.525</v>
      </c>
      <c r="D475" s="393"/>
      <c r="E475" s="388">
        <f>int(300*(1+int(Size/2)))</f>
        <v>300</v>
      </c>
      <c r="F475" s="388">
        <f>int(390*if(Size=1,1,(1+(0.07*(1+int(Size/5)))+0.01*(Size-1))))</f>
        <v>390</v>
      </c>
      <c r="G475" s="388">
        <f>int(390*if(Size=1,1,(1+(0.07*(1+int(Size/5)))+0.01*(Size-1))))</f>
        <v>390</v>
      </c>
      <c r="H475" s="388">
        <f>int(205*(1+(0.01*(Size-1))))</f>
        <v>205</v>
      </c>
      <c r="I475" s="388">
        <f>int(205*if(Size=1,1,(1+(0.07*(1+int(Size/5)))+0.01*(Size-1))))</f>
        <v>205</v>
      </c>
      <c r="J475" s="388">
        <f>int(1*if(Size=1,1,(1+(0.07*(1+int(Size/5)))+0.01*(Size-1))))</f>
        <v>1</v>
      </c>
      <c r="K475" s="392"/>
      <c r="L475" s="393"/>
      <c r="P475" s="388">
        <v>64.0</v>
      </c>
      <c r="Q475" s="388">
        <v>30.0</v>
      </c>
      <c r="S475" s="391"/>
      <c r="U475" s="392"/>
      <c r="V475" s="387">
        <v>280.0</v>
      </c>
      <c r="W475" s="388">
        <v>290.0</v>
      </c>
      <c r="X475" s="388">
        <v>180.0</v>
      </c>
      <c r="Y475" s="391"/>
      <c r="Z475" s="392"/>
      <c r="AA475" s="394"/>
      <c r="AB475" s="395"/>
      <c r="AC475" s="395"/>
    </row>
    <row r="476">
      <c r="A476" s="306" t="s">
        <v>1493</v>
      </c>
      <c r="B476" s="405" t="s">
        <v>1489</v>
      </c>
      <c r="C476" s="406">
        <f t="shared" si="1"/>
        <v>0</v>
      </c>
      <c r="D476" s="393"/>
      <c r="E476" s="388">
        <f>int(192*(1+int(Size/2)))</f>
        <v>192</v>
      </c>
      <c r="F476" s="388">
        <f>int(150*if(Size=1,1,(1+(0.07*(1+int(Size/5)))+0.01*(Size-1))))</f>
        <v>150</v>
      </c>
      <c r="G476" s="388">
        <f>int(150*if(Size=1,1,(1+(0.07*(1+int(Size/5)))+0.01*(Size-1))))</f>
        <v>150</v>
      </c>
      <c r="H476" s="388">
        <f>int(88*(1+(0.01*(Size-1))))</f>
        <v>88</v>
      </c>
      <c r="I476" s="388">
        <f>int(88*if(Size=1,1,(1+(0.07*(1+int(Size/5)))+0.01*(Size-1))))</f>
        <v>88</v>
      </c>
      <c r="J476" s="388">
        <f>int(150*if(Size=1,1,(1+(0.07*(1+int(Size/5)))+0.01*(Size-1))))</f>
        <v>150</v>
      </c>
      <c r="K476" s="392"/>
      <c r="L476" s="393"/>
      <c r="P476" s="391"/>
      <c r="Q476" s="391"/>
      <c r="S476" s="391"/>
      <c r="U476" s="392"/>
      <c r="V476" s="387">
        <v>0.0</v>
      </c>
      <c r="W476" s="388">
        <v>0.0</v>
      </c>
      <c r="X476" s="388">
        <v>0.0</v>
      </c>
      <c r="Y476" s="388">
        <v>70.0</v>
      </c>
      <c r="Z476" s="389">
        <v>60.0</v>
      </c>
      <c r="AA476" s="394"/>
      <c r="AB476" s="395"/>
      <c r="AC476" s="395"/>
    </row>
    <row r="477">
      <c r="A477" s="306" t="s">
        <v>1494</v>
      </c>
      <c r="B477" s="405" t="s">
        <v>1489</v>
      </c>
      <c r="C477" s="406">
        <f t="shared" si="1"/>
        <v>0</v>
      </c>
      <c r="D477" s="393"/>
      <c r="E477" s="388">
        <f>int(242*(1+int(Size/2)))</f>
        <v>242</v>
      </c>
      <c r="F477" s="388">
        <f>int(1*if(Size=1,1,(1+(0.07*(1+int(Size/5)))+0.01*(Size-1))))</f>
        <v>1</v>
      </c>
      <c r="G477" s="388">
        <f>int(1*if(Size=1,1,(1+(0.07*(1+int(Size/5)))+0.01*(Size-1))))</f>
        <v>1</v>
      </c>
      <c r="H477" s="388">
        <f>int(176*(1+(0.01*(Size-1))))</f>
        <v>176</v>
      </c>
      <c r="I477" s="388">
        <f>int(176*if(Size=1,1,(1+(0.07*(1+int(Size/5)))+0.01*(Size-1))))</f>
        <v>176</v>
      </c>
      <c r="J477" s="388">
        <f>int(1*if(Size=1,1,(1+(0.07*(1+int(Size/5)))+0.01*(Size-1))))</f>
        <v>1</v>
      </c>
      <c r="K477" s="392"/>
      <c r="L477" s="393"/>
      <c r="P477" s="391"/>
      <c r="Q477" s="391"/>
      <c r="S477" s="391"/>
      <c r="U477" s="392"/>
      <c r="V477" s="387">
        <v>0.0</v>
      </c>
      <c r="W477" s="388">
        <v>0.0</v>
      </c>
      <c r="X477" s="388">
        <v>0.0</v>
      </c>
      <c r="Y477" s="388">
        <v>60.0</v>
      </c>
      <c r="Z477" s="389">
        <v>140.0</v>
      </c>
      <c r="AA477" s="394"/>
      <c r="AB477" s="395"/>
      <c r="AC477" s="395"/>
    </row>
    <row r="478">
      <c r="A478" s="306" t="s">
        <v>1495</v>
      </c>
      <c r="B478" s="405" t="s">
        <v>1489</v>
      </c>
      <c r="C478" s="390">
        <f t="shared" si="1"/>
        <v>0.125</v>
      </c>
      <c r="D478" s="393"/>
      <c r="E478" s="388">
        <v>180.0</v>
      </c>
      <c r="F478" s="388">
        <f>int(150*if(Size=1,1,(1+(0.07*(1+int(Size/5)))+0.01*(Size-1))))</f>
        <v>150</v>
      </c>
      <c r="G478" s="388">
        <f>int(150*if(Size=1,1,(1+(0.07*(1+int(Size/5)))+0.01*(Size-1))))</f>
        <v>150</v>
      </c>
      <c r="H478" s="388">
        <v>160.0</v>
      </c>
      <c r="I478" s="388">
        <f>int(150*if(Size=1,1,(1+(0.07*(1+int(Size/5)))+0.01*(Size-1))))</f>
        <v>150</v>
      </c>
      <c r="J478" s="388">
        <f>int(150*if(Size=1,1,(1+(0.07*(1+int(Size/5)))+0.01*(Size-1))))</f>
        <v>150</v>
      </c>
      <c r="K478" s="392"/>
      <c r="L478" s="393"/>
      <c r="M478" s="391"/>
      <c r="N478" s="391"/>
      <c r="O478" s="391"/>
      <c r="P478" s="388">
        <v>20.0</v>
      </c>
      <c r="Q478" s="388">
        <v>10.0</v>
      </c>
      <c r="R478" s="391"/>
      <c r="S478" s="391"/>
      <c r="T478" s="391"/>
      <c r="U478" s="392"/>
      <c r="V478" s="387">
        <v>150.0</v>
      </c>
      <c r="W478" s="388">
        <v>150.0</v>
      </c>
      <c r="X478" s="388">
        <v>150.0</v>
      </c>
      <c r="Y478" s="388">
        <v>20.0</v>
      </c>
      <c r="Z478" s="389">
        <v>400.0</v>
      </c>
      <c r="AA478" s="394"/>
      <c r="AB478" s="395"/>
      <c r="AC478" s="395"/>
    </row>
    <row r="479">
      <c r="A479" s="306" t="s">
        <v>1496</v>
      </c>
      <c r="B479" s="405" t="s">
        <v>1489</v>
      </c>
      <c r="C479" s="390">
        <f t="shared" si="1"/>
        <v>0.05</v>
      </c>
      <c r="D479" s="393"/>
      <c r="E479" s="388">
        <v>180.0</v>
      </c>
      <c r="F479" s="388">
        <f>int(150*if(Size=1,1,(1+(0.07*(1+int(Size/5)))+0.01*(Size-1))))</f>
        <v>150</v>
      </c>
      <c r="G479" s="388">
        <f>int(150*if(Size=1,1,(1+(0.07*(1+int(Size/5)))+0.01*(Size-1))))</f>
        <v>150</v>
      </c>
      <c r="H479" s="388">
        <v>160.0</v>
      </c>
      <c r="I479" s="388">
        <f>int(150*if(Size=1,1,(1+(0.07*(1+int(Size/5)))+0.01*(Size-1))))</f>
        <v>150</v>
      </c>
      <c r="J479" s="388">
        <f>int(150*if(Size=1,1,(1+(0.07*(1+int(Size/5)))+0.01*(Size-1))))</f>
        <v>150</v>
      </c>
      <c r="K479" s="392"/>
      <c r="L479" s="393"/>
      <c r="M479" s="391"/>
      <c r="N479" s="391"/>
      <c r="O479" s="391"/>
      <c r="P479" s="391"/>
      <c r="Q479" s="391"/>
      <c r="R479" s="391"/>
      <c r="S479" s="388"/>
      <c r="T479" s="388">
        <v>40.0</v>
      </c>
      <c r="U479" s="389">
        <v>25.0</v>
      </c>
      <c r="V479" s="387">
        <v>55.0</v>
      </c>
      <c r="W479" s="388">
        <v>60.0</v>
      </c>
      <c r="X479" s="388">
        <v>100.0</v>
      </c>
      <c r="Y479" s="388">
        <v>400.0</v>
      </c>
      <c r="Z479" s="389">
        <v>300.0</v>
      </c>
      <c r="AA479" s="394"/>
      <c r="AB479" s="395"/>
      <c r="AC479" s="395"/>
    </row>
    <row r="480">
      <c r="A480" s="306" t="s">
        <v>1497</v>
      </c>
      <c r="B480" s="405" t="s">
        <v>1489</v>
      </c>
      <c r="C480" s="390">
        <f t="shared" si="1"/>
        <v>0.25</v>
      </c>
      <c r="D480" s="393"/>
      <c r="E480" s="388">
        <v>180.0</v>
      </c>
      <c r="F480" s="388">
        <f>int(150*if(Size=1,1,(1+(0.07*(1+int(Size/5)))+0.01*(Size-1))))</f>
        <v>150</v>
      </c>
      <c r="G480" s="388">
        <f>int(150*if(Size=1,1,(1+(0.07*(1+int(Size/5)))+0.01*(Size-1))))</f>
        <v>150</v>
      </c>
      <c r="H480" s="388">
        <v>160.0</v>
      </c>
      <c r="I480" s="388">
        <f>int(150*if(Size=1,1,(1+(0.07*(1+int(Size/5)))+0.01*(Size-1))))</f>
        <v>150</v>
      </c>
      <c r="J480" s="388">
        <f>int(150*if(Size=1,1,(1+(0.07*(1+int(Size/5)))+0.01*(Size-1))))</f>
        <v>150</v>
      </c>
      <c r="K480" s="392"/>
      <c r="L480" s="393"/>
      <c r="M480" s="391"/>
      <c r="N480" s="391"/>
      <c r="O480" s="391"/>
      <c r="P480" s="391"/>
      <c r="Q480" s="391"/>
      <c r="R480" s="388">
        <v>40.0</v>
      </c>
      <c r="S480" s="388">
        <v>25.0</v>
      </c>
      <c r="T480" s="391"/>
      <c r="U480" s="392"/>
      <c r="V480" s="387">
        <v>315.0</v>
      </c>
      <c r="W480" s="388">
        <v>340.0</v>
      </c>
      <c r="X480" s="388">
        <v>400.0</v>
      </c>
      <c r="Y480" s="388">
        <v>110.0</v>
      </c>
      <c r="Z480" s="389">
        <v>50.0</v>
      </c>
      <c r="AA480" s="394"/>
      <c r="AB480" s="395"/>
      <c r="AC480" s="395"/>
    </row>
    <row r="481">
      <c r="A481" s="306" t="s">
        <v>1498</v>
      </c>
      <c r="B481" s="405" t="s">
        <v>1489</v>
      </c>
      <c r="C481" s="390">
        <f t="shared" si="1"/>
        <v>0.125</v>
      </c>
      <c r="D481" s="393"/>
      <c r="E481" s="388">
        <f>int(250*(1+int(Size/2)))</f>
        <v>250</v>
      </c>
      <c r="F481" s="388">
        <f>int(150*if(Size=1,1,(1+(0.07*(1+int(Size/5)))+0.01*(Size-1))))</f>
        <v>150</v>
      </c>
      <c r="G481" s="388">
        <f>int(150*if(Size=1,1,(1+(0.07*(1+int(Size/5)))+0.01*(Size-1))))</f>
        <v>150</v>
      </c>
      <c r="H481" s="388">
        <f>int(138*(1+(0.01*(Size-1))))</f>
        <v>138</v>
      </c>
      <c r="I481" s="388">
        <f>int(1*if(Size=1,1,(1+(0.07*(1+int(Size/5)))+0.01*(Size-1))))</f>
        <v>1</v>
      </c>
      <c r="J481" s="388">
        <f>int(150*if(Size=1,1,(1+(0.07*(1+int(Size/5)))+0.01*(Size-1))))</f>
        <v>150</v>
      </c>
      <c r="K481" s="392"/>
      <c r="L481" s="387">
        <v>4.0</v>
      </c>
      <c r="M481" s="391"/>
      <c r="N481" s="391"/>
      <c r="O481" s="391"/>
      <c r="P481" s="388">
        <v>71.0</v>
      </c>
      <c r="Q481" s="388">
        <v>64.0</v>
      </c>
      <c r="R481" s="391"/>
      <c r="S481" s="388"/>
      <c r="T481" s="388">
        <v>83.0</v>
      </c>
      <c r="U481" s="389">
        <v>75.0</v>
      </c>
      <c r="V481" s="387">
        <v>-5.0</v>
      </c>
      <c r="W481" s="388">
        <v>72.0</v>
      </c>
      <c r="X481" s="388">
        <v>50.0</v>
      </c>
      <c r="Y481" s="388">
        <v>60.0</v>
      </c>
      <c r="Z481" s="389">
        <v>0.0</v>
      </c>
      <c r="AA481" s="394"/>
      <c r="AB481" s="395"/>
      <c r="AC481" s="395"/>
    </row>
    <row r="482">
      <c r="A482" s="306" t="s">
        <v>1499</v>
      </c>
      <c r="B482" s="405" t="s">
        <v>1489</v>
      </c>
      <c r="C482" s="390">
        <f t="shared" si="1"/>
        <v>0.225</v>
      </c>
      <c r="D482" s="393"/>
      <c r="E482" s="388">
        <f>int(250*(1+int(Size/2)))</f>
        <v>250</v>
      </c>
      <c r="F482" s="388">
        <f>int(250*if(Size=1,1,(1+(0.07*(1+int(Size/5)))+0.01*(Size-1))))</f>
        <v>250</v>
      </c>
      <c r="G482" s="388">
        <f>int(250*if(Size=1,1,(1+(0.07*(1+int(Size/5)))+0.01*(Size-1))))</f>
        <v>250</v>
      </c>
      <c r="H482" s="388">
        <f>int(220*(1+(0.01*(Size-1))))</f>
        <v>220</v>
      </c>
      <c r="I482" s="388">
        <f>int(250*if(Size=1,1,(1+(0.07*(1+int(Size/5)))+0.01*(Size-1))))</f>
        <v>250</v>
      </c>
      <c r="J482" s="388">
        <f>int(250*if(Size=1,1,(1+(0.07*(1+int(Size/5)))+0.01*(Size-1))))</f>
        <v>250</v>
      </c>
      <c r="K482" s="392"/>
      <c r="L482" s="387">
        <v>4.0</v>
      </c>
      <c r="M482" s="391"/>
      <c r="N482" s="391"/>
      <c r="O482" s="391"/>
      <c r="P482" s="388">
        <v>88.0</v>
      </c>
      <c r="Q482" s="388">
        <v>74.0</v>
      </c>
      <c r="R482" s="391"/>
      <c r="S482" s="388"/>
      <c r="T482" s="388">
        <v>83.0</v>
      </c>
      <c r="U482" s="389">
        <v>63.0</v>
      </c>
      <c r="V482" s="387">
        <v>-5.0</v>
      </c>
      <c r="W482" s="388">
        <v>82.0</v>
      </c>
      <c r="X482" s="388">
        <v>60.0</v>
      </c>
      <c r="Y482" s="388">
        <v>75.0</v>
      </c>
      <c r="Z482" s="389">
        <v>0.0</v>
      </c>
      <c r="AA482" s="394"/>
      <c r="AB482" s="395"/>
      <c r="AC482" s="395"/>
    </row>
    <row r="483">
      <c r="A483" s="306" t="s">
        <v>195</v>
      </c>
      <c r="B483" s="405" t="s">
        <v>1489</v>
      </c>
      <c r="C483" s="390">
        <f>MAX(0,FLOOR(FLOOR((F483+G483+H483+E483)/4)*(FLOOR((V483+W483+X483)/3)+Q482+P482)/5120)/40)</f>
        <v>0.175</v>
      </c>
      <c r="D483" s="393"/>
      <c r="E483" s="388">
        <f>int(151*(1+int(Size/2)))+'Sheet 1'!D14*Size</f>
        <v>250</v>
      </c>
      <c r="F483" s="388">
        <f>int(140*if(Size=1,1,(1+(0.07*(1+int(Size/5)))+0.01*(Size-1))))</f>
        <v>140</v>
      </c>
      <c r="G483" s="388">
        <f>int(140*if(Size=1,1,(1+(0.07*(1+int(Size/5)))+0.01*(Size-1))))</f>
        <v>140</v>
      </c>
      <c r="H483" s="388">
        <f>int(100*(1+(0.01*(Size-1))))</f>
        <v>100</v>
      </c>
      <c r="I483" s="388">
        <f>int(1*if(Size=1,1,(1+(0.07*(1+int(Size/5)))+0.01*(Size-1))))</f>
        <v>1</v>
      </c>
      <c r="J483" s="388">
        <f>int(1*if(Size=1,1,(1+(0.07*(1+int(Size/5)))+0.01*(Size-1))))</f>
        <v>1</v>
      </c>
      <c r="K483" s="392"/>
      <c r="V483" s="387">
        <v>80.0</v>
      </c>
      <c r="W483" s="388">
        <v>180.0</v>
      </c>
      <c r="X483" s="388">
        <v>-10.0</v>
      </c>
      <c r="Y483" s="388">
        <v>0.0</v>
      </c>
      <c r="Z483" s="389">
        <v>0.0</v>
      </c>
      <c r="AA483" s="394"/>
      <c r="AB483" s="306" t="s">
        <v>1500</v>
      </c>
      <c r="AC483" s="395"/>
    </row>
    <row r="484">
      <c r="A484" s="306" t="s">
        <v>1501</v>
      </c>
      <c r="B484" s="306" t="s">
        <v>1489</v>
      </c>
      <c r="C484" s="390">
        <f t="shared" ref="C484:C489" si="2">MAX(0,FLOOR(FLOOR((F484+G484+H484+E484)/4)*(FLOOR((V484+W484+X484)/3)+Q484+P484)/5120)/40)</f>
        <v>0.2</v>
      </c>
      <c r="D484" s="305"/>
      <c r="E484" s="388">
        <f>int(160*(1+int(Size/2)))</f>
        <v>160</v>
      </c>
      <c r="F484" s="388">
        <f>int(140*if(Size=1,1,(1+(0.07*(1+int(Size/5)))+0.01*(Size-1))))</f>
        <v>140</v>
      </c>
      <c r="G484" s="388">
        <f>int(140*if(Size=1,1,(1+(0.07*(1+int(Size/5)))+0.01*(Size-1))))</f>
        <v>140</v>
      </c>
      <c r="H484" s="388">
        <f>int(187*(1+(0.01*(Size-1))))</f>
        <v>187</v>
      </c>
      <c r="I484" s="388">
        <f>int(140*if(Size=1,1,(1+(0.07*(1+int(Size/5)))+0.01*(Size-1))))</f>
        <v>140</v>
      </c>
      <c r="J484" s="388">
        <f>int(1*(1+(0.07*(1+int(Size/5)))+0.01*(Size-1)))</f>
        <v>1</v>
      </c>
      <c r="K484" s="307"/>
      <c r="L484" s="306">
        <v>4.0</v>
      </c>
      <c r="M484" s="306"/>
      <c r="N484" s="306"/>
      <c r="O484" s="306"/>
      <c r="P484" s="306">
        <v>85.0</v>
      </c>
      <c r="Q484" s="306">
        <v>50.0</v>
      </c>
      <c r="R484" s="306">
        <v>40.0</v>
      </c>
      <c r="S484" s="306">
        <v>38.0</v>
      </c>
      <c r="T484" s="306"/>
      <c r="U484" s="306"/>
      <c r="V484" s="305">
        <v>155.0</v>
      </c>
      <c r="W484" s="306">
        <v>155.0</v>
      </c>
      <c r="X484" s="306">
        <v>115.0</v>
      </c>
      <c r="Y484" s="306">
        <v>140.0</v>
      </c>
      <c r="Z484" s="307">
        <v>115.0</v>
      </c>
      <c r="AA484" s="306"/>
      <c r="AB484" s="306" t="s">
        <v>929</v>
      </c>
      <c r="AC484" s="306"/>
    </row>
    <row r="485">
      <c r="A485" s="306" t="s">
        <v>1502</v>
      </c>
      <c r="B485" s="306" t="s">
        <v>1489</v>
      </c>
      <c r="C485" s="390">
        <f t="shared" si="2"/>
        <v>0.175</v>
      </c>
      <c r="D485" s="305"/>
      <c r="E485" s="388">
        <f>int(190*(1+int(Size/2)))</f>
        <v>190</v>
      </c>
      <c r="F485" s="388">
        <f>int(130*if(Size=1,1,(1+(0.07*(1+int(Size/5)))+0.01*(Size-1))))</f>
        <v>130</v>
      </c>
      <c r="G485" s="388">
        <f>int(130*if(Size=1,1,(1+(0.07*(1+int(Size/5)))+0.01*(Size-1))))</f>
        <v>130</v>
      </c>
      <c r="H485" s="388">
        <f>int(210*(1+(0.01*(Size-1))))</f>
        <v>210</v>
      </c>
      <c r="I485" s="388">
        <f>int(130*if(Size=1,1,(1+(0.07*(1+int(Size/5)))+0.01*(Size-1))))</f>
        <v>130</v>
      </c>
      <c r="J485" s="388">
        <f>int(130*if(Size=1,1,(1+(0.07*(1+int(Size/5)))+0.01*(Size-1))))</f>
        <v>130</v>
      </c>
      <c r="K485" s="307"/>
      <c r="L485" s="306">
        <v>4.0</v>
      </c>
      <c r="M485" s="306"/>
      <c r="N485" s="306"/>
      <c r="O485" s="306"/>
      <c r="P485" s="306">
        <v>58.0</v>
      </c>
      <c r="Q485" s="306">
        <v>52.0</v>
      </c>
      <c r="R485" s="306"/>
      <c r="S485" s="306"/>
      <c r="T485" s="306">
        <v>56.0</v>
      </c>
      <c r="U485" s="306">
        <v>59.0</v>
      </c>
      <c r="V485" s="305">
        <v>102.0</v>
      </c>
      <c r="W485" s="306">
        <v>160.0</v>
      </c>
      <c r="X485" s="306">
        <v>150.0</v>
      </c>
      <c r="Y485" s="306">
        <v>160.0</v>
      </c>
      <c r="Z485" s="307">
        <v>0.0</v>
      </c>
      <c r="AA485" s="306"/>
      <c r="AB485" s="306"/>
      <c r="AC485" s="306"/>
    </row>
    <row r="486">
      <c r="A486" s="306" t="s">
        <v>1503</v>
      </c>
      <c r="B486" s="306" t="s">
        <v>1489</v>
      </c>
      <c r="C486" s="390">
        <f t="shared" si="2"/>
        <v>0</v>
      </c>
      <c r="D486" s="305"/>
      <c r="E486" s="388">
        <f>int(30*(1+int(Size/2)))</f>
        <v>30</v>
      </c>
      <c r="F486" s="388">
        <f>int(120*if(Size=1,1,(1+(0.07*(1+int(Size/5)))+0.01*(Size-1))))</f>
        <v>120</v>
      </c>
      <c r="G486" s="388">
        <f>int(120*if(Size=1,1,(1+(0.07*(1+int(Size/5)))+0.01*(Size-1))))</f>
        <v>120</v>
      </c>
      <c r="H486" s="388">
        <f>int(45*(1+(0.01*(Size-1))))</f>
        <v>45</v>
      </c>
      <c r="I486" s="388">
        <f>int(1*if(Size=1,1,(1+(0.07*(1+int(Size/5)))+0.01*(Size-1))))</f>
        <v>1</v>
      </c>
      <c r="J486" s="388">
        <f>int(1*if(Size=1,1,(1+(0.07*(1+int(Size/5)))+0.01*(Size-1))))</f>
        <v>1</v>
      </c>
      <c r="K486" s="307"/>
      <c r="L486" s="306">
        <v>4.0</v>
      </c>
      <c r="M486" s="306"/>
      <c r="N486" s="306"/>
      <c r="O486" s="306"/>
      <c r="P486" s="306"/>
      <c r="Q486" s="306"/>
      <c r="R486" s="306"/>
      <c r="S486" s="306"/>
      <c r="T486" s="306"/>
      <c r="U486" s="306"/>
      <c r="V486" s="305">
        <v>0.0</v>
      </c>
      <c r="W486" s="306">
        <v>0.0</v>
      </c>
      <c r="X486" s="306">
        <v>0.0</v>
      </c>
      <c r="Y486" s="306">
        <v>0.0</v>
      </c>
      <c r="Z486" s="307">
        <v>0.0</v>
      </c>
      <c r="AA486" s="306"/>
      <c r="AB486" s="306"/>
      <c r="AC486" s="306"/>
    </row>
    <row r="487">
      <c r="A487" s="306" t="s">
        <v>1504</v>
      </c>
      <c r="B487" s="306" t="s">
        <v>1489</v>
      </c>
      <c r="C487" s="390">
        <f t="shared" si="2"/>
        <v>0.025</v>
      </c>
      <c r="D487" s="305"/>
      <c r="E487" s="388">
        <f>int(140*(1+int(Size/2)))</f>
        <v>140</v>
      </c>
      <c r="F487" s="388">
        <f>int(1*if(Size=1,1,(1+(0.07*(1+int(Size/5)))+0.01*(Size-1))))</f>
        <v>1</v>
      </c>
      <c r="G487" s="388">
        <f>int(1*if(Size=1,1,(1+(0.07*(1+int(Size/5)))+0.01*(Size-1))))</f>
        <v>1</v>
      </c>
      <c r="H487" s="388">
        <f>int(160*(1+(0.01*(Size-1))))</f>
        <v>160</v>
      </c>
      <c r="I487" s="388">
        <f>int(390*if(Size=1,1,(1+(0.07*(1+int(Size/5)))+0.01*(Size-1))))</f>
        <v>390</v>
      </c>
      <c r="J487" s="388">
        <f>int(390*if(Size=1,1,(1+(0.07*(1+int(Size/5)))+0.01*(Size-1))))</f>
        <v>390</v>
      </c>
      <c r="K487" s="307"/>
      <c r="L487" s="306">
        <v>3.0</v>
      </c>
      <c r="M487" s="306"/>
      <c r="N487" s="306"/>
      <c r="O487" s="306"/>
      <c r="P487" s="306"/>
      <c r="Q487" s="306"/>
      <c r="R487" s="388"/>
      <c r="S487" s="306"/>
      <c r="T487" s="306"/>
      <c r="U487" s="306"/>
      <c r="V487" s="305">
        <v>70.0</v>
      </c>
      <c r="W487" s="306">
        <v>70.0</v>
      </c>
      <c r="X487" s="306">
        <v>110.0</v>
      </c>
      <c r="Y487" s="306">
        <v>60.0</v>
      </c>
      <c r="Z487" s="307">
        <v>140.0</v>
      </c>
      <c r="AA487" s="306"/>
      <c r="AB487" s="306" t="s">
        <v>931</v>
      </c>
      <c r="AC487" s="306"/>
    </row>
    <row r="488">
      <c r="A488" s="306" t="s">
        <v>1505</v>
      </c>
      <c r="B488" s="306" t="s">
        <v>1489</v>
      </c>
      <c r="C488" s="390">
        <f t="shared" si="2"/>
        <v>0</v>
      </c>
      <c r="D488" s="305"/>
      <c r="E488" s="388">
        <f>int(120*(1+int(Size/2)))</f>
        <v>120</v>
      </c>
      <c r="F488" s="388">
        <f>int(1*if(Size=1,1,(1+(0.07*(1+int(Size/5)))+0.01*(Size-1))))</f>
        <v>1</v>
      </c>
      <c r="G488" s="388">
        <f>int(1*if(Size=1,1,(1+(0.07*(1+int(Size/5)))+0.01*(Size-1))))</f>
        <v>1</v>
      </c>
      <c r="H488" s="388">
        <f>int(155*(1+(0.01*(Size-1))))</f>
        <v>155</v>
      </c>
      <c r="I488" s="388">
        <f>int(210*if(Size=1,1,(1+(0.07*(1+int(Size/5)))+0.01*(Size-1))))</f>
        <v>210</v>
      </c>
      <c r="J488" s="388">
        <f>int(1*if(Size=1,1,(1+(0.07*(1+int(Size/5)))+0.01*(Size-1))))</f>
        <v>1</v>
      </c>
      <c r="K488" s="307"/>
      <c r="L488" s="306">
        <v>4.0</v>
      </c>
      <c r="M488" s="306"/>
      <c r="N488" s="306"/>
      <c r="O488" s="306"/>
      <c r="P488" s="306"/>
      <c r="Q488" s="306"/>
      <c r="R488" s="306">
        <v>120.0</v>
      </c>
      <c r="S488" s="306"/>
      <c r="T488" s="306"/>
      <c r="U488" s="306"/>
      <c r="V488" s="305">
        <v>0.0</v>
      </c>
      <c r="W488" s="306">
        <v>0.0</v>
      </c>
      <c r="X488" s="306">
        <v>0.0</v>
      </c>
      <c r="Y488" s="306">
        <v>0.0</v>
      </c>
      <c r="Z488" s="307">
        <v>0.0</v>
      </c>
      <c r="AA488" s="306"/>
      <c r="AB488" s="306"/>
      <c r="AC488" s="306"/>
    </row>
    <row r="489">
      <c r="A489" s="306" t="s">
        <v>1506</v>
      </c>
      <c r="B489" s="306" t="s">
        <v>1489</v>
      </c>
      <c r="C489" s="390">
        <f t="shared" si="2"/>
        <v>0</v>
      </c>
      <c r="D489" s="305"/>
      <c r="E489" s="388">
        <f>int(120*(1+int(Size/2)))</f>
        <v>120</v>
      </c>
      <c r="F489" s="388">
        <f>int(1*if(Size=1,1,(1+(0.07*(1+int(Size/5)))+0.01*(Size-1))))</f>
        <v>1</v>
      </c>
      <c r="G489" s="388">
        <f>int(1*if(Size=1,1,(1+(0.07*(1+int(Size/5)))+0.01*(Size-1))))</f>
        <v>1</v>
      </c>
      <c r="H489" s="388">
        <f>int(155*(1+(0.01*(Size-1))))</f>
        <v>155</v>
      </c>
      <c r="I489" s="388">
        <f>int(155*if(Size=1,1,(1+(0.07*(1+int(Size/5)))+0.01*(Size-1))))</f>
        <v>155</v>
      </c>
      <c r="J489" s="388">
        <f>int(210*if(Size=1,1,(1+(0.07*(1+int(Size/5)))+0.01*(Size-1))))</f>
        <v>210</v>
      </c>
      <c r="K489" s="307"/>
      <c r="L489" s="306">
        <v>4.0</v>
      </c>
      <c r="M489" s="306"/>
      <c r="N489" s="306"/>
      <c r="O489" s="306"/>
      <c r="P489" s="306"/>
      <c r="Q489" s="306"/>
      <c r="R489" s="306"/>
      <c r="S489" s="306"/>
      <c r="T489" s="306">
        <v>120.0</v>
      </c>
      <c r="U489" s="306">
        <v>70.0</v>
      </c>
      <c r="V489" s="305">
        <v>0.0</v>
      </c>
      <c r="W489" s="306">
        <v>0.0</v>
      </c>
      <c r="X489" s="306">
        <v>0.0</v>
      </c>
      <c r="Y489" s="306">
        <v>0.0</v>
      </c>
      <c r="Z489" s="307">
        <v>0.0</v>
      </c>
      <c r="AA489" s="306"/>
      <c r="AB489" s="306"/>
      <c r="AC489" s="306"/>
    </row>
    <row r="490">
      <c r="A490" s="405" t="s">
        <v>1507</v>
      </c>
      <c r="B490" s="405" t="s">
        <v>1489</v>
      </c>
      <c r="C490" s="433">
        <v>0.0</v>
      </c>
      <c r="D490" s="407">
        <v>1043.0</v>
      </c>
      <c r="E490" s="388">
        <f>int(400+(400*if(Size,Size,1)))</f>
        <v>800</v>
      </c>
      <c r="F490" s="388">
        <f>int(250*if(Size=1,1,(1+(0.07*(1+int(Size/5)))+0.01*(Size-1))))</f>
        <v>250</v>
      </c>
      <c r="G490" s="388">
        <f>int(250*if(Size=1,1,(1+(0.07*(1+int(Size/5)))+0.01*(Size-1))))</f>
        <v>250</v>
      </c>
      <c r="H490" s="388">
        <f>int(150*(1+(0.01*(Size-1))))</f>
        <v>150</v>
      </c>
      <c r="I490" s="388">
        <f>int(250*if(Size=1,1,(1+(0.07*(1+int(Size/5)))+0.01*(Size-1))))</f>
        <v>250</v>
      </c>
      <c r="J490" s="388">
        <f>int(250*if(Size=1,1,(1+(0.07*(1+int(Size/5)))+0.01*(Size-1))))</f>
        <v>250</v>
      </c>
      <c r="K490" s="409"/>
      <c r="L490" s="407"/>
      <c r="M490" s="408"/>
      <c r="N490" s="408"/>
      <c r="O490" s="408"/>
      <c r="P490" s="408"/>
      <c r="Q490" s="408"/>
      <c r="R490" s="408"/>
      <c r="S490" s="408"/>
      <c r="T490" s="408"/>
      <c r="U490" s="409"/>
      <c r="V490" s="407">
        <v>200.0</v>
      </c>
      <c r="W490" s="408">
        <v>200.0</v>
      </c>
      <c r="X490" s="408">
        <v>200.0</v>
      </c>
      <c r="Y490" s="408">
        <v>200.0</v>
      </c>
      <c r="Z490" s="409">
        <v>50.0</v>
      </c>
      <c r="AA490" s="410"/>
      <c r="AB490" s="405" t="s">
        <v>936</v>
      </c>
      <c r="AC490" s="306"/>
    </row>
    <row r="491">
      <c r="A491" s="405" t="s">
        <v>1508</v>
      </c>
      <c r="B491" s="405" t="s">
        <v>1489</v>
      </c>
      <c r="C491" s="433">
        <v>0.0</v>
      </c>
      <c r="D491" s="407">
        <v>750.0</v>
      </c>
      <c r="E491" s="388">
        <f>int(300+(300*if(Size,Size,1)))</f>
        <v>600</v>
      </c>
      <c r="F491" s="388">
        <f>int(250*if(Size=1,1,(1+(0.07*(1+int(Size/5)))+0.01*(Size-1))))</f>
        <v>250</v>
      </c>
      <c r="G491" s="388">
        <f>int(250*if(Size=1,1,(1+(0.07*(1+int(Size/5)))+0.01*(Size-1))))</f>
        <v>250</v>
      </c>
      <c r="H491" s="388">
        <f>int(175*(1+(0.01*(Size-1))))</f>
        <v>175</v>
      </c>
      <c r="I491" s="388">
        <f>int(175*if(Size=1,1,(1+(0.07*(1+int(Size/5)))+0.01*(Size-1))))</f>
        <v>175</v>
      </c>
      <c r="J491" s="388">
        <f>int(250*if(Size=1,1,(1+(0.07*(1+int(Size/5)))+0.01*(Size-1))))</f>
        <v>250</v>
      </c>
      <c r="K491" s="409"/>
      <c r="L491" s="407"/>
      <c r="M491" s="408"/>
      <c r="N491" s="408"/>
      <c r="O491" s="408"/>
      <c r="P491" s="408"/>
      <c r="Q491" s="408"/>
      <c r="R491" s="408"/>
      <c r="S491" s="408"/>
      <c r="T491" s="408"/>
      <c r="U491" s="409"/>
      <c r="V491" s="407">
        <v>50.0</v>
      </c>
      <c r="W491" s="408">
        <v>50.0</v>
      </c>
      <c r="X491" s="408">
        <v>50.0</v>
      </c>
      <c r="Y491" s="408">
        <v>50.0</v>
      </c>
      <c r="Z491" s="409">
        <v>50.0</v>
      </c>
      <c r="AA491" s="410"/>
      <c r="AB491" s="405" t="s">
        <v>936</v>
      </c>
      <c r="AC491" s="306"/>
    </row>
    <row r="492">
      <c r="A492" s="434" t="s">
        <v>1509</v>
      </c>
      <c r="B492" s="405" t="s">
        <v>1489</v>
      </c>
      <c r="C492" s="433">
        <v>0.0</v>
      </c>
      <c r="D492" s="407">
        <v>549.0</v>
      </c>
      <c r="E492" s="388">
        <f>int(300+(300*if(Size,Size,1)))</f>
        <v>600</v>
      </c>
      <c r="F492" s="388">
        <f>int(272*if(Size=1,1,(1+(0.07*(1+int(Size/5)))+0.01*(Size-1))))</f>
        <v>272</v>
      </c>
      <c r="G492" s="388">
        <f>int(272*if(Size=1,1,(1+(0.07*(1+int(Size/5)))+0.01*(Size-1))))</f>
        <v>272</v>
      </c>
      <c r="H492" s="388">
        <f>int(175*(1+(0.01*(Size-1))))</f>
        <v>175</v>
      </c>
      <c r="I492" s="388">
        <f>int(87*if(Size=1,1,(1+(0.07*(1+int(Size/5)))+0.01*(Size-1))))</f>
        <v>87</v>
      </c>
      <c r="J492" s="388">
        <f>int(272*if(Size=1,1,(1+(0.07*(1+int(Size/5)))+0.01*(Size-1))))</f>
        <v>272</v>
      </c>
      <c r="K492" s="409" t="s">
        <v>299</v>
      </c>
      <c r="L492" s="407"/>
      <c r="M492" s="408"/>
      <c r="N492" s="408"/>
      <c r="O492" s="408"/>
      <c r="P492" s="408"/>
      <c r="Q492" s="408"/>
      <c r="R492" s="408"/>
      <c r="S492" s="408"/>
      <c r="T492" s="408"/>
      <c r="U492" s="409"/>
      <c r="V492" s="407">
        <v>200.0</v>
      </c>
      <c r="W492" s="408">
        <v>200.0</v>
      </c>
      <c r="X492" s="408">
        <v>200.0</v>
      </c>
      <c r="Y492" s="408">
        <v>50.0</v>
      </c>
      <c r="Z492" s="409">
        <v>200.0</v>
      </c>
      <c r="AA492" s="410"/>
      <c r="AB492" s="405" t="s">
        <v>936</v>
      </c>
      <c r="AC492" s="306"/>
    </row>
    <row r="493">
      <c r="A493" s="405" t="s">
        <v>1510</v>
      </c>
      <c r="B493" s="405" t="s">
        <v>1489</v>
      </c>
      <c r="C493" s="406">
        <f t="shared" ref="C493:C503" si="4">MAX(0,FLOOR(FLOOR((F493+G493+H493+E493)/4)*(FLOOR((V493+W493+X493)/3)+Q493+P493)/5120)/40)</f>
        <v>0.1</v>
      </c>
      <c r="D493" s="393"/>
      <c r="E493" s="388">
        <f t="shared" ref="E493:J493" si="3">int(E472*1.5)</f>
        <v>450</v>
      </c>
      <c r="F493" s="388">
        <f t="shared" si="3"/>
        <v>1</v>
      </c>
      <c r="G493" s="388">
        <f t="shared" si="3"/>
        <v>1</v>
      </c>
      <c r="H493" s="388">
        <f t="shared" si="3"/>
        <v>262</v>
      </c>
      <c r="I493" s="388">
        <f t="shared" si="3"/>
        <v>345</v>
      </c>
      <c r="J493" s="388">
        <f t="shared" si="3"/>
        <v>345</v>
      </c>
      <c r="K493" s="389"/>
      <c r="L493" s="393"/>
      <c r="M493" s="391"/>
      <c r="N493" s="391"/>
      <c r="O493" s="391"/>
      <c r="P493" s="391"/>
      <c r="Q493" s="391"/>
      <c r="R493" s="391"/>
      <c r="S493" s="391"/>
      <c r="T493" s="391"/>
      <c r="U493" s="392"/>
      <c r="V493" s="387">
        <v>170.0</v>
      </c>
      <c r="W493" s="388">
        <v>190.0</v>
      </c>
      <c r="X493" s="388">
        <v>50.0</v>
      </c>
      <c r="Y493" s="388">
        <v>400.0</v>
      </c>
      <c r="Z493" s="389">
        <v>60.0</v>
      </c>
      <c r="AA493" s="394"/>
      <c r="AB493" s="395"/>
      <c r="AC493" s="306"/>
    </row>
    <row r="494">
      <c r="A494" s="405" t="s">
        <v>1511</v>
      </c>
      <c r="B494" s="405" t="s">
        <v>1489</v>
      </c>
      <c r="C494" s="406">
        <f t="shared" si="4"/>
        <v>0.025</v>
      </c>
      <c r="D494" s="393"/>
      <c r="E494" s="388">
        <f t="shared" ref="E494:J494" si="5">int(E473*1.5)</f>
        <v>174</v>
      </c>
      <c r="F494" s="388">
        <f t="shared" si="5"/>
        <v>1</v>
      </c>
      <c r="G494" s="388">
        <f t="shared" si="5"/>
        <v>1</v>
      </c>
      <c r="H494" s="388">
        <f t="shared" si="5"/>
        <v>150</v>
      </c>
      <c r="I494" s="388">
        <f t="shared" si="5"/>
        <v>1</v>
      </c>
      <c r="J494" s="388">
        <f t="shared" si="5"/>
        <v>1</v>
      </c>
      <c r="K494" s="392"/>
      <c r="L494" s="393"/>
      <c r="P494" s="391"/>
      <c r="Q494" s="391"/>
      <c r="S494" s="391"/>
      <c r="U494" s="392"/>
      <c r="V494" s="387">
        <v>-5.0</v>
      </c>
      <c r="W494" s="388">
        <v>180.0</v>
      </c>
      <c r="X494" s="388">
        <v>180.0</v>
      </c>
      <c r="Y494" s="388">
        <v>0.0</v>
      </c>
      <c r="Z494" s="389">
        <v>0.0</v>
      </c>
      <c r="AA494" s="394"/>
      <c r="AB494" s="395"/>
      <c r="AC494" s="306"/>
    </row>
    <row r="495">
      <c r="A495" s="405" t="s">
        <v>1512</v>
      </c>
      <c r="B495" s="405" t="s">
        <v>1489</v>
      </c>
      <c r="C495" s="406">
        <f t="shared" si="4"/>
        <v>0.5</v>
      </c>
      <c r="D495" s="393"/>
      <c r="E495" s="388">
        <f t="shared" ref="E495:G495" si="6">int(E474*1.5)</f>
        <v>450</v>
      </c>
      <c r="F495" s="388">
        <f t="shared" si="6"/>
        <v>585</v>
      </c>
      <c r="G495" s="388">
        <f t="shared" si="6"/>
        <v>585</v>
      </c>
      <c r="H495" s="388">
        <f t="shared" ref="H495:H496" si="9">int(H474*1.2)</f>
        <v>246</v>
      </c>
      <c r="I495" s="388">
        <f t="shared" ref="I495:J495" si="7">int(I474*1.5)</f>
        <v>307</v>
      </c>
      <c r="J495" s="388">
        <f t="shared" si="7"/>
        <v>1</v>
      </c>
      <c r="K495" s="392"/>
      <c r="L495" s="387">
        <v>3.0</v>
      </c>
      <c r="P495" s="388">
        <v>64.0</v>
      </c>
      <c r="Q495" s="388">
        <v>20.0</v>
      </c>
      <c r="S495" s="391"/>
      <c r="U495" s="392"/>
      <c r="V495" s="387">
        <v>155.0</v>
      </c>
      <c r="W495" s="388">
        <v>165.0</v>
      </c>
      <c r="X495" s="388">
        <v>105.0</v>
      </c>
      <c r="Y495" s="391"/>
      <c r="Z495" s="392"/>
      <c r="AA495" s="394"/>
      <c r="AB495" s="395"/>
      <c r="AC495" s="306"/>
    </row>
    <row r="496">
      <c r="A496" s="306" t="s">
        <v>1513</v>
      </c>
      <c r="B496" s="405" t="s">
        <v>1489</v>
      </c>
      <c r="C496" s="406">
        <f t="shared" si="4"/>
        <v>0.775</v>
      </c>
      <c r="D496" s="393"/>
      <c r="E496" s="388">
        <f t="shared" ref="E496:G496" si="8">int(E475*1.5)</f>
        <v>450</v>
      </c>
      <c r="F496" s="388">
        <f t="shared" si="8"/>
        <v>585</v>
      </c>
      <c r="G496" s="388">
        <f t="shared" si="8"/>
        <v>585</v>
      </c>
      <c r="H496" s="388">
        <f t="shared" si="9"/>
        <v>246</v>
      </c>
      <c r="I496" s="388">
        <f t="shared" ref="I496:J496" si="10">int(I475*1.5)</f>
        <v>307</v>
      </c>
      <c r="J496" s="388">
        <f t="shared" si="10"/>
        <v>1</v>
      </c>
      <c r="K496" s="392"/>
      <c r="L496" s="387">
        <v>3.0</v>
      </c>
      <c r="P496" s="388">
        <v>64.0</v>
      </c>
      <c r="Q496" s="388">
        <v>30.0</v>
      </c>
      <c r="S496" s="391"/>
      <c r="U496" s="392"/>
      <c r="V496" s="387">
        <v>280.0</v>
      </c>
      <c r="W496" s="388">
        <v>290.0</v>
      </c>
      <c r="X496" s="388">
        <v>180.0</v>
      </c>
      <c r="Y496" s="391"/>
      <c r="Z496" s="392"/>
      <c r="AA496" s="394"/>
      <c r="AB496" s="395"/>
      <c r="AC496" s="306"/>
    </row>
    <row r="497">
      <c r="A497" s="306" t="s">
        <v>1514</v>
      </c>
      <c r="B497" s="405" t="s">
        <v>1489</v>
      </c>
      <c r="C497" s="406">
        <f t="shared" si="4"/>
        <v>0</v>
      </c>
      <c r="D497" s="393"/>
      <c r="E497" s="388">
        <f t="shared" ref="E497:J497" si="11">int(E476*1.5)</f>
        <v>288</v>
      </c>
      <c r="F497" s="388">
        <f t="shared" si="11"/>
        <v>225</v>
      </c>
      <c r="G497" s="388">
        <f t="shared" si="11"/>
        <v>225</v>
      </c>
      <c r="H497" s="388">
        <f t="shared" si="11"/>
        <v>132</v>
      </c>
      <c r="I497" s="388">
        <f t="shared" si="11"/>
        <v>132</v>
      </c>
      <c r="J497" s="388">
        <f t="shared" si="11"/>
        <v>225</v>
      </c>
      <c r="K497" s="392"/>
      <c r="L497" s="393"/>
      <c r="P497" s="388"/>
      <c r="Q497" s="388"/>
      <c r="S497" s="391"/>
      <c r="U497" s="392"/>
      <c r="V497" s="387">
        <v>0.0</v>
      </c>
      <c r="W497" s="388">
        <v>0.0</v>
      </c>
      <c r="X497" s="388">
        <v>0.0</v>
      </c>
      <c r="Y497" s="388">
        <v>70.0</v>
      </c>
      <c r="Z497" s="389">
        <v>60.0</v>
      </c>
      <c r="AA497" s="394"/>
      <c r="AB497" s="395"/>
      <c r="AC497" s="306"/>
    </row>
    <row r="498">
      <c r="A498" s="306" t="s">
        <v>1515</v>
      </c>
      <c r="B498" s="405" t="s">
        <v>1489</v>
      </c>
      <c r="C498" s="406">
        <f t="shared" si="4"/>
        <v>0</v>
      </c>
      <c r="D498" s="393"/>
      <c r="E498" s="388">
        <f t="shared" ref="E498:J498" si="12">int(E477*1.5)</f>
        <v>363</v>
      </c>
      <c r="F498" s="388">
        <f t="shared" si="12"/>
        <v>1</v>
      </c>
      <c r="G498" s="388">
        <f t="shared" si="12"/>
        <v>1</v>
      </c>
      <c r="H498" s="388">
        <f t="shared" si="12"/>
        <v>264</v>
      </c>
      <c r="I498" s="388">
        <f t="shared" si="12"/>
        <v>264</v>
      </c>
      <c r="J498" s="388">
        <f t="shared" si="12"/>
        <v>1</v>
      </c>
      <c r="K498" s="392"/>
      <c r="L498" s="393"/>
      <c r="P498" s="391"/>
      <c r="Q498" s="391"/>
      <c r="S498" s="391"/>
      <c r="U498" s="392"/>
      <c r="V498" s="387">
        <v>0.0</v>
      </c>
      <c r="W498" s="388">
        <v>0.0</v>
      </c>
      <c r="X498" s="388">
        <v>0.0</v>
      </c>
      <c r="Y498" s="388">
        <v>60.0</v>
      </c>
      <c r="Z498" s="389">
        <v>140.0</v>
      </c>
      <c r="AA498" s="394"/>
      <c r="AB498" s="395"/>
      <c r="AC498" s="306"/>
    </row>
    <row r="499">
      <c r="A499" s="306" t="s">
        <v>1516</v>
      </c>
      <c r="B499" s="405" t="s">
        <v>1489</v>
      </c>
      <c r="C499" s="390">
        <f t="shared" si="4"/>
        <v>0.2</v>
      </c>
      <c r="D499" s="393"/>
      <c r="E499" s="388">
        <f t="shared" ref="E499:J499" si="13">int(E478*1.5)</f>
        <v>270</v>
      </c>
      <c r="F499" s="388">
        <f t="shared" si="13"/>
        <v>225</v>
      </c>
      <c r="G499" s="388">
        <f t="shared" si="13"/>
        <v>225</v>
      </c>
      <c r="H499" s="388">
        <f t="shared" si="13"/>
        <v>240</v>
      </c>
      <c r="I499" s="388">
        <f t="shared" si="13"/>
        <v>225</v>
      </c>
      <c r="J499" s="388">
        <f t="shared" si="13"/>
        <v>225</v>
      </c>
      <c r="K499" s="392"/>
      <c r="L499" s="393"/>
      <c r="P499" s="388">
        <v>20.0</v>
      </c>
      <c r="Q499" s="388">
        <v>10.0</v>
      </c>
      <c r="S499" s="391"/>
      <c r="U499" s="392"/>
      <c r="V499" s="387">
        <v>150.0</v>
      </c>
      <c r="W499" s="388">
        <v>150.0</v>
      </c>
      <c r="X499" s="388">
        <v>150.0</v>
      </c>
      <c r="Y499" s="388">
        <v>20.0</v>
      </c>
      <c r="Z499" s="389">
        <v>400.0</v>
      </c>
      <c r="AA499" s="394"/>
      <c r="AB499" s="395"/>
      <c r="AC499" s="306"/>
    </row>
    <row r="500">
      <c r="A500" s="306" t="s">
        <v>1517</v>
      </c>
      <c r="B500" s="405" t="s">
        <v>1489</v>
      </c>
      <c r="C500" s="390">
        <f t="shared" si="4"/>
        <v>0.075</v>
      </c>
      <c r="D500" s="393"/>
      <c r="E500" s="388">
        <f t="shared" ref="E500:J500" si="14">int(E479*1.5)</f>
        <v>270</v>
      </c>
      <c r="F500" s="388">
        <f t="shared" si="14"/>
        <v>225</v>
      </c>
      <c r="G500" s="388">
        <f t="shared" si="14"/>
        <v>225</v>
      </c>
      <c r="H500" s="388">
        <f t="shared" si="14"/>
        <v>240</v>
      </c>
      <c r="I500" s="388">
        <f t="shared" si="14"/>
        <v>225</v>
      </c>
      <c r="J500" s="388">
        <f t="shared" si="14"/>
        <v>225</v>
      </c>
      <c r="K500" s="392"/>
      <c r="L500" s="393"/>
      <c r="P500" s="391"/>
      <c r="Q500" s="391"/>
      <c r="S500" s="388"/>
      <c r="T500" s="388">
        <v>40.0</v>
      </c>
      <c r="U500" s="389">
        <v>25.0</v>
      </c>
      <c r="V500" s="387">
        <v>55.0</v>
      </c>
      <c r="W500" s="388">
        <v>60.0</v>
      </c>
      <c r="X500" s="388">
        <v>100.0</v>
      </c>
      <c r="Y500" s="388">
        <v>400.0</v>
      </c>
      <c r="Z500" s="389">
        <v>300.0</v>
      </c>
      <c r="AA500" s="394"/>
      <c r="AB500" s="395"/>
      <c r="AC500" s="306"/>
    </row>
    <row r="501">
      <c r="A501" s="306" t="s">
        <v>1518</v>
      </c>
      <c r="B501" s="405" t="s">
        <v>1489</v>
      </c>
      <c r="C501" s="390">
        <f t="shared" si="4"/>
        <v>0.4</v>
      </c>
      <c r="D501" s="393"/>
      <c r="E501" s="388">
        <f t="shared" ref="E501:J501" si="15">int(E480*1.5)</f>
        <v>270</v>
      </c>
      <c r="F501" s="388">
        <f t="shared" si="15"/>
        <v>225</v>
      </c>
      <c r="G501" s="388">
        <f t="shared" si="15"/>
        <v>225</v>
      </c>
      <c r="H501" s="388">
        <f t="shared" si="15"/>
        <v>240</v>
      </c>
      <c r="I501" s="388">
        <f t="shared" si="15"/>
        <v>225</v>
      </c>
      <c r="J501" s="388">
        <f t="shared" si="15"/>
        <v>225</v>
      </c>
      <c r="K501" s="392"/>
      <c r="L501" s="393"/>
      <c r="P501" s="391"/>
      <c r="Q501" s="391"/>
      <c r="R501" s="388">
        <v>40.0</v>
      </c>
      <c r="S501" s="388">
        <v>25.0</v>
      </c>
      <c r="U501" s="392"/>
      <c r="V501" s="387">
        <v>315.0</v>
      </c>
      <c r="W501" s="388">
        <v>340.0</v>
      </c>
      <c r="X501" s="388">
        <v>400.0</v>
      </c>
      <c r="Y501" s="388">
        <v>110.0</v>
      </c>
      <c r="Z501" s="389">
        <v>50.0</v>
      </c>
      <c r="AA501" s="394"/>
      <c r="AB501" s="395"/>
      <c r="AC501" s="306"/>
    </row>
    <row r="502">
      <c r="A502" s="306" t="s">
        <v>1519</v>
      </c>
      <c r="B502" s="405" t="s">
        <v>1489</v>
      </c>
      <c r="C502" s="390">
        <f t="shared" si="4"/>
        <v>0.2</v>
      </c>
      <c r="D502" s="393"/>
      <c r="E502" s="388">
        <f t="shared" ref="E502:J502" si="16">int(E481*1.5)</f>
        <v>375</v>
      </c>
      <c r="F502" s="388">
        <f t="shared" si="16"/>
        <v>225</v>
      </c>
      <c r="G502" s="388">
        <f t="shared" si="16"/>
        <v>225</v>
      </c>
      <c r="H502" s="388">
        <f t="shared" si="16"/>
        <v>207</v>
      </c>
      <c r="I502" s="388">
        <f t="shared" si="16"/>
        <v>1</v>
      </c>
      <c r="J502" s="388">
        <f t="shared" si="16"/>
        <v>225</v>
      </c>
      <c r="K502" s="392"/>
      <c r="L502" s="393"/>
      <c r="P502" s="388">
        <v>71.0</v>
      </c>
      <c r="Q502" s="388">
        <v>64.0</v>
      </c>
      <c r="R502" s="391"/>
      <c r="S502" s="388"/>
      <c r="T502" s="388">
        <v>83.0</v>
      </c>
      <c r="U502" s="389">
        <v>75.0</v>
      </c>
      <c r="V502" s="387">
        <v>-5.0</v>
      </c>
      <c r="W502" s="388">
        <v>72.0</v>
      </c>
      <c r="X502" s="388">
        <v>50.0</v>
      </c>
      <c r="Y502" s="388">
        <v>60.0</v>
      </c>
      <c r="Z502" s="389">
        <v>0.0</v>
      </c>
      <c r="AA502" s="394"/>
      <c r="AB502" s="395"/>
      <c r="AC502" s="306"/>
    </row>
    <row r="503">
      <c r="A503" s="306" t="s">
        <v>1520</v>
      </c>
      <c r="B503" s="405" t="s">
        <v>1489</v>
      </c>
      <c r="C503" s="390">
        <f t="shared" si="4"/>
        <v>0.35</v>
      </c>
      <c r="D503" s="393"/>
      <c r="E503" s="388">
        <f t="shared" ref="E503:J503" si="17">int(E482*1.5)</f>
        <v>375</v>
      </c>
      <c r="F503" s="388">
        <f t="shared" si="17"/>
        <v>375</v>
      </c>
      <c r="G503" s="388">
        <f t="shared" si="17"/>
        <v>375</v>
      </c>
      <c r="H503" s="388">
        <f t="shared" si="17"/>
        <v>330</v>
      </c>
      <c r="I503" s="388">
        <f t="shared" si="17"/>
        <v>375</v>
      </c>
      <c r="J503" s="388">
        <f t="shared" si="17"/>
        <v>375</v>
      </c>
      <c r="K503" s="392"/>
      <c r="L503" s="393"/>
      <c r="P503" s="388">
        <v>88.0</v>
      </c>
      <c r="Q503" s="388">
        <v>74.0</v>
      </c>
      <c r="R503" s="391"/>
      <c r="S503" s="388"/>
      <c r="T503" s="388">
        <v>83.0</v>
      </c>
      <c r="U503" s="389">
        <v>63.0</v>
      </c>
      <c r="V503" s="387">
        <v>-5.0</v>
      </c>
      <c r="W503" s="388">
        <v>82.0</v>
      </c>
      <c r="X503" s="388">
        <v>60.0</v>
      </c>
      <c r="Y503" s="388">
        <v>75.0</v>
      </c>
      <c r="Z503" s="389">
        <v>0.0</v>
      </c>
      <c r="AA503" s="394"/>
      <c r="AB503" s="395"/>
      <c r="AC503" s="306"/>
    </row>
    <row r="504">
      <c r="A504" s="306" t="s">
        <v>1521</v>
      </c>
      <c r="B504" s="405" t="s">
        <v>1489</v>
      </c>
      <c r="C504" s="390">
        <f>MAX(0,FLOOR(FLOOR((F504+G504+H504+E504)/4)*(FLOOR((V504+W504+X504)/3)+Q503+P503)/5120)/40)</f>
        <v>0.275</v>
      </c>
      <c r="D504" s="393"/>
      <c r="E504" s="388">
        <f t="shared" ref="E504:J504" si="18">int(E483*1.5)</f>
        <v>375</v>
      </c>
      <c r="F504" s="388">
        <f t="shared" si="18"/>
        <v>210</v>
      </c>
      <c r="G504" s="388">
        <f t="shared" si="18"/>
        <v>210</v>
      </c>
      <c r="H504" s="388">
        <f t="shared" si="18"/>
        <v>150</v>
      </c>
      <c r="I504" s="388">
        <f t="shared" si="18"/>
        <v>1</v>
      </c>
      <c r="J504" s="388">
        <f t="shared" si="18"/>
        <v>1</v>
      </c>
      <c r="K504" s="392"/>
      <c r="L504" s="393"/>
      <c r="V504" s="387">
        <v>80.0</v>
      </c>
      <c r="W504" s="388">
        <v>180.0</v>
      </c>
      <c r="X504" s="388">
        <v>-10.0</v>
      </c>
      <c r="Y504" s="388">
        <v>0.0</v>
      </c>
      <c r="Z504" s="389">
        <v>0.0</v>
      </c>
      <c r="AA504" s="394"/>
      <c r="AB504" s="306" t="s">
        <v>1500</v>
      </c>
      <c r="AC504" s="306"/>
    </row>
    <row r="505">
      <c r="A505" s="306" t="s">
        <v>1522</v>
      </c>
      <c r="B505" s="306" t="s">
        <v>1489</v>
      </c>
      <c r="C505" s="390">
        <f t="shared" ref="C505:C510" si="20">MAX(0,FLOOR(FLOOR((F505+G505+H505+E505)/4)*(FLOOR((V505+W505+X505)/3)+Q505+P505)/5120)/40)</f>
        <v>0.3</v>
      </c>
      <c r="D505" s="305"/>
      <c r="E505" s="388">
        <f t="shared" ref="E505:J505" si="19">int(E484*1.5)</f>
        <v>240</v>
      </c>
      <c r="F505" s="388">
        <f t="shared" si="19"/>
        <v>210</v>
      </c>
      <c r="G505" s="388">
        <f t="shared" si="19"/>
        <v>210</v>
      </c>
      <c r="H505" s="388">
        <f t="shared" si="19"/>
        <v>280</v>
      </c>
      <c r="I505" s="388">
        <f t="shared" si="19"/>
        <v>210</v>
      </c>
      <c r="J505" s="388">
        <f t="shared" si="19"/>
        <v>1</v>
      </c>
      <c r="K505" s="392"/>
      <c r="L505" s="393"/>
      <c r="P505" s="306">
        <v>85.0</v>
      </c>
      <c r="Q505" s="306">
        <v>50.0</v>
      </c>
      <c r="R505" s="306">
        <v>40.0</v>
      </c>
      <c r="S505" s="306">
        <v>38.0</v>
      </c>
      <c r="T505" s="306"/>
      <c r="U505" s="306"/>
      <c r="V505" s="305">
        <v>155.0</v>
      </c>
      <c r="W505" s="306">
        <v>155.0</v>
      </c>
      <c r="X505" s="306">
        <v>115.0</v>
      </c>
      <c r="Y505" s="306">
        <v>140.0</v>
      </c>
      <c r="Z505" s="307">
        <v>115.0</v>
      </c>
      <c r="AA505" s="306"/>
      <c r="AB505" s="306" t="s">
        <v>929</v>
      </c>
      <c r="AC505" s="306"/>
    </row>
    <row r="506">
      <c r="A506" s="306" t="s">
        <v>1523</v>
      </c>
      <c r="B506" s="306" t="s">
        <v>1489</v>
      </c>
      <c r="C506" s="390">
        <f t="shared" si="20"/>
        <v>0.275</v>
      </c>
      <c r="D506" s="305"/>
      <c r="E506" s="388">
        <f t="shared" ref="E506:J506" si="21">int(E485*1.5)</f>
        <v>285</v>
      </c>
      <c r="F506" s="388">
        <f t="shared" si="21"/>
        <v>195</v>
      </c>
      <c r="G506" s="388">
        <f t="shared" si="21"/>
        <v>195</v>
      </c>
      <c r="H506" s="388">
        <f t="shared" si="21"/>
        <v>315</v>
      </c>
      <c r="I506" s="388">
        <f t="shared" si="21"/>
        <v>195</v>
      </c>
      <c r="J506" s="388">
        <f t="shared" si="21"/>
        <v>195</v>
      </c>
      <c r="K506" s="392"/>
      <c r="L506" s="393"/>
      <c r="P506" s="306">
        <v>58.0</v>
      </c>
      <c r="Q506" s="306">
        <v>52.0</v>
      </c>
      <c r="R506" s="306"/>
      <c r="S506" s="306"/>
      <c r="T506" s="306">
        <v>56.0</v>
      </c>
      <c r="U506" s="306">
        <v>59.0</v>
      </c>
      <c r="V506" s="305">
        <v>102.0</v>
      </c>
      <c r="W506" s="306">
        <v>160.0</v>
      </c>
      <c r="X506" s="306">
        <v>150.0</v>
      </c>
      <c r="Y506" s="306">
        <v>160.0</v>
      </c>
      <c r="Z506" s="307">
        <v>0.0</v>
      </c>
      <c r="AA506" s="306"/>
      <c r="AB506" s="306"/>
      <c r="AC506" s="306"/>
    </row>
    <row r="507">
      <c r="A507" s="306" t="s">
        <v>1524</v>
      </c>
      <c r="B507" s="306" t="s">
        <v>1489</v>
      </c>
      <c r="C507" s="390">
        <f t="shared" si="20"/>
        <v>0</v>
      </c>
      <c r="D507" s="305"/>
      <c r="E507" s="388">
        <f t="shared" ref="E507:J507" si="22">int(E486*1.5)</f>
        <v>45</v>
      </c>
      <c r="F507" s="388">
        <f t="shared" si="22"/>
        <v>180</v>
      </c>
      <c r="G507" s="388">
        <f t="shared" si="22"/>
        <v>180</v>
      </c>
      <c r="H507" s="388">
        <f t="shared" si="22"/>
        <v>67</v>
      </c>
      <c r="I507" s="388">
        <f t="shared" si="22"/>
        <v>1</v>
      </c>
      <c r="J507" s="388">
        <f t="shared" si="22"/>
        <v>1</v>
      </c>
      <c r="K507" s="392"/>
      <c r="L507" s="387">
        <v>4.0</v>
      </c>
      <c r="P507" s="306"/>
      <c r="Q507" s="306"/>
      <c r="R507" s="306"/>
      <c r="S507" s="306"/>
      <c r="T507" s="306"/>
      <c r="U507" s="306"/>
      <c r="V507" s="305">
        <v>0.0</v>
      </c>
      <c r="W507" s="306">
        <v>0.0</v>
      </c>
      <c r="X507" s="306">
        <v>0.0</v>
      </c>
      <c r="Y507" s="306">
        <v>0.0</v>
      </c>
      <c r="Z507" s="307">
        <v>0.0</v>
      </c>
      <c r="AA507" s="306"/>
      <c r="AB507" s="306"/>
      <c r="AC507" s="306"/>
    </row>
    <row r="508">
      <c r="A508" s="306" t="s">
        <v>1525</v>
      </c>
      <c r="B508" s="306" t="s">
        <v>1489</v>
      </c>
      <c r="C508" s="390">
        <f t="shared" si="20"/>
        <v>0.025</v>
      </c>
      <c r="D508" s="305"/>
      <c r="E508" s="388">
        <f t="shared" ref="E508:J508" si="23">int(E487*1.5)</f>
        <v>210</v>
      </c>
      <c r="F508" s="388">
        <f t="shared" si="23"/>
        <v>1</v>
      </c>
      <c r="G508" s="388">
        <f t="shared" si="23"/>
        <v>1</v>
      </c>
      <c r="H508" s="388">
        <f t="shared" si="23"/>
        <v>240</v>
      </c>
      <c r="I508" s="388">
        <f t="shared" si="23"/>
        <v>585</v>
      </c>
      <c r="J508" s="388">
        <f t="shared" si="23"/>
        <v>585</v>
      </c>
      <c r="K508" s="392"/>
      <c r="L508" s="387">
        <v>3.0</v>
      </c>
      <c r="P508" s="306"/>
      <c r="Q508" s="306"/>
      <c r="R508" s="306"/>
      <c r="S508" s="306"/>
      <c r="T508" s="306"/>
      <c r="U508" s="306"/>
      <c r="V508" s="305">
        <v>70.0</v>
      </c>
      <c r="W508" s="306">
        <v>70.0</v>
      </c>
      <c r="X508" s="306">
        <v>110.0</v>
      </c>
      <c r="Y508" s="306">
        <v>60.0</v>
      </c>
      <c r="Z508" s="307">
        <v>140.0</v>
      </c>
      <c r="AA508" s="306"/>
      <c r="AB508" s="306" t="s">
        <v>931</v>
      </c>
      <c r="AC508" s="306"/>
    </row>
    <row r="509">
      <c r="A509" s="306" t="s">
        <v>1526</v>
      </c>
      <c r="B509" s="306" t="s">
        <v>1489</v>
      </c>
      <c r="C509" s="390">
        <f t="shared" si="20"/>
        <v>0</v>
      </c>
      <c r="D509" s="305"/>
      <c r="E509" s="388">
        <f t="shared" ref="E509:J509" si="24">int(E488*1.5)</f>
        <v>180</v>
      </c>
      <c r="F509" s="388">
        <f t="shared" si="24"/>
        <v>1</v>
      </c>
      <c r="G509" s="388">
        <f t="shared" si="24"/>
        <v>1</v>
      </c>
      <c r="H509" s="388">
        <f t="shared" si="24"/>
        <v>232</v>
      </c>
      <c r="I509" s="388">
        <f t="shared" si="24"/>
        <v>315</v>
      </c>
      <c r="J509" s="388">
        <f t="shared" si="24"/>
        <v>1</v>
      </c>
      <c r="K509" s="392"/>
      <c r="L509" s="387">
        <v>4.0</v>
      </c>
      <c r="P509" s="306"/>
      <c r="Q509" s="306"/>
      <c r="R509" s="306">
        <v>120.0</v>
      </c>
      <c r="S509" s="306"/>
      <c r="T509" s="306"/>
      <c r="U509" s="306"/>
      <c r="V509" s="305">
        <v>0.0</v>
      </c>
      <c r="W509" s="306">
        <v>0.0</v>
      </c>
      <c r="X509" s="306">
        <v>0.0</v>
      </c>
      <c r="Y509" s="306">
        <v>0.0</v>
      </c>
      <c r="Z509" s="307">
        <v>0.0</v>
      </c>
      <c r="AA509" s="306"/>
      <c r="AB509" s="306"/>
      <c r="AC509" s="306"/>
    </row>
    <row r="510">
      <c r="A510" s="306" t="s">
        <v>1527</v>
      </c>
      <c r="B510" s="306" t="s">
        <v>1489</v>
      </c>
      <c r="C510" s="390">
        <f t="shared" si="20"/>
        <v>0</v>
      </c>
      <c r="D510" s="305"/>
      <c r="E510" s="388">
        <f t="shared" ref="E510:J510" si="25">int(E489*1.5)</f>
        <v>180</v>
      </c>
      <c r="F510" s="388">
        <f t="shared" si="25"/>
        <v>1</v>
      </c>
      <c r="G510" s="388">
        <f t="shared" si="25"/>
        <v>1</v>
      </c>
      <c r="H510" s="388">
        <f t="shared" si="25"/>
        <v>232</v>
      </c>
      <c r="I510" s="388">
        <f t="shared" si="25"/>
        <v>232</v>
      </c>
      <c r="J510" s="388">
        <f t="shared" si="25"/>
        <v>315</v>
      </c>
      <c r="K510" s="392"/>
      <c r="L510" s="387">
        <v>4.0</v>
      </c>
      <c r="P510" s="306"/>
      <c r="Q510" s="306"/>
      <c r="R510" s="306"/>
      <c r="S510" s="306"/>
      <c r="T510" s="306">
        <v>120.0</v>
      </c>
      <c r="U510" s="306">
        <v>70.0</v>
      </c>
      <c r="V510" s="305">
        <v>0.0</v>
      </c>
      <c r="W510" s="306">
        <v>0.0</v>
      </c>
      <c r="X510" s="306">
        <v>0.0</v>
      </c>
      <c r="Y510" s="306">
        <v>0.0</v>
      </c>
      <c r="Z510" s="307">
        <v>0.0</v>
      </c>
      <c r="AA510" s="306"/>
      <c r="AB510" s="306"/>
      <c r="AC510" s="306"/>
    </row>
    <row r="511">
      <c r="A511" s="405" t="s">
        <v>1528</v>
      </c>
      <c r="B511" s="405" t="s">
        <v>1489</v>
      </c>
      <c r="C511" s="433">
        <v>0.0</v>
      </c>
      <c r="D511" s="407">
        <v>1043.0</v>
      </c>
      <c r="E511" s="388">
        <f>int(400+(400*if(Size,Size,1)))</f>
        <v>800</v>
      </c>
      <c r="F511" s="388">
        <f t="shared" ref="F511:J511" si="26">int(F490*1.5)</f>
        <v>375</v>
      </c>
      <c r="G511" s="388">
        <f t="shared" si="26"/>
        <v>375</v>
      </c>
      <c r="H511" s="388">
        <f t="shared" si="26"/>
        <v>225</v>
      </c>
      <c r="I511" s="388">
        <f t="shared" si="26"/>
        <v>375</v>
      </c>
      <c r="J511" s="388">
        <f t="shared" si="26"/>
        <v>375</v>
      </c>
      <c r="K511" s="392"/>
      <c r="L511" s="387">
        <v>8.0</v>
      </c>
      <c r="P511" s="391"/>
      <c r="Q511" s="391"/>
      <c r="S511" s="391"/>
      <c r="U511" s="392"/>
      <c r="V511" s="407">
        <v>200.0</v>
      </c>
      <c r="W511" s="408">
        <v>200.0</v>
      </c>
      <c r="X511" s="408">
        <v>200.0</v>
      </c>
      <c r="Y511" s="408">
        <v>200.0</v>
      </c>
      <c r="Z511" s="409">
        <v>50.0</v>
      </c>
      <c r="AA511" s="410"/>
      <c r="AB511" s="405" t="s">
        <v>936</v>
      </c>
      <c r="AC511" s="306"/>
    </row>
    <row r="512">
      <c r="A512" s="405" t="s">
        <v>1529</v>
      </c>
      <c r="B512" s="405" t="s">
        <v>1489</v>
      </c>
      <c r="C512" s="433">
        <v>0.0</v>
      </c>
      <c r="D512" s="407">
        <v>750.0</v>
      </c>
      <c r="E512" s="388">
        <f>int(300+(300*if(Size,Size,1)))</f>
        <v>600</v>
      </c>
      <c r="F512" s="388">
        <f t="shared" ref="F512:J512" si="27">int(F491*1.5)</f>
        <v>375</v>
      </c>
      <c r="G512" s="388">
        <f t="shared" si="27"/>
        <v>375</v>
      </c>
      <c r="H512" s="388">
        <f t="shared" si="27"/>
        <v>262</v>
      </c>
      <c r="I512" s="388">
        <f t="shared" si="27"/>
        <v>262</v>
      </c>
      <c r="J512" s="388">
        <f t="shared" si="27"/>
        <v>375</v>
      </c>
      <c r="K512" s="392"/>
      <c r="L512" s="393"/>
      <c r="P512" s="391"/>
      <c r="Q512" s="391"/>
      <c r="S512" s="391"/>
      <c r="U512" s="392"/>
      <c r="V512" s="407">
        <v>50.0</v>
      </c>
      <c r="W512" s="408">
        <v>50.0</v>
      </c>
      <c r="X512" s="408">
        <v>50.0</v>
      </c>
      <c r="Y512" s="408">
        <v>50.0</v>
      </c>
      <c r="Z512" s="409">
        <v>50.0</v>
      </c>
      <c r="AA512" s="410"/>
      <c r="AB512" s="405" t="s">
        <v>936</v>
      </c>
      <c r="AC512" s="306"/>
    </row>
    <row r="513">
      <c r="A513" s="434" t="s">
        <v>1530</v>
      </c>
      <c r="B513" s="405" t="s">
        <v>1489</v>
      </c>
      <c r="C513" s="433">
        <v>0.0</v>
      </c>
      <c r="D513" s="407">
        <v>549.0</v>
      </c>
      <c r="E513" s="388">
        <f>int(300+(300*if(Size,Size,1)))</f>
        <v>600</v>
      </c>
      <c r="F513" s="388">
        <f t="shared" ref="F513:J513" si="28">int(F492*1.5)</f>
        <v>408</v>
      </c>
      <c r="G513" s="388">
        <f t="shared" si="28"/>
        <v>408</v>
      </c>
      <c r="H513" s="388">
        <f t="shared" si="28"/>
        <v>262</v>
      </c>
      <c r="I513" s="388">
        <f t="shared" si="28"/>
        <v>130</v>
      </c>
      <c r="J513" s="388">
        <f t="shared" si="28"/>
        <v>408</v>
      </c>
      <c r="K513" s="392"/>
      <c r="L513" s="393"/>
      <c r="P513" s="391"/>
      <c r="Q513" s="391"/>
      <c r="S513" s="391"/>
      <c r="U513" s="392"/>
      <c r="V513" s="407">
        <v>200.0</v>
      </c>
      <c r="W513" s="408">
        <v>200.0</v>
      </c>
      <c r="X513" s="408">
        <v>200.0</v>
      </c>
      <c r="Y513" s="408">
        <v>50.0</v>
      </c>
      <c r="Z513" s="409">
        <v>200.0</v>
      </c>
      <c r="AA513" s="410"/>
      <c r="AB513" s="405" t="s">
        <v>936</v>
      </c>
      <c r="AC513" s="306"/>
    </row>
    <row r="514">
      <c r="A514" s="306" t="s">
        <v>1531</v>
      </c>
      <c r="B514" s="306"/>
      <c r="C514" s="406">
        <f t="shared" ref="C514:C518" si="29">MAX(0,FLOOR(FLOOR((F514+G514+H514+E514)/4)*(FLOOR((V514+W514+X514)/3)+Q514+P514)/5120)/40)</f>
        <v>0.25</v>
      </c>
      <c r="D514" s="305">
        <v>186.0</v>
      </c>
      <c r="E514" s="306">
        <v>222.0</v>
      </c>
      <c r="F514" s="306">
        <v>185.0</v>
      </c>
      <c r="G514" s="306">
        <v>120.0</v>
      </c>
      <c r="H514" s="306">
        <v>120.0</v>
      </c>
      <c r="I514" s="306">
        <v>60.0</v>
      </c>
      <c r="J514" s="306">
        <v>1.0</v>
      </c>
      <c r="K514" s="307"/>
      <c r="L514" s="306"/>
      <c r="M514" s="306"/>
      <c r="N514" s="306"/>
      <c r="O514" s="306"/>
      <c r="P514" s="306">
        <v>135.0</v>
      </c>
      <c r="Q514" s="306">
        <v>48.0</v>
      </c>
      <c r="R514" s="306"/>
      <c r="S514" s="306">
        <v>180.0</v>
      </c>
      <c r="T514" s="306"/>
      <c r="U514" s="306"/>
      <c r="V514" s="305">
        <v>160.0</v>
      </c>
      <c r="W514" s="306">
        <v>165.0</v>
      </c>
      <c r="X514" s="306">
        <v>150.0</v>
      </c>
      <c r="Y514" s="306">
        <v>30.0</v>
      </c>
      <c r="Z514" s="307">
        <v>145.0</v>
      </c>
      <c r="AA514" s="306"/>
      <c r="AB514" s="306"/>
      <c r="AC514" s="306"/>
    </row>
    <row r="515">
      <c r="A515" s="306" t="s">
        <v>1532</v>
      </c>
      <c r="B515" s="306"/>
      <c r="C515" s="406">
        <f t="shared" si="29"/>
        <v>0.025</v>
      </c>
      <c r="D515" s="305">
        <v>318.0</v>
      </c>
      <c r="E515" s="306">
        <v>400.0</v>
      </c>
      <c r="F515" s="306">
        <v>200.0</v>
      </c>
      <c r="G515" s="306">
        <v>240.0</v>
      </c>
      <c r="H515" s="306">
        <v>150.0</v>
      </c>
      <c r="I515" s="306">
        <v>150.0</v>
      </c>
      <c r="J515" s="306">
        <v>300.0</v>
      </c>
      <c r="K515" s="307"/>
      <c r="L515" s="306"/>
      <c r="M515" s="306"/>
      <c r="N515" s="306"/>
      <c r="O515" s="306"/>
      <c r="P515" s="306"/>
      <c r="Q515" s="306"/>
      <c r="R515" s="306"/>
      <c r="S515" s="306"/>
      <c r="T515" s="306">
        <v>15.0</v>
      </c>
      <c r="U515" s="306">
        <v>15.0</v>
      </c>
      <c r="V515" s="305">
        <v>60.0</v>
      </c>
      <c r="W515" s="306">
        <v>40.0</v>
      </c>
      <c r="X515" s="306">
        <v>10.0</v>
      </c>
      <c r="Y515" s="306">
        <v>150.0</v>
      </c>
      <c r="Z515" s="307">
        <v>300.0</v>
      </c>
      <c r="AA515" s="306"/>
      <c r="AB515" s="306"/>
      <c r="AC515" s="306"/>
    </row>
    <row r="516">
      <c r="A516" s="306" t="s">
        <v>1533</v>
      </c>
      <c r="B516" s="306"/>
      <c r="C516" s="406">
        <f t="shared" si="29"/>
        <v>0</v>
      </c>
      <c r="D516" s="305">
        <v>204.0</v>
      </c>
      <c r="E516" s="306">
        <v>300.0</v>
      </c>
      <c r="F516" s="306">
        <v>186.0</v>
      </c>
      <c r="G516" s="306">
        <v>186.0</v>
      </c>
      <c r="H516" s="306">
        <v>186.0</v>
      </c>
      <c r="I516" s="306">
        <v>186.0</v>
      </c>
      <c r="J516" s="306">
        <v>1.0</v>
      </c>
      <c r="K516" s="307"/>
      <c r="L516" s="306"/>
      <c r="M516" s="306"/>
      <c r="N516" s="306"/>
      <c r="O516" s="306"/>
      <c r="P516" s="306"/>
      <c r="Q516" s="306"/>
      <c r="R516" s="306"/>
      <c r="S516" s="306"/>
      <c r="T516" s="306"/>
      <c r="U516" s="306"/>
      <c r="V516" s="305">
        <v>30.0</v>
      </c>
      <c r="W516" s="306">
        <v>30.0</v>
      </c>
      <c r="X516" s="306">
        <v>0.0</v>
      </c>
      <c r="Y516" s="306">
        <v>30.0</v>
      </c>
      <c r="Z516" s="307">
        <v>0.0</v>
      </c>
      <c r="AA516" s="306"/>
      <c r="AB516" s="306"/>
      <c r="AC516" s="306"/>
    </row>
    <row r="517">
      <c r="A517" s="306" t="s">
        <v>1534</v>
      </c>
      <c r="B517" s="306"/>
      <c r="C517" s="406">
        <f t="shared" si="29"/>
        <v>0</v>
      </c>
      <c r="D517" s="305">
        <v>284.0</v>
      </c>
      <c r="E517" s="306">
        <v>300.0</v>
      </c>
      <c r="F517" s="306">
        <v>1.0</v>
      </c>
      <c r="G517" s="306">
        <v>1.0</v>
      </c>
      <c r="H517" s="306">
        <v>120.0</v>
      </c>
      <c r="I517" s="306">
        <v>126.0</v>
      </c>
      <c r="J517" s="306">
        <v>150.0</v>
      </c>
      <c r="K517" s="307"/>
      <c r="L517" s="306">
        <v>6.0</v>
      </c>
      <c r="M517" s="306"/>
      <c r="N517" s="306"/>
      <c r="O517" s="306"/>
      <c r="P517" s="306"/>
      <c r="Q517" s="306"/>
      <c r="R517" s="306">
        <v>150.0</v>
      </c>
      <c r="S517" s="306"/>
      <c r="T517" s="306">
        <v>150.0</v>
      </c>
      <c r="U517" s="306"/>
      <c r="V517" s="305">
        <v>60.0</v>
      </c>
      <c r="W517" s="306">
        <v>20.0</v>
      </c>
      <c r="X517" s="306">
        <v>60.0</v>
      </c>
      <c r="Y517" s="306">
        <v>80.0</v>
      </c>
      <c r="Z517" s="307">
        <v>80.0</v>
      </c>
      <c r="AA517" s="306"/>
      <c r="AB517" s="306"/>
      <c r="AC517" s="306"/>
    </row>
    <row r="518">
      <c r="A518" s="306" t="s">
        <v>1535</v>
      </c>
      <c r="B518" s="306"/>
      <c r="C518" s="406">
        <f t="shared" si="29"/>
        <v>0.05</v>
      </c>
      <c r="D518" s="305">
        <v>105.0</v>
      </c>
      <c r="E518" s="306">
        <v>140.0</v>
      </c>
      <c r="F518" s="306">
        <v>60.0</v>
      </c>
      <c r="G518" s="306">
        <v>50.0</v>
      </c>
      <c r="H518" s="306">
        <v>60.0</v>
      </c>
      <c r="I518" s="306">
        <v>115.0</v>
      </c>
      <c r="J518" s="306">
        <v>0.0</v>
      </c>
      <c r="K518" s="307"/>
      <c r="L518" s="306">
        <v>4.0</v>
      </c>
      <c r="M518" s="306"/>
      <c r="N518" s="306"/>
      <c r="O518" s="306"/>
      <c r="P518" s="306">
        <v>50.0</v>
      </c>
      <c r="Q518" s="306">
        <v>50.0</v>
      </c>
      <c r="R518" s="306">
        <v>100.0</v>
      </c>
      <c r="S518" s="306">
        <v>0.5</v>
      </c>
      <c r="T518" s="306">
        <v>0.0</v>
      </c>
      <c r="U518" s="306"/>
      <c r="V518" s="305">
        <v>40.0</v>
      </c>
      <c r="W518" s="306">
        <v>30.0</v>
      </c>
      <c r="X518" s="306">
        <v>80.0</v>
      </c>
      <c r="Y518" s="306">
        <v>140.0</v>
      </c>
      <c r="Z518" s="307">
        <v>40.0</v>
      </c>
      <c r="AA518" s="306"/>
      <c r="AB518" s="306" t="s">
        <v>929</v>
      </c>
      <c r="AC518" s="306"/>
    </row>
    <row r="519">
      <c r="A519" s="306"/>
      <c r="B519" s="306"/>
      <c r="C519" s="306"/>
      <c r="D519" s="305"/>
      <c r="E519" s="306"/>
      <c r="F519" s="306"/>
      <c r="G519" s="306"/>
      <c r="H519" s="306"/>
      <c r="I519" s="306"/>
      <c r="J519" s="306"/>
      <c r="K519" s="307"/>
      <c r="L519" s="306"/>
      <c r="M519" s="306"/>
      <c r="N519" s="306"/>
      <c r="O519" s="306"/>
      <c r="P519" s="306"/>
      <c r="Q519" s="306"/>
      <c r="R519" s="306"/>
      <c r="S519" s="306"/>
      <c r="T519" s="306"/>
      <c r="U519" s="306"/>
      <c r="V519" s="305"/>
      <c r="W519" s="306"/>
      <c r="X519" s="306"/>
      <c r="Y519" s="306"/>
      <c r="Z519" s="307"/>
      <c r="AA519" s="306"/>
      <c r="AB519" s="306"/>
      <c r="AC519" s="306"/>
    </row>
    <row r="520">
      <c r="A520" s="306" t="s">
        <v>1536</v>
      </c>
      <c r="B520" s="306"/>
      <c r="C520" s="406">
        <f t="shared" ref="C520:C525" si="30">MAX(0,FLOOR(FLOOR((F520+G520+H520+E520)/4)*(FLOOR((V520+W520+X520)/3)+Q520+P520)/5120)/40)</f>
        <v>1.125</v>
      </c>
      <c r="D520" s="305">
        <v>814.0</v>
      </c>
      <c r="E520" s="306">
        <f>max(2000,if(Size&lt;21,Size*400,8000+(Size-20)*200))</f>
        <v>2000</v>
      </c>
      <c r="F520" s="306">
        <v>150.0</v>
      </c>
      <c r="G520" s="306">
        <v>150.0</v>
      </c>
      <c r="H520" s="306">
        <v>150.0</v>
      </c>
      <c r="I520" s="306">
        <v>150.0</v>
      </c>
      <c r="J520" s="306">
        <v>150.0</v>
      </c>
      <c r="K520" s="307"/>
      <c r="L520" s="306">
        <v>6.0</v>
      </c>
      <c r="M520" s="306">
        <v>140.0</v>
      </c>
      <c r="N520" s="306">
        <v>140.0</v>
      </c>
      <c r="O520" s="306">
        <v>140.0</v>
      </c>
      <c r="P520" s="306">
        <v>140.0</v>
      </c>
      <c r="Q520" s="306">
        <v>128.0</v>
      </c>
      <c r="R520" s="306">
        <v>140.0</v>
      </c>
      <c r="S520" s="306">
        <v>0.64</v>
      </c>
      <c r="T520" s="306">
        <v>140.0</v>
      </c>
      <c r="U520" s="306">
        <v>64.0</v>
      </c>
      <c r="V520" s="305">
        <v>120.0</v>
      </c>
      <c r="W520" s="306">
        <v>180.0</v>
      </c>
      <c r="X520" s="306">
        <v>40.0</v>
      </c>
      <c r="Y520" s="306">
        <v>600.0</v>
      </c>
      <c r="Z520" s="307">
        <v>600.0</v>
      </c>
      <c r="AA520" s="306"/>
      <c r="AB520" s="306"/>
      <c r="AC520" s="306"/>
    </row>
    <row r="521">
      <c r="A521" s="306" t="s">
        <v>1537</v>
      </c>
      <c r="B521" s="306"/>
      <c r="C521" s="406">
        <f t="shared" si="30"/>
        <v>0</v>
      </c>
      <c r="D521" s="305">
        <v>57.0</v>
      </c>
      <c r="E521" s="306">
        <v>40.0</v>
      </c>
      <c r="F521" s="306">
        <v>1.0</v>
      </c>
      <c r="G521" s="306">
        <v>1.0</v>
      </c>
      <c r="H521" s="306">
        <v>40.0</v>
      </c>
      <c r="I521" s="306">
        <v>60.0</v>
      </c>
      <c r="J521" s="306">
        <v>60.0</v>
      </c>
      <c r="K521" s="307"/>
      <c r="L521" s="306"/>
      <c r="M521" s="306"/>
      <c r="N521" s="306"/>
      <c r="O521" s="306"/>
      <c r="P521" s="306"/>
      <c r="Q521" s="306"/>
      <c r="R521" s="306"/>
      <c r="S521" s="306"/>
      <c r="T521" s="306"/>
      <c r="U521" s="306"/>
      <c r="V521" s="305">
        <v>50.0</v>
      </c>
      <c r="W521" s="306">
        <v>70.0</v>
      </c>
      <c r="X521" s="306">
        <v>10.0</v>
      </c>
      <c r="Y521" s="306">
        <v>100.0</v>
      </c>
      <c r="Z521" s="307">
        <v>100.0</v>
      </c>
      <c r="AA521" s="306"/>
      <c r="AB521" s="306"/>
      <c r="AC521" s="306"/>
    </row>
    <row r="522">
      <c r="A522" s="306" t="s">
        <v>1538</v>
      </c>
      <c r="B522" s="306"/>
      <c r="C522" s="406">
        <f t="shared" si="30"/>
        <v>0</v>
      </c>
      <c r="D522" s="305">
        <v>86.0</v>
      </c>
      <c r="E522" s="306">
        <v>60.0</v>
      </c>
      <c r="F522" s="306">
        <v>1.0</v>
      </c>
      <c r="G522" s="306">
        <v>1.0</v>
      </c>
      <c r="H522" s="306">
        <v>60.0</v>
      </c>
      <c r="I522" s="306">
        <v>60.0</v>
      </c>
      <c r="J522" s="306">
        <v>60.0</v>
      </c>
      <c r="K522" s="307"/>
      <c r="L522" s="306"/>
      <c r="M522" s="306"/>
      <c r="N522" s="306"/>
      <c r="O522" s="306"/>
      <c r="P522" s="306"/>
      <c r="Q522" s="306"/>
      <c r="R522" s="306"/>
      <c r="S522" s="306"/>
      <c r="T522" s="306"/>
      <c r="U522" s="306"/>
      <c r="V522" s="305">
        <v>60.0</v>
      </c>
      <c r="W522" s="306">
        <v>80.0</v>
      </c>
      <c r="X522" s="306">
        <v>20.0</v>
      </c>
      <c r="Y522" s="306">
        <v>120.0</v>
      </c>
      <c r="Z522" s="307">
        <v>120.0</v>
      </c>
      <c r="AA522" s="306"/>
      <c r="AB522" s="306"/>
      <c r="AC522" s="306"/>
    </row>
    <row r="523">
      <c r="A523" s="306" t="s">
        <v>1539</v>
      </c>
      <c r="B523" s="306"/>
      <c r="C523" s="406">
        <f t="shared" si="30"/>
        <v>0</v>
      </c>
      <c r="D523" s="305">
        <v>48.0</v>
      </c>
      <c r="E523" s="306">
        <v>20.0</v>
      </c>
      <c r="F523" s="306">
        <v>1.0</v>
      </c>
      <c r="G523" s="306">
        <v>1.0</v>
      </c>
      <c r="H523" s="306">
        <v>20.0</v>
      </c>
      <c r="I523" s="306">
        <v>80.0</v>
      </c>
      <c r="J523" s="306">
        <v>80.0</v>
      </c>
      <c r="K523" s="307"/>
      <c r="L523" s="306"/>
      <c r="M523" s="306"/>
      <c r="N523" s="306"/>
      <c r="O523" s="306"/>
      <c r="P523" s="306"/>
      <c r="Q523" s="306"/>
      <c r="R523" s="306"/>
      <c r="S523" s="306"/>
      <c r="T523" s="306"/>
      <c r="U523" s="306"/>
      <c r="V523" s="305">
        <v>20.0</v>
      </c>
      <c r="W523" s="306">
        <v>20.0</v>
      </c>
      <c r="X523" s="306">
        <v>20.0</v>
      </c>
      <c r="Y523" s="306">
        <v>80.0</v>
      </c>
      <c r="Z523" s="307">
        <v>80.0</v>
      </c>
      <c r="AA523" s="306"/>
      <c r="AB523" s="306"/>
      <c r="AC523" s="306"/>
    </row>
    <row r="524">
      <c r="A524" s="306" t="s">
        <v>1540</v>
      </c>
      <c r="B524" s="306"/>
      <c r="C524" s="406">
        <f t="shared" si="30"/>
        <v>0</v>
      </c>
      <c r="D524" s="305"/>
      <c r="E524" s="306">
        <v>10.0</v>
      </c>
      <c r="F524" s="306"/>
      <c r="G524" s="306"/>
      <c r="H524" s="306"/>
      <c r="I524" s="306"/>
      <c r="J524" s="306"/>
      <c r="K524" s="307"/>
      <c r="L524" s="306"/>
      <c r="M524" s="306"/>
      <c r="N524" s="306"/>
      <c r="O524" s="306"/>
      <c r="P524" s="306"/>
      <c r="Q524" s="306"/>
      <c r="R524" s="306"/>
      <c r="S524" s="306"/>
      <c r="T524" s="306"/>
      <c r="U524" s="306"/>
      <c r="V524" s="305"/>
      <c r="W524" s="306"/>
      <c r="X524" s="306"/>
      <c r="Y524" s="306"/>
      <c r="Z524" s="307"/>
      <c r="AA524" s="306"/>
      <c r="AB524" s="306"/>
      <c r="AC524" s="306"/>
    </row>
    <row r="525">
      <c r="A525" s="306" t="s">
        <v>183</v>
      </c>
      <c r="B525" s="306"/>
      <c r="C525" s="406">
        <f t="shared" si="30"/>
        <v>0</v>
      </c>
      <c r="D525" s="305"/>
      <c r="E525" s="306">
        <f>max(300,Size*60)</f>
        <v>300</v>
      </c>
      <c r="F525" s="306"/>
      <c r="G525" s="306"/>
      <c r="H525" s="306"/>
      <c r="I525" s="306"/>
      <c r="J525" s="306"/>
      <c r="K525" s="307"/>
      <c r="L525" s="306"/>
      <c r="M525" s="306"/>
      <c r="N525" s="306"/>
      <c r="O525" s="306"/>
      <c r="P525" s="306"/>
      <c r="Q525" s="306"/>
      <c r="R525" s="306"/>
      <c r="S525" s="306"/>
      <c r="T525" s="306"/>
      <c r="U525" s="306"/>
      <c r="V525" s="305"/>
      <c r="W525" s="306"/>
      <c r="X525" s="306"/>
      <c r="Y525" s="306"/>
      <c r="Z525" s="307"/>
      <c r="AA525" s="306"/>
      <c r="AB525" s="306"/>
      <c r="AC525" s="306"/>
    </row>
    <row r="526">
      <c r="A526" s="306"/>
      <c r="B526" s="306"/>
      <c r="C526" s="306"/>
      <c r="D526" s="305"/>
      <c r="E526" s="306"/>
      <c r="F526" s="306"/>
      <c r="G526" s="306"/>
      <c r="H526" s="306"/>
      <c r="I526" s="306"/>
      <c r="J526" s="306"/>
      <c r="K526" s="307"/>
      <c r="L526" s="306"/>
      <c r="M526" s="306"/>
      <c r="N526" s="306"/>
      <c r="O526" s="306"/>
      <c r="P526" s="306"/>
      <c r="Q526" s="306"/>
      <c r="R526" s="306"/>
      <c r="S526" s="306"/>
      <c r="T526" s="306"/>
      <c r="U526" s="306"/>
      <c r="V526" s="305"/>
      <c r="W526" s="306"/>
      <c r="X526" s="306"/>
      <c r="Y526" s="306"/>
      <c r="Z526" s="307"/>
      <c r="AA526" s="306"/>
      <c r="AB526" s="306"/>
      <c r="AC526" s="306"/>
    </row>
    <row r="527">
      <c r="A527" s="306" t="s">
        <v>1541</v>
      </c>
      <c r="B527" s="306" t="s">
        <v>1542</v>
      </c>
      <c r="C527" s="406">
        <f t="shared" ref="C527:C546" si="31">MAX(0,FLOOR(FLOOR((F527+G527+H527+E527)/4)*(FLOOR((V527+W527+X527)/3)+Q527+P527)/5120)/40)</f>
        <v>0.25</v>
      </c>
      <c r="D527" s="305">
        <v>674.0</v>
      </c>
      <c r="E527" s="306">
        <v>600.0</v>
      </c>
      <c r="F527" s="306">
        <v>240.0</v>
      </c>
      <c r="G527" s="306">
        <v>240.0</v>
      </c>
      <c r="H527" s="306">
        <v>240.0</v>
      </c>
      <c r="I527" s="306">
        <v>240.0</v>
      </c>
      <c r="J527" s="306">
        <v>240.0</v>
      </c>
      <c r="K527" s="307"/>
      <c r="L527" s="306">
        <v>5.0</v>
      </c>
      <c r="M527" s="306">
        <v>76.0</v>
      </c>
      <c r="N527" s="306">
        <v>76.0</v>
      </c>
      <c r="O527" s="306">
        <v>76.0</v>
      </c>
      <c r="P527" s="306">
        <v>76.0</v>
      </c>
      <c r="Q527" s="306">
        <v>64.0</v>
      </c>
      <c r="R527" s="306">
        <v>76.0</v>
      </c>
      <c r="S527" s="306">
        <v>64.0</v>
      </c>
      <c r="T527" s="306">
        <v>76.0</v>
      </c>
      <c r="U527" s="306">
        <v>64.0</v>
      </c>
      <c r="V527" s="305">
        <v>20.0</v>
      </c>
      <c r="W527" s="306">
        <v>20.0</v>
      </c>
      <c r="X527" s="306">
        <v>20.0</v>
      </c>
      <c r="Y527" s="306">
        <v>20.0</v>
      </c>
      <c r="Z527" s="307">
        <v>20.0</v>
      </c>
      <c r="AA527" s="306"/>
      <c r="AB527" s="306"/>
      <c r="AC527" s="306"/>
    </row>
    <row r="528">
      <c r="A528" s="306" t="s">
        <v>1543</v>
      </c>
      <c r="B528" s="306" t="s">
        <v>1544</v>
      </c>
      <c r="C528" s="406">
        <f t="shared" si="31"/>
        <v>0.45</v>
      </c>
      <c r="D528" s="305">
        <v>894.0</v>
      </c>
      <c r="E528" s="306">
        <v>1000.0</v>
      </c>
      <c r="F528" s="306">
        <v>240.0</v>
      </c>
      <c r="G528" s="306">
        <v>240.0</v>
      </c>
      <c r="H528" s="306">
        <v>240.0</v>
      </c>
      <c r="I528" s="306">
        <v>240.0</v>
      </c>
      <c r="J528" s="306">
        <v>240.0</v>
      </c>
      <c r="K528" s="307"/>
      <c r="L528" s="306">
        <v>5.0</v>
      </c>
      <c r="M528" s="306">
        <v>90.0</v>
      </c>
      <c r="N528" s="306">
        <v>90.0</v>
      </c>
      <c r="O528" s="306">
        <v>90.0</v>
      </c>
      <c r="P528" s="306">
        <v>90.0</v>
      </c>
      <c r="Q528" s="306">
        <v>112.0</v>
      </c>
      <c r="R528" s="306">
        <v>90.0</v>
      </c>
      <c r="S528" s="306">
        <v>112.0</v>
      </c>
      <c r="T528" s="306">
        <v>90.0</v>
      </c>
      <c r="U528" s="306">
        <v>112.0</v>
      </c>
      <c r="V528" s="305">
        <v>20.0</v>
      </c>
      <c r="W528" s="306">
        <v>20.0</v>
      </c>
      <c r="X528" s="306">
        <v>20.0</v>
      </c>
      <c r="Y528" s="306">
        <v>20.0</v>
      </c>
      <c r="Z528" s="307">
        <v>20.0</v>
      </c>
      <c r="AA528" s="306"/>
      <c r="AB528" s="306"/>
      <c r="AC528" s="306"/>
    </row>
    <row r="529">
      <c r="A529" s="306" t="s">
        <v>1545</v>
      </c>
      <c r="B529" s="306" t="s">
        <v>1542</v>
      </c>
      <c r="C529" s="406">
        <f t="shared" si="31"/>
        <v>0</v>
      </c>
      <c r="D529" s="305">
        <v>22.0</v>
      </c>
      <c r="E529" s="306">
        <v>12.0</v>
      </c>
      <c r="F529" s="306">
        <v>32.0</v>
      </c>
      <c r="G529" s="306">
        <v>26.0</v>
      </c>
      <c r="H529" s="306">
        <v>4.0</v>
      </c>
      <c r="I529" s="306">
        <v>4.0</v>
      </c>
      <c r="J529" s="306">
        <v>0.0</v>
      </c>
      <c r="K529" s="307"/>
      <c r="L529" s="306"/>
      <c r="M529" s="306"/>
      <c r="N529" s="306"/>
      <c r="O529" s="306"/>
      <c r="P529" s="306"/>
      <c r="Q529" s="306"/>
      <c r="R529" s="306"/>
      <c r="S529" s="306"/>
      <c r="T529" s="306"/>
      <c r="U529" s="306"/>
      <c r="V529" s="305"/>
      <c r="W529" s="306"/>
      <c r="X529" s="306"/>
      <c r="Y529" s="306"/>
      <c r="Z529" s="307"/>
      <c r="AA529" s="306"/>
      <c r="AB529" s="306"/>
      <c r="AC529" s="306"/>
    </row>
    <row r="530">
      <c r="A530" s="306" t="s">
        <v>1546</v>
      </c>
      <c r="B530" s="306" t="s">
        <v>1544</v>
      </c>
      <c r="C530" s="406">
        <f t="shared" si="31"/>
        <v>0</v>
      </c>
      <c r="D530" s="305">
        <v>32.0</v>
      </c>
      <c r="E530" s="306">
        <v>12.0</v>
      </c>
      <c r="F530" s="306">
        <v>48.0</v>
      </c>
      <c r="G530" s="306">
        <v>39.0</v>
      </c>
      <c r="H530" s="306">
        <v>4.0</v>
      </c>
      <c r="I530" s="306">
        <v>4.0</v>
      </c>
      <c r="J530" s="306">
        <v>0.0</v>
      </c>
      <c r="K530" s="307"/>
      <c r="L530" s="306"/>
      <c r="M530" s="306"/>
      <c r="N530" s="306"/>
      <c r="O530" s="306"/>
      <c r="P530" s="306"/>
      <c r="Q530" s="306"/>
      <c r="R530" s="306"/>
      <c r="S530" s="306"/>
      <c r="T530" s="306"/>
      <c r="U530" s="306"/>
      <c r="V530" s="305"/>
      <c r="W530" s="306"/>
      <c r="X530" s="306"/>
      <c r="Y530" s="306"/>
      <c r="Z530" s="307"/>
      <c r="AA530" s="306"/>
      <c r="AB530" s="306"/>
      <c r="AC530" s="306"/>
    </row>
    <row r="531">
      <c r="A531" s="306" t="s">
        <v>1547</v>
      </c>
      <c r="B531" s="306" t="s">
        <v>1542</v>
      </c>
      <c r="C531" s="406">
        <f t="shared" si="31"/>
        <v>0</v>
      </c>
      <c r="D531" s="305">
        <v>24.0</v>
      </c>
      <c r="E531" s="306">
        <v>14.0</v>
      </c>
      <c r="F531" s="306">
        <v>28.0</v>
      </c>
      <c r="G531" s="306">
        <v>32.0</v>
      </c>
      <c r="H531" s="306">
        <v>6.0</v>
      </c>
      <c r="I531" s="306">
        <v>6.0</v>
      </c>
      <c r="J531" s="306">
        <v>0.0</v>
      </c>
      <c r="K531" s="307"/>
      <c r="L531" s="306"/>
      <c r="M531" s="306"/>
      <c r="N531" s="306"/>
      <c r="O531" s="306"/>
      <c r="P531" s="306"/>
      <c r="Q531" s="306"/>
      <c r="R531" s="306"/>
      <c r="S531" s="306"/>
      <c r="T531" s="306"/>
      <c r="U531" s="306"/>
      <c r="V531" s="305"/>
      <c r="W531" s="306"/>
      <c r="X531" s="306"/>
      <c r="Y531" s="306"/>
      <c r="Z531" s="307"/>
      <c r="AA531" s="306"/>
      <c r="AB531" s="306"/>
      <c r="AC531" s="306"/>
    </row>
    <row r="532">
      <c r="A532" s="306" t="s">
        <v>1548</v>
      </c>
      <c r="B532" s="306" t="s">
        <v>1544</v>
      </c>
      <c r="C532" s="406">
        <f t="shared" si="31"/>
        <v>0</v>
      </c>
      <c r="D532" s="305">
        <v>34.0</v>
      </c>
      <c r="E532" s="306">
        <v>14.0</v>
      </c>
      <c r="F532" s="306">
        <v>42.0</v>
      </c>
      <c r="G532" s="306">
        <v>48.0</v>
      </c>
      <c r="H532" s="306">
        <v>6.0</v>
      </c>
      <c r="I532" s="306">
        <v>6.0</v>
      </c>
      <c r="J532" s="306">
        <v>0.0</v>
      </c>
      <c r="K532" s="307"/>
      <c r="L532" s="306"/>
      <c r="M532" s="306"/>
      <c r="N532" s="306"/>
      <c r="O532" s="306"/>
      <c r="P532" s="306"/>
      <c r="Q532" s="306"/>
      <c r="R532" s="306"/>
      <c r="S532" s="306"/>
      <c r="T532" s="306"/>
      <c r="U532" s="306"/>
      <c r="V532" s="305"/>
      <c r="W532" s="306"/>
      <c r="X532" s="306"/>
      <c r="Y532" s="306"/>
      <c r="Z532" s="307"/>
      <c r="AA532" s="306"/>
      <c r="AB532" s="306"/>
      <c r="AC532" s="306"/>
    </row>
    <row r="533">
      <c r="A533" s="306" t="s">
        <v>1549</v>
      </c>
      <c r="B533" s="306" t="s">
        <v>1542</v>
      </c>
      <c r="C533" s="406">
        <f t="shared" si="31"/>
        <v>0</v>
      </c>
      <c r="D533" s="305">
        <v>33.0</v>
      </c>
      <c r="E533" s="306">
        <v>14.0</v>
      </c>
      <c r="F533" s="306">
        <v>24.0</v>
      </c>
      <c r="G533" s="306">
        <v>68.0</v>
      </c>
      <c r="H533" s="306">
        <v>2.0</v>
      </c>
      <c r="I533" s="306">
        <v>2.0</v>
      </c>
      <c r="J533" s="306">
        <v>0.0</v>
      </c>
      <c r="K533" s="307"/>
      <c r="L533" s="306"/>
      <c r="M533" s="306"/>
      <c r="N533" s="306"/>
      <c r="O533" s="306"/>
      <c r="P533" s="306"/>
      <c r="Q533" s="306"/>
      <c r="R533" s="306"/>
      <c r="S533" s="306"/>
      <c r="T533" s="306"/>
      <c r="U533" s="306"/>
      <c r="V533" s="305"/>
      <c r="W533" s="306"/>
      <c r="X533" s="306"/>
      <c r="Y533" s="306"/>
      <c r="Z533" s="307"/>
      <c r="AA533" s="306"/>
      <c r="AB533" s="306"/>
      <c r="AC533" s="306"/>
    </row>
    <row r="534">
      <c r="A534" s="306" t="s">
        <v>1550</v>
      </c>
      <c r="B534" s="306" t="s">
        <v>1544</v>
      </c>
      <c r="C534" s="406">
        <f t="shared" si="31"/>
        <v>0</v>
      </c>
      <c r="D534" s="305">
        <v>48.0</v>
      </c>
      <c r="E534" s="306">
        <v>14.0</v>
      </c>
      <c r="F534" s="306">
        <v>36.0</v>
      </c>
      <c r="G534" s="306">
        <v>102.0</v>
      </c>
      <c r="H534" s="306">
        <v>2.0</v>
      </c>
      <c r="I534" s="306">
        <v>2.0</v>
      </c>
      <c r="J534" s="306">
        <v>0.0</v>
      </c>
      <c r="K534" s="307"/>
      <c r="L534" s="306"/>
      <c r="M534" s="306"/>
      <c r="N534" s="306"/>
      <c r="O534" s="306"/>
      <c r="P534" s="306"/>
      <c r="Q534" s="306"/>
      <c r="R534" s="306"/>
      <c r="S534" s="306"/>
      <c r="T534" s="306"/>
      <c r="U534" s="306"/>
      <c r="V534" s="305"/>
      <c r="W534" s="306"/>
      <c r="X534" s="306"/>
      <c r="Y534" s="306"/>
      <c r="Z534" s="307"/>
      <c r="AA534" s="306"/>
      <c r="AB534" s="306"/>
      <c r="AC534" s="306"/>
    </row>
    <row r="535">
      <c r="A535" s="306" t="s">
        <v>1551</v>
      </c>
      <c r="B535" s="306" t="s">
        <v>1542</v>
      </c>
      <c r="C535" s="406">
        <f t="shared" si="31"/>
        <v>0</v>
      </c>
      <c r="D535" s="305">
        <v>48.0</v>
      </c>
      <c r="E535" s="306">
        <v>44.0</v>
      </c>
      <c r="F535" s="306">
        <v>50.0</v>
      </c>
      <c r="G535" s="306">
        <v>48.0</v>
      </c>
      <c r="H535" s="306">
        <v>24.0</v>
      </c>
      <c r="I535" s="306">
        <v>24.0</v>
      </c>
      <c r="J535" s="306">
        <v>0.0</v>
      </c>
      <c r="K535" s="307"/>
      <c r="L535" s="306"/>
      <c r="M535" s="306"/>
      <c r="N535" s="306"/>
      <c r="O535" s="306"/>
      <c r="P535" s="306"/>
      <c r="Q535" s="306"/>
      <c r="R535" s="306"/>
      <c r="S535" s="306"/>
      <c r="T535" s="306"/>
      <c r="U535" s="306"/>
      <c r="V535" s="305"/>
      <c r="W535" s="306"/>
      <c r="X535" s="306"/>
      <c r="Y535" s="306"/>
      <c r="Z535" s="307"/>
      <c r="AA535" s="306"/>
      <c r="AB535" s="306"/>
      <c r="AC535" s="306"/>
    </row>
    <row r="536">
      <c r="A536" s="306" t="s">
        <v>1552</v>
      </c>
      <c r="B536" s="306" t="s">
        <v>1544</v>
      </c>
      <c r="C536" s="406">
        <f t="shared" si="31"/>
        <v>0</v>
      </c>
      <c r="D536" s="305">
        <v>64.0</v>
      </c>
      <c r="E536" s="306">
        <v>44.0</v>
      </c>
      <c r="F536" s="306">
        <v>75.0</v>
      </c>
      <c r="G536" s="306">
        <v>72.0</v>
      </c>
      <c r="H536" s="306">
        <v>24.0</v>
      </c>
      <c r="I536" s="306">
        <v>24.0</v>
      </c>
      <c r="J536" s="306">
        <v>0.0</v>
      </c>
      <c r="K536" s="307"/>
      <c r="L536" s="306"/>
      <c r="M536" s="306"/>
      <c r="N536" s="306"/>
      <c r="O536" s="306"/>
      <c r="P536" s="306"/>
      <c r="Q536" s="306"/>
      <c r="R536" s="306"/>
      <c r="S536" s="306"/>
      <c r="T536" s="306"/>
      <c r="U536" s="306"/>
      <c r="V536" s="305"/>
      <c r="W536" s="306"/>
      <c r="X536" s="306"/>
      <c r="Y536" s="306"/>
      <c r="Z536" s="307"/>
      <c r="AA536" s="306"/>
      <c r="AB536" s="306"/>
      <c r="AC536" s="306"/>
    </row>
    <row r="537">
      <c r="A537" s="306" t="s">
        <v>1553</v>
      </c>
      <c r="B537" s="306" t="s">
        <v>1542</v>
      </c>
      <c r="C537" s="406">
        <f t="shared" si="31"/>
        <v>0</v>
      </c>
      <c r="D537" s="305">
        <v>64.0</v>
      </c>
      <c r="E537" s="306">
        <v>38.0</v>
      </c>
      <c r="F537" s="306">
        <v>48.0</v>
      </c>
      <c r="G537" s="306">
        <v>106.0</v>
      </c>
      <c r="H537" s="306">
        <v>18.0</v>
      </c>
      <c r="I537" s="306">
        <v>18.0</v>
      </c>
      <c r="J537" s="306">
        <v>0.0</v>
      </c>
      <c r="K537" s="307"/>
      <c r="L537" s="306"/>
      <c r="M537" s="306"/>
      <c r="N537" s="306"/>
      <c r="O537" s="306"/>
      <c r="P537" s="306"/>
      <c r="Q537" s="306"/>
      <c r="R537" s="306"/>
      <c r="S537" s="306"/>
      <c r="T537" s="306"/>
      <c r="U537" s="306"/>
      <c r="V537" s="305"/>
      <c r="W537" s="306"/>
      <c r="X537" s="306"/>
      <c r="Y537" s="306"/>
      <c r="Z537" s="307"/>
      <c r="AA537" s="306"/>
      <c r="AB537" s="306"/>
      <c r="AC537" s="306"/>
    </row>
    <row r="538">
      <c r="A538" s="306" t="s">
        <v>1554</v>
      </c>
      <c r="B538" s="306" t="s">
        <v>1544</v>
      </c>
      <c r="C538" s="406">
        <f t="shared" si="31"/>
        <v>0</v>
      </c>
      <c r="D538" s="305">
        <v>89.0</v>
      </c>
      <c r="E538" s="306">
        <v>38.0</v>
      </c>
      <c r="F538" s="306">
        <v>72.0</v>
      </c>
      <c r="G538" s="306">
        <v>159.0</v>
      </c>
      <c r="H538" s="306">
        <v>18.0</v>
      </c>
      <c r="I538" s="306">
        <v>18.0</v>
      </c>
      <c r="J538" s="306">
        <v>0.0</v>
      </c>
      <c r="K538" s="307"/>
      <c r="L538" s="306"/>
      <c r="M538" s="306"/>
      <c r="N538" s="306"/>
      <c r="O538" s="306"/>
      <c r="P538" s="306"/>
      <c r="Q538" s="306"/>
      <c r="R538" s="306"/>
      <c r="S538" s="306"/>
      <c r="T538" s="306"/>
      <c r="U538" s="306"/>
      <c r="V538" s="305"/>
      <c r="W538" s="306"/>
      <c r="X538" s="306"/>
      <c r="Y538" s="306"/>
      <c r="Z538" s="307"/>
      <c r="AA538" s="306"/>
      <c r="AB538" s="306"/>
      <c r="AC538" s="306"/>
    </row>
    <row r="539">
      <c r="A539" s="306" t="s">
        <v>1555</v>
      </c>
      <c r="B539" s="306" t="s">
        <v>1542</v>
      </c>
      <c r="C539" s="406">
        <f t="shared" si="31"/>
        <v>0</v>
      </c>
      <c r="D539" s="305">
        <v>74.0</v>
      </c>
      <c r="E539" s="306">
        <v>52.0</v>
      </c>
      <c r="F539" s="306">
        <v>106.0</v>
      </c>
      <c r="G539" s="306">
        <v>66.0</v>
      </c>
      <c r="H539" s="306">
        <v>22.0</v>
      </c>
      <c r="I539" s="306">
        <v>22.0</v>
      </c>
      <c r="J539" s="306">
        <v>0.0</v>
      </c>
      <c r="K539" s="307"/>
      <c r="L539" s="306"/>
      <c r="M539" s="306"/>
      <c r="N539" s="306"/>
      <c r="O539" s="306"/>
      <c r="P539" s="306"/>
      <c r="Q539" s="306"/>
      <c r="R539" s="306"/>
      <c r="S539" s="306"/>
      <c r="T539" s="306"/>
      <c r="U539" s="306"/>
      <c r="V539" s="305"/>
      <c r="W539" s="306"/>
      <c r="X539" s="306"/>
      <c r="Y539" s="306"/>
      <c r="Z539" s="307"/>
      <c r="AA539" s="306"/>
      <c r="AB539" s="306"/>
      <c r="AC539" s="306"/>
    </row>
    <row r="540">
      <c r="A540" s="306" t="s">
        <v>1556</v>
      </c>
      <c r="B540" s="306" t="s">
        <v>1544</v>
      </c>
      <c r="C540" s="406">
        <f t="shared" si="31"/>
        <v>0</v>
      </c>
      <c r="D540" s="305">
        <v>102.0</v>
      </c>
      <c r="E540" s="306">
        <v>52.0</v>
      </c>
      <c r="F540" s="306">
        <v>159.0</v>
      </c>
      <c r="G540" s="306">
        <v>99.0</v>
      </c>
      <c r="H540" s="306">
        <v>22.0</v>
      </c>
      <c r="I540" s="306">
        <v>22.0</v>
      </c>
      <c r="J540" s="306">
        <v>0.0</v>
      </c>
      <c r="K540" s="307"/>
      <c r="L540" s="306"/>
      <c r="M540" s="306"/>
      <c r="N540" s="306"/>
      <c r="O540" s="306"/>
      <c r="P540" s="306"/>
      <c r="Q540" s="306"/>
      <c r="R540" s="306"/>
      <c r="S540" s="306"/>
      <c r="T540" s="306"/>
      <c r="U540" s="306"/>
      <c r="V540" s="305"/>
      <c r="W540" s="306"/>
      <c r="X540" s="306"/>
      <c r="Y540" s="306"/>
      <c r="Z540" s="307"/>
      <c r="AA540" s="306"/>
      <c r="AB540" s="306"/>
      <c r="AC540" s="306"/>
    </row>
    <row r="541">
      <c r="A541" s="306" t="s">
        <v>1557</v>
      </c>
      <c r="B541" s="306" t="s">
        <v>1542</v>
      </c>
      <c r="C541" s="406">
        <f t="shared" si="31"/>
        <v>0.075</v>
      </c>
      <c r="D541" s="305">
        <v>172.0</v>
      </c>
      <c r="E541" s="306">
        <v>100.0</v>
      </c>
      <c r="F541" s="306">
        <v>98.0</v>
      </c>
      <c r="G541" s="306">
        <v>98.0</v>
      </c>
      <c r="H541" s="306">
        <v>98.0</v>
      </c>
      <c r="I541" s="306">
        <v>98.0</v>
      </c>
      <c r="J541" s="306">
        <v>98.0</v>
      </c>
      <c r="K541" s="307"/>
      <c r="L541" s="306">
        <v>4.0</v>
      </c>
      <c r="M541" s="306">
        <v>54.0</v>
      </c>
      <c r="N541" s="306">
        <v>54.0</v>
      </c>
      <c r="O541" s="306">
        <v>54.0</v>
      </c>
      <c r="P541" s="306">
        <v>54.0</v>
      </c>
      <c r="Q541" s="306">
        <v>106.0</v>
      </c>
      <c r="R541" s="306"/>
      <c r="S541" s="306"/>
      <c r="T541" s="306"/>
      <c r="U541" s="306"/>
      <c r="V541" s="305"/>
      <c r="W541" s="306"/>
      <c r="X541" s="306"/>
      <c r="Y541" s="306"/>
      <c r="Z541" s="307"/>
      <c r="AA541" s="306"/>
      <c r="AB541" s="306"/>
      <c r="AC541" s="306"/>
    </row>
    <row r="542">
      <c r="A542" s="306" t="s">
        <v>1558</v>
      </c>
      <c r="B542" s="306" t="s">
        <v>1544</v>
      </c>
      <c r="C542" s="406">
        <f t="shared" si="31"/>
        <v>0.125</v>
      </c>
      <c r="D542" s="305">
        <v>258.0</v>
      </c>
      <c r="E542" s="306">
        <v>100.0</v>
      </c>
      <c r="F542" s="306">
        <v>147.0</v>
      </c>
      <c r="G542" s="306">
        <v>147.0</v>
      </c>
      <c r="H542" s="306">
        <v>98.0</v>
      </c>
      <c r="I542" s="306">
        <v>98.0</v>
      </c>
      <c r="J542" s="306">
        <v>147.0</v>
      </c>
      <c r="K542" s="307"/>
      <c r="L542" s="306">
        <v>4.0</v>
      </c>
      <c r="M542" s="306">
        <v>81.0</v>
      </c>
      <c r="N542" s="306">
        <v>81.0</v>
      </c>
      <c r="O542" s="306">
        <v>81.0</v>
      </c>
      <c r="P542" s="306">
        <v>81.0</v>
      </c>
      <c r="Q542" s="306">
        <v>132.0</v>
      </c>
      <c r="R542" s="306"/>
      <c r="S542" s="306"/>
      <c r="T542" s="306"/>
      <c r="U542" s="306"/>
      <c r="V542" s="305"/>
      <c r="W542" s="306"/>
      <c r="X542" s="306"/>
      <c r="Y542" s="306"/>
      <c r="Z542" s="307"/>
      <c r="AA542" s="306"/>
      <c r="AB542" s="306"/>
      <c r="AC542" s="306"/>
    </row>
    <row r="543">
      <c r="A543" s="306" t="s">
        <v>1559</v>
      </c>
      <c r="B543" s="306" t="s">
        <v>1542</v>
      </c>
      <c r="C543" s="406">
        <f t="shared" si="31"/>
        <v>0</v>
      </c>
      <c r="D543" s="305">
        <v>172.0</v>
      </c>
      <c r="E543" s="306">
        <v>100.0</v>
      </c>
      <c r="F543" s="306">
        <v>98.0</v>
      </c>
      <c r="G543" s="306">
        <v>98.0</v>
      </c>
      <c r="H543" s="306">
        <v>98.0</v>
      </c>
      <c r="I543" s="306">
        <v>98.0</v>
      </c>
      <c r="J543" s="306">
        <v>98.0</v>
      </c>
      <c r="K543" s="307"/>
      <c r="L543" s="306">
        <v>4.0</v>
      </c>
      <c r="M543" s="306"/>
      <c r="N543" s="306"/>
      <c r="O543" s="306"/>
      <c r="P543" s="306"/>
      <c r="Q543" s="306"/>
      <c r="R543" s="306">
        <v>54.0</v>
      </c>
      <c r="S543" s="306">
        <v>106.0</v>
      </c>
      <c r="T543" s="306"/>
      <c r="U543" s="306"/>
      <c r="V543" s="305"/>
      <c r="W543" s="306"/>
      <c r="X543" s="306"/>
      <c r="Y543" s="306"/>
      <c r="Z543" s="307"/>
      <c r="AA543" s="306"/>
      <c r="AB543" s="306"/>
      <c r="AC543" s="306"/>
    </row>
    <row r="544">
      <c r="A544" s="306" t="s">
        <v>1560</v>
      </c>
      <c r="B544" s="306" t="s">
        <v>1544</v>
      </c>
      <c r="C544" s="406">
        <f t="shared" si="31"/>
        <v>0</v>
      </c>
      <c r="D544" s="305">
        <v>258.0</v>
      </c>
      <c r="E544" s="306">
        <v>100.0</v>
      </c>
      <c r="F544" s="306">
        <v>147.0</v>
      </c>
      <c r="G544" s="306">
        <v>147.0</v>
      </c>
      <c r="H544" s="306">
        <v>98.0</v>
      </c>
      <c r="I544" s="306">
        <v>98.0</v>
      </c>
      <c r="J544" s="306">
        <v>147.0</v>
      </c>
      <c r="K544" s="307"/>
      <c r="L544" s="306">
        <v>4.0</v>
      </c>
      <c r="M544" s="306"/>
      <c r="N544" s="306"/>
      <c r="O544" s="306"/>
      <c r="P544" s="306"/>
      <c r="Q544" s="306"/>
      <c r="R544" s="306">
        <v>146.0</v>
      </c>
      <c r="S544" s="306">
        <v>226.0</v>
      </c>
      <c r="T544" s="306"/>
      <c r="U544" s="306"/>
      <c r="V544" s="305"/>
      <c r="W544" s="306"/>
      <c r="X544" s="306"/>
      <c r="Y544" s="306"/>
      <c r="Z544" s="307"/>
      <c r="AA544" s="306"/>
      <c r="AB544" s="306"/>
      <c r="AC544" s="306"/>
    </row>
    <row r="545">
      <c r="A545" s="306" t="s">
        <v>1561</v>
      </c>
      <c r="B545" s="306" t="s">
        <v>1542</v>
      </c>
      <c r="C545" s="406">
        <f t="shared" si="31"/>
        <v>0</v>
      </c>
      <c r="D545" s="305">
        <v>172.0</v>
      </c>
      <c r="E545" s="306">
        <v>100.0</v>
      </c>
      <c r="F545" s="306">
        <v>98.0</v>
      </c>
      <c r="G545" s="306">
        <v>98.0</v>
      </c>
      <c r="H545" s="306">
        <v>98.0</v>
      </c>
      <c r="I545" s="306">
        <v>98.0</v>
      </c>
      <c r="J545" s="306">
        <v>98.0</v>
      </c>
      <c r="K545" s="307"/>
      <c r="L545" s="306">
        <v>4.0</v>
      </c>
      <c r="M545" s="306"/>
      <c r="N545" s="306"/>
      <c r="O545" s="306"/>
      <c r="P545" s="306"/>
      <c r="Q545" s="306"/>
      <c r="R545" s="306"/>
      <c r="S545" s="306"/>
      <c r="T545" s="306">
        <v>54.0</v>
      </c>
      <c r="U545" s="306">
        <v>106.0</v>
      </c>
      <c r="V545" s="305"/>
      <c r="W545" s="306"/>
      <c r="X545" s="306"/>
      <c r="Y545" s="306"/>
      <c r="Z545" s="307"/>
      <c r="AA545" s="306"/>
      <c r="AB545" s="306"/>
      <c r="AC545" s="306"/>
    </row>
    <row r="546">
      <c r="A546" s="306" t="s">
        <v>1562</v>
      </c>
      <c r="B546" s="306" t="s">
        <v>1544</v>
      </c>
      <c r="C546" s="406">
        <f t="shared" si="31"/>
        <v>0</v>
      </c>
      <c r="D546" s="305">
        <v>258.0</v>
      </c>
      <c r="E546" s="306">
        <v>100.0</v>
      </c>
      <c r="F546" s="306">
        <v>147.0</v>
      </c>
      <c r="G546" s="306">
        <v>147.0</v>
      </c>
      <c r="H546" s="306">
        <v>98.0</v>
      </c>
      <c r="I546" s="306">
        <v>98.0</v>
      </c>
      <c r="J546" s="306">
        <v>147.0</v>
      </c>
      <c r="K546" s="307"/>
      <c r="L546" s="306">
        <v>4.0</v>
      </c>
      <c r="M546" s="306"/>
      <c r="N546" s="306"/>
      <c r="O546" s="306"/>
      <c r="P546" s="306"/>
      <c r="Q546" s="306"/>
      <c r="R546" s="306"/>
      <c r="S546" s="306"/>
      <c r="T546" s="306">
        <v>81.0</v>
      </c>
      <c r="U546" s="306">
        <v>132.0</v>
      </c>
      <c r="V546" s="305"/>
      <c r="W546" s="306"/>
      <c r="X546" s="306"/>
      <c r="Y546" s="306"/>
      <c r="Z546" s="307"/>
      <c r="AA546" s="306"/>
      <c r="AB546" s="306"/>
      <c r="AC546" s="306"/>
    </row>
    <row r="547">
      <c r="A547" s="306"/>
      <c r="B547" s="306"/>
      <c r="C547" s="306"/>
      <c r="D547" s="305"/>
      <c r="E547" s="306"/>
      <c r="F547" s="306"/>
      <c r="G547" s="306"/>
      <c r="H547" s="306"/>
      <c r="I547" s="306"/>
      <c r="J547" s="306"/>
      <c r="K547" s="307"/>
      <c r="L547" s="306"/>
      <c r="M547" s="306"/>
      <c r="N547" s="306"/>
      <c r="O547" s="306"/>
      <c r="P547" s="306"/>
      <c r="Q547" s="306"/>
      <c r="R547" s="306"/>
      <c r="S547" s="306"/>
      <c r="T547" s="306"/>
      <c r="U547" s="306"/>
      <c r="V547" s="305"/>
      <c r="W547" s="306"/>
      <c r="X547" s="306"/>
      <c r="Y547" s="306"/>
      <c r="Z547" s="307"/>
      <c r="AA547" s="306"/>
      <c r="AB547" s="306"/>
      <c r="AC547" s="306"/>
    </row>
    <row r="548">
      <c r="A548" s="306" t="s">
        <v>1563</v>
      </c>
      <c r="B548" s="306" t="s">
        <v>1564</v>
      </c>
      <c r="C548" s="406">
        <f>MAX(0,FLOOR(FLOOR((F548+G548+H548+E548)/4)*(FLOOR((V548+W548+X548)/3)+Q548+P548)/5120)/40)</f>
        <v>0.2</v>
      </c>
      <c r="D548" s="305">
        <v>151.0</v>
      </c>
      <c r="E548" s="306">
        <v>150.0</v>
      </c>
      <c r="F548" s="306">
        <v>120.0</v>
      </c>
      <c r="G548" s="306">
        <v>160.0</v>
      </c>
      <c r="H548" s="306">
        <v>180.0</v>
      </c>
      <c r="I548" s="306">
        <v>120.0</v>
      </c>
      <c r="J548" s="306">
        <v>120.0</v>
      </c>
      <c r="K548" s="307" t="s">
        <v>301</v>
      </c>
      <c r="L548" s="306">
        <v>4.0</v>
      </c>
      <c r="M548" s="306"/>
      <c r="N548" s="306"/>
      <c r="O548" s="306"/>
      <c r="P548" s="306">
        <v>136.0</v>
      </c>
      <c r="Q548" s="306">
        <v>150.0</v>
      </c>
      <c r="R548" s="306"/>
      <c r="S548" s="306"/>
      <c r="T548" s="306"/>
      <c r="U548" s="306"/>
      <c r="V548" s="305"/>
      <c r="W548" s="306"/>
      <c r="X548" s="306"/>
      <c r="Y548" s="306"/>
      <c r="Z548" s="307"/>
      <c r="AA548" s="306"/>
      <c r="AB548" s="306" t="s">
        <v>1565</v>
      </c>
      <c r="AC548" s="306"/>
    </row>
    <row r="549">
      <c r="A549" s="306"/>
      <c r="B549" s="306"/>
      <c r="C549" s="306"/>
      <c r="D549" s="305"/>
      <c r="E549" s="306"/>
      <c r="F549" s="306"/>
      <c r="G549" s="306"/>
      <c r="H549" s="306"/>
      <c r="I549" s="306"/>
      <c r="J549" s="306"/>
      <c r="K549" s="307"/>
      <c r="L549" s="306"/>
      <c r="M549" s="306"/>
      <c r="N549" s="306"/>
      <c r="O549" s="306"/>
      <c r="P549" s="306"/>
      <c r="Q549" s="306"/>
      <c r="R549" s="306"/>
      <c r="S549" s="306"/>
      <c r="T549" s="306"/>
      <c r="U549" s="306"/>
      <c r="V549" s="305"/>
      <c r="W549" s="306"/>
      <c r="X549" s="306"/>
      <c r="Y549" s="306"/>
      <c r="Z549" s="307"/>
      <c r="AA549" s="306"/>
      <c r="AB549" s="306"/>
      <c r="AC549" s="306"/>
    </row>
    <row r="550">
      <c r="A550" s="306"/>
      <c r="B550" s="306"/>
      <c r="C550" s="306"/>
      <c r="D550" s="305"/>
      <c r="E550" s="306"/>
      <c r="F550" s="306"/>
      <c r="G550" s="306"/>
      <c r="H550" s="306"/>
      <c r="I550" s="306"/>
      <c r="J550" s="306"/>
      <c r="K550" s="307"/>
      <c r="L550" s="306"/>
      <c r="M550" s="306"/>
      <c r="N550" s="306"/>
      <c r="O550" s="306"/>
      <c r="P550" s="306"/>
      <c r="Q550" s="306"/>
      <c r="R550" s="306"/>
      <c r="S550" s="306"/>
      <c r="T550" s="306"/>
      <c r="U550" s="306"/>
      <c r="V550" s="305"/>
      <c r="W550" s="306"/>
      <c r="X550" s="306"/>
      <c r="Y550" s="306"/>
      <c r="Z550" s="307"/>
      <c r="AA550" s="306"/>
      <c r="AB550" s="306"/>
      <c r="AC550" s="306"/>
    </row>
    <row r="551">
      <c r="A551" s="306"/>
      <c r="B551" s="306"/>
      <c r="C551" s="306"/>
      <c r="D551" s="305"/>
      <c r="E551" s="306"/>
      <c r="F551" s="306"/>
      <c r="G551" s="306"/>
      <c r="H551" s="306"/>
      <c r="I551" s="306"/>
      <c r="J551" s="306"/>
      <c r="K551" s="307"/>
      <c r="L551" s="306"/>
      <c r="M551" s="306"/>
      <c r="N551" s="306"/>
      <c r="O551" s="306"/>
      <c r="P551" s="306"/>
      <c r="Q551" s="306"/>
      <c r="R551" s="306"/>
      <c r="S551" s="306"/>
      <c r="T551" s="306"/>
      <c r="U551" s="306"/>
      <c r="V551" s="305"/>
      <c r="W551" s="306"/>
      <c r="X551" s="306"/>
      <c r="Y551" s="306"/>
      <c r="Z551" s="307"/>
      <c r="AA551" s="306"/>
      <c r="AB551" s="306"/>
      <c r="AC551" s="306"/>
    </row>
    <row r="552">
      <c r="A552" s="306"/>
      <c r="B552" s="306"/>
      <c r="C552" s="306"/>
      <c r="D552" s="305"/>
      <c r="E552" s="306"/>
      <c r="F552" s="306"/>
      <c r="G552" s="306"/>
      <c r="H552" s="306"/>
      <c r="I552" s="306"/>
      <c r="J552" s="306"/>
      <c r="K552" s="307"/>
      <c r="L552" s="306"/>
      <c r="M552" s="306"/>
      <c r="N552" s="306"/>
      <c r="O552" s="306"/>
      <c r="P552" s="306"/>
      <c r="Q552" s="306"/>
      <c r="R552" s="306"/>
      <c r="S552" s="306"/>
      <c r="T552" s="306"/>
      <c r="U552" s="306"/>
      <c r="V552" s="305"/>
      <c r="W552" s="306"/>
      <c r="X552" s="306"/>
      <c r="Y552" s="306"/>
      <c r="Z552" s="307"/>
      <c r="AA552" s="306"/>
      <c r="AB552" s="306"/>
      <c r="AC552" s="306"/>
    </row>
    <row r="553">
      <c r="A553" s="306"/>
      <c r="B553" s="306"/>
      <c r="C553" s="306"/>
      <c r="D553" s="305"/>
      <c r="E553" s="306"/>
      <c r="F553" s="306"/>
      <c r="G553" s="306"/>
      <c r="H553" s="306"/>
      <c r="I553" s="306"/>
      <c r="J553" s="306"/>
      <c r="K553" s="307"/>
      <c r="L553" s="306"/>
      <c r="M553" s="306"/>
      <c r="N553" s="306"/>
      <c r="O553" s="306"/>
      <c r="P553" s="306"/>
      <c r="Q553" s="306"/>
      <c r="R553" s="306"/>
      <c r="S553" s="306"/>
      <c r="T553" s="306"/>
      <c r="U553" s="306"/>
      <c r="V553" s="305"/>
      <c r="W553" s="306"/>
      <c r="X553" s="306"/>
      <c r="Y553" s="306"/>
      <c r="Z553" s="307"/>
      <c r="AA553" s="306"/>
      <c r="AB553" s="306"/>
      <c r="AC553" s="306"/>
    </row>
    <row r="554">
      <c r="A554" s="306"/>
      <c r="B554" s="306"/>
      <c r="C554" s="306"/>
      <c r="D554" s="305"/>
      <c r="E554" s="306"/>
      <c r="F554" s="306"/>
      <c r="G554" s="306"/>
      <c r="H554" s="306"/>
      <c r="I554" s="306"/>
      <c r="J554" s="306"/>
      <c r="K554" s="307"/>
      <c r="L554" s="306"/>
      <c r="M554" s="306"/>
      <c r="N554" s="306"/>
      <c r="O554" s="306"/>
      <c r="P554" s="306"/>
      <c r="Q554" s="306"/>
      <c r="R554" s="306"/>
      <c r="S554" s="306"/>
      <c r="T554" s="306"/>
      <c r="U554" s="306"/>
      <c r="V554" s="305"/>
      <c r="W554" s="306"/>
      <c r="X554" s="306"/>
      <c r="Y554" s="306"/>
      <c r="Z554" s="307"/>
      <c r="AA554" s="306"/>
      <c r="AB554" s="306"/>
      <c r="AC554" s="306"/>
    </row>
    <row r="555">
      <c r="A555" s="306"/>
      <c r="B555" s="306"/>
      <c r="C555" s="306"/>
      <c r="D555" s="305"/>
      <c r="E555" s="306"/>
      <c r="F555" s="306"/>
      <c r="G555" s="306"/>
      <c r="H555" s="306"/>
      <c r="I555" s="306"/>
      <c r="J555" s="306"/>
      <c r="K555" s="307"/>
      <c r="L555" s="306"/>
      <c r="M555" s="306"/>
      <c r="N555" s="306"/>
      <c r="O555" s="306"/>
      <c r="P555" s="306"/>
      <c r="Q555" s="306"/>
      <c r="R555" s="306"/>
      <c r="S555" s="306"/>
      <c r="T555" s="306"/>
      <c r="U555" s="306"/>
      <c r="V555" s="305"/>
      <c r="W555" s="306"/>
      <c r="X555" s="306"/>
      <c r="Y555" s="306"/>
      <c r="Z555" s="307"/>
      <c r="AA555" s="306"/>
      <c r="AB555" s="306"/>
      <c r="AC555" s="306"/>
    </row>
    <row r="556">
      <c r="A556" s="306"/>
      <c r="B556" s="306"/>
      <c r="C556" s="306"/>
      <c r="D556" s="305"/>
      <c r="E556" s="306"/>
      <c r="F556" s="306"/>
      <c r="G556" s="306"/>
      <c r="H556" s="306"/>
      <c r="I556" s="306"/>
      <c r="J556" s="306"/>
      <c r="K556" s="307"/>
      <c r="L556" s="306"/>
      <c r="M556" s="306"/>
      <c r="N556" s="306"/>
      <c r="O556" s="306"/>
      <c r="P556" s="306"/>
      <c r="Q556" s="306"/>
      <c r="R556" s="306"/>
      <c r="S556" s="306"/>
      <c r="T556" s="306"/>
      <c r="U556" s="306"/>
      <c r="V556" s="305"/>
      <c r="W556" s="306"/>
      <c r="X556" s="306"/>
      <c r="Y556" s="306"/>
      <c r="Z556" s="307"/>
      <c r="AA556" s="306"/>
      <c r="AB556" s="306"/>
      <c r="AC556" s="306"/>
    </row>
    <row r="557">
      <c r="A557" s="306"/>
      <c r="B557" s="306"/>
      <c r="C557" s="306"/>
      <c r="D557" s="305"/>
      <c r="E557" s="306"/>
      <c r="F557" s="306"/>
      <c r="G557" s="306"/>
      <c r="H557" s="306"/>
      <c r="I557" s="306"/>
      <c r="J557" s="306"/>
      <c r="K557" s="307"/>
      <c r="L557" s="306"/>
      <c r="M557" s="306"/>
      <c r="N557" s="306"/>
      <c r="O557" s="306"/>
      <c r="P557" s="306"/>
      <c r="Q557" s="306"/>
      <c r="R557" s="306"/>
      <c r="S557" s="306"/>
      <c r="T557" s="306"/>
      <c r="U557" s="306"/>
      <c r="V557" s="305"/>
      <c r="W557" s="306"/>
      <c r="X557" s="306"/>
      <c r="Y557" s="306"/>
      <c r="Z557" s="307"/>
      <c r="AA557" s="306"/>
      <c r="AB557" s="306"/>
      <c r="AC557" s="306"/>
    </row>
    <row r="558">
      <c r="A558" s="306"/>
      <c r="B558" s="306"/>
      <c r="C558" s="306"/>
      <c r="D558" s="305"/>
      <c r="E558" s="306"/>
      <c r="F558" s="306"/>
      <c r="G558" s="306"/>
      <c r="H558" s="306"/>
      <c r="I558" s="306"/>
      <c r="J558" s="306"/>
      <c r="K558" s="307"/>
      <c r="L558" s="306"/>
      <c r="M558" s="306"/>
      <c r="N558" s="306"/>
      <c r="O558" s="306"/>
      <c r="P558" s="306"/>
      <c r="Q558" s="306"/>
      <c r="R558" s="306"/>
      <c r="S558" s="306"/>
      <c r="T558" s="306"/>
      <c r="U558" s="306"/>
      <c r="V558" s="305"/>
      <c r="W558" s="306"/>
      <c r="X558" s="306"/>
      <c r="Y558" s="306"/>
      <c r="Z558" s="307"/>
      <c r="AA558" s="306"/>
      <c r="AB558" s="306"/>
      <c r="AC558" s="306"/>
    </row>
    <row r="559">
      <c r="A559" s="306"/>
      <c r="B559" s="306"/>
      <c r="C559" s="306"/>
      <c r="D559" s="305"/>
      <c r="E559" s="306"/>
      <c r="F559" s="306"/>
      <c r="G559" s="306"/>
      <c r="H559" s="306"/>
      <c r="I559" s="306"/>
      <c r="J559" s="306"/>
      <c r="K559" s="307"/>
      <c r="L559" s="306"/>
      <c r="M559" s="306"/>
      <c r="N559" s="306"/>
      <c r="O559" s="306"/>
      <c r="P559" s="306"/>
      <c r="Q559" s="306"/>
      <c r="R559" s="306"/>
      <c r="S559" s="306"/>
      <c r="T559" s="306"/>
      <c r="U559" s="306"/>
      <c r="V559" s="305"/>
      <c r="W559" s="306"/>
      <c r="X559" s="306"/>
      <c r="Y559" s="306"/>
      <c r="Z559" s="307"/>
      <c r="AA559" s="306"/>
      <c r="AB559" s="306"/>
      <c r="AC559" s="306"/>
    </row>
    <row r="560">
      <c r="A560" s="306"/>
      <c r="B560" s="306"/>
      <c r="C560" s="306"/>
      <c r="D560" s="305"/>
      <c r="E560" s="306"/>
      <c r="F560" s="306"/>
      <c r="G560" s="306"/>
      <c r="H560" s="306"/>
      <c r="I560" s="306"/>
      <c r="J560" s="306"/>
      <c r="K560" s="307"/>
      <c r="L560" s="306"/>
      <c r="M560" s="306"/>
      <c r="N560" s="306"/>
      <c r="O560" s="306"/>
      <c r="P560" s="306"/>
      <c r="Q560" s="306"/>
      <c r="R560" s="306"/>
      <c r="S560" s="306"/>
      <c r="T560" s="306"/>
      <c r="U560" s="306"/>
      <c r="V560" s="305"/>
      <c r="W560" s="306"/>
      <c r="X560" s="306"/>
      <c r="Y560" s="306"/>
      <c r="Z560" s="307"/>
      <c r="AA560" s="306"/>
      <c r="AB560" s="306"/>
      <c r="AC560" s="306"/>
    </row>
    <row r="561">
      <c r="A561" s="306"/>
      <c r="B561" s="306"/>
      <c r="C561" s="306"/>
      <c r="D561" s="305"/>
      <c r="E561" s="306"/>
      <c r="F561" s="306"/>
      <c r="G561" s="306"/>
      <c r="H561" s="306"/>
      <c r="I561" s="306"/>
      <c r="J561" s="306"/>
      <c r="K561" s="307"/>
      <c r="L561" s="306"/>
      <c r="M561" s="306"/>
      <c r="N561" s="306"/>
      <c r="O561" s="306"/>
      <c r="P561" s="306"/>
      <c r="Q561" s="306"/>
      <c r="R561" s="306"/>
      <c r="S561" s="306"/>
      <c r="T561" s="306"/>
      <c r="U561" s="306"/>
      <c r="V561" s="305"/>
      <c r="W561" s="306"/>
      <c r="X561" s="306"/>
      <c r="Y561" s="306"/>
      <c r="Z561" s="307"/>
      <c r="AA561" s="306"/>
      <c r="AB561" s="306"/>
      <c r="AC561" s="306"/>
    </row>
    <row r="562">
      <c r="A562" s="306"/>
      <c r="B562" s="306"/>
      <c r="C562" s="306"/>
      <c r="D562" s="305"/>
      <c r="E562" s="306"/>
      <c r="F562" s="306"/>
      <c r="G562" s="306"/>
      <c r="H562" s="306"/>
      <c r="I562" s="306"/>
      <c r="J562" s="306"/>
      <c r="K562" s="307"/>
      <c r="L562" s="306"/>
      <c r="M562" s="306"/>
      <c r="N562" s="306"/>
      <c r="O562" s="306"/>
      <c r="P562" s="306"/>
      <c r="Q562" s="306"/>
      <c r="R562" s="306"/>
      <c r="S562" s="306"/>
      <c r="T562" s="306"/>
      <c r="U562" s="306"/>
      <c r="V562" s="305"/>
      <c r="W562" s="306"/>
      <c r="X562" s="306"/>
      <c r="Y562" s="306"/>
      <c r="Z562" s="307"/>
      <c r="AA562" s="306"/>
      <c r="AB562" s="306"/>
      <c r="AC562" s="306"/>
    </row>
    <row r="563">
      <c r="A563" s="306"/>
      <c r="B563" s="306"/>
      <c r="C563" s="306"/>
      <c r="D563" s="305"/>
      <c r="E563" s="306"/>
      <c r="F563" s="306"/>
      <c r="G563" s="306"/>
      <c r="H563" s="306"/>
      <c r="I563" s="306"/>
      <c r="J563" s="306"/>
      <c r="K563" s="307"/>
      <c r="L563" s="306"/>
      <c r="M563" s="306"/>
      <c r="N563" s="306"/>
      <c r="O563" s="306"/>
      <c r="P563" s="306"/>
      <c r="Q563" s="306"/>
      <c r="R563" s="306"/>
      <c r="S563" s="306"/>
      <c r="T563" s="306"/>
      <c r="U563" s="306"/>
      <c r="V563" s="305"/>
      <c r="W563" s="306"/>
      <c r="X563" s="306"/>
      <c r="Y563" s="306"/>
      <c r="Z563" s="307"/>
      <c r="AA563" s="306"/>
      <c r="AB563" s="306"/>
      <c r="AC563" s="306"/>
    </row>
    <row r="564">
      <c r="A564" s="306"/>
      <c r="B564" s="306"/>
      <c r="C564" s="306"/>
      <c r="D564" s="305"/>
      <c r="E564" s="306"/>
      <c r="F564" s="306"/>
      <c r="G564" s="306"/>
      <c r="H564" s="306"/>
      <c r="I564" s="306"/>
      <c r="J564" s="306"/>
      <c r="K564" s="307"/>
      <c r="L564" s="306"/>
      <c r="M564" s="306"/>
      <c r="N564" s="306"/>
      <c r="O564" s="306"/>
      <c r="P564" s="306"/>
      <c r="Q564" s="306"/>
      <c r="R564" s="306"/>
      <c r="S564" s="306"/>
      <c r="T564" s="306"/>
      <c r="U564" s="306"/>
      <c r="V564" s="305"/>
      <c r="W564" s="306"/>
      <c r="X564" s="306"/>
      <c r="Y564" s="306"/>
      <c r="Z564" s="307"/>
      <c r="AA564" s="306"/>
      <c r="AB564" s="306"/>
      <c r="AC564" s="306"/>
    </row>
    <row r="565">
      <c r="A565" s="306"/>
      <c r="B565" s="306"/>
      <c r="C565" s="306"/>
      <c r="D565" s="305"/>
      <c r="E565" s="306"/>
      <c r="F565" s="306"/>
      <c r="G565" s="306"/>
      <c r="H565" s="306"/>
      <c r="I565" s="306"/>
      <c r="J565" s="306"/>
      <c r="K565" s="307"/>
      <c r="L565" s="306"/>
      <c r="M565" s="306"/>
      <c r="N565" s="306"/>
      <c r="O565" s="306"/>
      <c r="P565" s="306"/>
      <c r="Q565" s="306"/>
      <c r="R565" s="306"/>
      <c r="S565" s="306"/>
      <c r="T565" s="306"/>
      <c r="U565" s="306"/>
      <c r="V565" s="305"/>
      <c r="W565" s="306"/>
      <c r="X565" s="306"/>
      <c r="Y565" s="306"/>
      <c r="Z565" s="307"/>
      <c r="AA565" s="306"/>
      <c r="AB565" s="306"/>
      <c r="AC565" s="306"/>
    </row>
    <row r="566">
      <c r="A566" s="306"/>
      <c r="B566" s="306"/>
      <c r="C566" s="306"/>
      <c r="D566" s="305"/>
      <c r="E566" s="306"/>
      <c r="F566" s="306"/>
      <c r="G566" s="306"/>
      <c r="H566" s="306"/>
      <c r="I566" s="306"/>
      <c r="J566" s="306"/>
      <c r="K566" s="307"/>
      <c r="L566" s="306"/>
      <c r="M566" s="306"/>
      <c r="N566" s="306"/>
      <c r="O566" s="306"/>
      <c r="P566" s="306"/>
      <c r="Q566" s="306"/>
      <c r="R566" s="306"/>
      <c r="S566" s="306"/>
      <c r="T566" s="306"/>
      <c r="U566" s="306"/>
      <c r="V566" s="305"/>
      <c r="W566" s="306"/>
      <c r="X566" s="306"/>
      <c r="Y566" s="306"/>
      <c r="Z566" s="307"/>
      <c r="AA566" s="306"/>
      <c r="AB566" s="306"/>
      <c r="AC566" s="306"/>
    </row>
    <row r="567">
      <c r="A567" s="306"/>
      <c r="B567" s="306"/>
      <c r="C567" s="306"/>
      <c r="D567" s="305"/>
      <c r="E567" s="306"/>
      <c r="F567" s="306"/>
      <c r="G567" s="306"/>
      <c r="H567" s="306"/>
      <c r="I567" s="306"/>
      <c r="J567" s="306"/>
      <c r="K567" s="307"/>
      <c r="L567" s="306"/>
      <c r="M567" s="306"/>
      <c r="N567" s="306"/>
      <c r="O567" s="306"/>
      <c r="P567" s="306"/>
      <c r="Q567" s="306"/>
      <c r="R567" s="306"/>
      <c r="S567" s="306"/>
      <c r="T567" s="306"/>
      <c r="U567" s="306"/>
      <c r="V567" s="305"/>
      <c r="W567" s="306"/>
      <c r="X567" s="306"/>
      <c r="Y567" s="306"/>
      <c r="Z567" s="307"/>
      <c r="AA567" s="306"/>
      <c r="AB567" s="306"/>
      <c r="AC567" s="306"/>
    </row>
    <row r="568">
      <c r="A568" s="306"/>
      <c r="B568" s="306"/>
      <c r="C568" s="306"/>
      <c r="D568" s="305"/>
      <c r="E568" s="306"/>
      <c r="F568" s="306"/>
      <c r="G568" s="306"/>
      <c r="H568" s="306"/>
      <c r="I568" s="306"/>
      <c r="J568" s="306"/>
      <c r="K568" s="307"/>
      <c r="L568" s="306"/>
      <c r="M568" s="306"/>
      <c r="N568" s="306"/>
      <c r="O568" s="306"/>
      <c r="P568" s="306"/>
      <c r="Q568" s="306"/>
      <c r="R568" s="306"/>
      <c r="S568" s="306"/>
      <c r="T568" s="306"/>
      <c r="U568" s="306"/>
      <c r="V568" s="305"/>
      <c r="W568" s="306"/>
      <c r="X568" s="306"/>
      <c r="Y568" s="306"/>
      <c r="Z568" s="307"/>
      <c r="AA568" s="306"/>
      <c r="AB568" s="306"/>
      <c r="AC568" s="306"/>
    </row>
    <row r="569">
      <c r="A569" s="306"/>
      <c r="B569" s="306"/>
      <c r="C569" s="306"/>
      <c r="D569" s="305"/>
      <c r="E569" s="306"/>
      <c r="F569" s="306"/>
      <c r="G569" s="306"/>
      <c r="H569" s="306"/>
      <c r="I569" s="306"/>
      <c r="J569" s="306"/>
      <c r="K569" s="307"/>
      <c r="L569" s="306"/>
      <c r="M569" s="306"/>
      <c r="N569" s="306"/>
      <c r="O569" s="306"/>
      <c r="P569" s="306"/>
      <c r="Q569" s="306"/>
      <c r="R569" s="306"/>
      <c r="S569" s="306"/>
      <c r="T569" s="306"/>
      <c r="U569" s="306"/>
      <c r="V569" s="305"/>
      <c r="W569" s="306"/>
      <c r="X569" s="306"/>
      <c r="Y569" s="306"/>
      <c r="Z569" s="307"/>
      <c r="AA569" s="306"/>
      <c r="AB569" s="306"/>
      <c r="AC569" s="306"/>
    </row>
    <row r="570">
      <c r="A570" s="306"/>
      <c r="B570" s="306"/>
      <c r="C570" s="306"/>
      <c r="D570" s="305"/>
      <c r="E570" s="306"/>
      <c r="F570" s="306"/>
      <c r="G570" s="306"/>
      <c r="H570" s="306"/>
      <c r="I570" s="306"/>
      <c r="J570" s="306"/>
      <c r="K570" s="307"/>
      <c r="L570" s="306"/>
      <c r="M570" s="306"/>
      <c r="N570" s="306"/>
      <c r="O570" s="306"/>
      <c r="P570" s="306"/>
      <c r="Q570" s="306"/>
      <c r="R570" s="306"/>
      <c r="S570" s="306"/>
      <c r="T570" s="306"/>
      <c r="U570" s="306"/>
      <c r="V570" s="305"/>
      <c r="W570" s="306"/>
      <c r="X570" s="306"/>
      <c r="Y570" s="306"/>
      <c r="Z570" s="307"/>
      <c r="AA570" s="306"/>
      <c r="AB570" s="306"/>
      <c r="AC570" s="306"/>
    </row>
    <row r="571">
      <c r="A571" s="306"/>
      <c r="B571" s="306"/>
      <c r="C571" s="306"/>
      <c r="D571" s="305"/>
      <c r="E571" s="306"/>
      <c r="F571" s="306"/>
      <c r="G571" s="306"/>
      <c r="H571" s="306"/>
      <c r="I571" s="306"/>
      <c r="J571" s="306"/>
      <c r="K571" s="307"/>
      <c r="L571" s="306"/>
      <c r="M571" s="306"/>
      <c r="N571" s="306"/>
      <c r="O571" s="306"/>
      <c r="P571" s="306"/>
      <c r="Q571" s="306"/>
      <c r="R571" s="306"/>
      <c r="S571" s="306"/>
      <c r="T571" s="306"/>
      <c r="U571" s="306"/>
      <c r="V571" s="305"/>
      <c r="W571" s="306"/>
      <c r="X571" s="306"/>
      <c r="Y571" s="306"/>
      <c r="Z571" s="307"/>
      <c r="AA571" s="306"/>
      <c r="AB571" s="306"/>
      <c r="AC571" s="306"/>
    </row>
    <row r="572">
      <c r="A572" s="306"/>
      <c r="B572" s="306"/>
      <c r="C572" s="306"/>
      <c r="D572" s="305"/>
      <c r="E572" s="306"/>
      <c r="F572" s="306"/>
      <c r="G572" s="306"/>
      <c r="H572" s="306"/>
      <c r="I572" s="306"/>
      <c r="J572" s="306"/>
      <c r="K572" s="307"/>
      <c r="L572" s="306"/>
      <c r="M572" s="306"/>
      <c r="N572" s="306"/>
      <c r="O572" s="306"/>
      <c r="P572" s="306"/>
      <c r="Q572" s="306"/>
      <c r="R572" s="306"/>
      <c r="S572" s="306"/>
      <c r="T572" s="306"/>
      <c r="U572" s="306"/>
      <c r="V572" s="305"/>
      <c r="W572" s="306"/>
      <c r="X572" s="306"/>
      <c r="Y572" s="306"/>
      <c r="Z572" s="307"/>
      <c r="AA572" s="306"/>
      <c r="AB572" s="306"/>
      <c r="AC572" s="306"/>
    </row>
    <row r="573">
      <c r="A573" s="306"/>
      <c r="B573" s="306"/>
      <c r="C573" s="306"/>
      <c r="D573" s="305"/>
      <c r="E573" s="306"/>
      <c r="F573" s="306"/>
      <c r="G573" s="306"/>
      <c r="H573" s="306"/>
      <c r="I573" s="306"/>
      <c r="J573" s="306"/>
      <c r="K573" s="307"/>
      <c r="L573" s="306"/>
      <c r="M573" s="306"/>
      <c r="N573" s="306"/>
      <c r="O573" s="306"/>
      <c r="P573" s="306"/>
      <c r="Q573" s="306"/>
      <c r="R573" s="306"/>
      <c r="S573" s="306"/>
      <c r="T573" s="306"/>
      <c r="U573" s="306"/>
      <c r="V573" s="305"/>
      <c r="W573" s="306"/>
      <c r="X573" s="306"/>
      <c r="Y573" s="306"/>
      <c r="Z573" s="307"/>
      <c r="AA573" s="306"/>
      <c r="AB573" s="306"/>
      <c r="AC573" s="306"/>
    </row>
    <row r="574">
      <c r="A574" s="306"/>
      <c r="B574" s="306"/>
      <c r="C574" s="306"/>
      <c r="D574" s="305"/>
      <c r="E574" s="306"/>
      <c r="F574" s="306"/>
      <c r="G574" s="306"/>
      <c r="H574" s="306"/>
      <c r="I574" s="306"/>
      <c r="J574" s="306"/>
      <c r="K574" s="307"/>
      <c r="L574" s="306"/>
      <c r="M574" s="306"/>
      <c r="N574" s="306"/>
      <c r="O574" s="306"/>
      <c r="P574" s="306"/>
      <c r="Q574" s="306"/>
      <c r="R574" s="306"/>
      <c r="S574" s="306"/>
      <c r="T574" s="306"/>
      <c r="U574" s="306"/>
      <c r="V574" s="305"/>
      <c r="W574" s="306"/>
      <c r="X574" s="306"/>
      <c r="Y574" s="306"/>
      <c r="Z574" s="307"/>
      <c r="AA574" s="306"/>
      <c r="AB574" s="306"/>
      <c r="AC574" s="306"/>
    </row>
    <row r="575">
      <c r="A575" s="306"/>
      <c r="B575" s="306"/>
      <c r="C575" s="306"/>
      <c r="D575" s="305"/>
      <c r="E575" s="306"/>
      <c r="F575" s="306"/>
      <c r="G575" s="306"/>
      <c r="H575" s="306"/>
      <c r="I575" s="306"/>
      <c r="J575" s="306"/>
      <c r="K575" s="307"/>
      <c r="L575" s="306"/>
      <c r="M575" s="306"/>
      <c r="N575" s="306"/>
      <c r="O575" s="306"/>
      <c r="P575" s="306"/>
      <c r="Q575" s="306"/>
      <c r="R575" s="306"/>
      <c r="S575" s="306"/>
      <c r="T575" s="306"/>
      <c r="U575" s="306"/>
      <c r="V575" s="305"/>
      <c r="W575" s="306"/>
      <c r="X575" s="306"/>
      <c r="Y575" s="306"/>
      <c r="Z575" s="307"/>
      <c r="AA575" s="306"/>
      <c r="AB575" s="306"/>
      <c r="AC575" s="306"/>
    </row>
    <row r="576">
      <c r="A576" s="306"/>
      <c r="B576" s="306"/>
      <c r="C576" s="306"/>
      <c r="D576" s="305"/>
      <c r="E576" s="306"/>
      <c r="F576" s="306"/>
      <c r="G576" s="306"/>
      <c r="H576" s="306"/>
      <c r="I576" s="306"/>
      <c r="J576" s="306"/>
      <c r="K576" s="307"/>
      <c r="L576" s="306"/>
      <c r="M576" s="306"/>
      <c r="N576" s="306"/>
      <c r="O576" s="306"/>
      <c r="P576" s="306"/>
      <c r="Q576" s="306"/>
      <c r="R576" s="306"/>
      <c r="S576" s="306"/>
      <c r="T576" s="306"/>
      <c r="U576" s="306"/>
      <c r="V576" s="305"/>
      <c r="W576" s="306"/>
      <c r="X576" s="306"/>
      <c r="Y576" s="306"/>
      <c r="Z576" s="307"/>
      <c r="AA576" s="306"/>
      <c r="AB576" s="306"/>
      <c r="AC576" s="306"/>
    </row>
    <row r="577">
      <c r="A577" s="306"/>
      <c r="B577" s="306"/>
      <c r="C577" s="306"/>
      <c r="D577" s="305"/>
      <c r="E577" s="306"/>
      <c r="F577" s="306"/>
      <c r="G577" s="306"/>
      <c r="H577" s="306"/>
      <c r="I577" s="306"/>
      <c r="J577" s="306"/>
      <c r="K577" s="307"/>
      <c r="L577" s="306"/>
      <c r="M577" s="306"/>
      <c r="N577" s="306"/>
      <c r="O577" s="306"/>
      <c r="P577" s="306"/>
      <c r="Q577" s="306"/>
      <c r="R577" s="306"/>
      <c r="S577" s="306"/>
      <c r="T577" s="306"/>
      <c r="U577" s="306"/>
      <c r="V577" s="305"/>
      <c r="W577" s="306"/>
      <c r="X577" s="306"/>
      <c r="Y577" s="306"/>
      <c r="Z577" s="307"/>
      <c r="AA577" s="306"/>
      <c r="AB577" s="306"/>
      <c r="AC577" s="306"/>
    </row>
    <row r="578">
      <c r="A578" s="306"/>
      <c r="B578" s="306"/>
      <c r="C578" s="306"/>
      <c r="D578" s="305"/>
      <c r="E578" s="306"/>
      <c r="F578" s="306"/>
      <c r="G578" s="306"/>
      <c r="H578" s="306"/>
      <c r="I578" s="306"/>
      <c r="J578" s="306"/>
      <c r="K578" s="307"/>
      <c r="L578" s="306"/>
      <c r="M578" s="306"/>
      <c r="N578" s="306"/>
      <c r="O578" s="306"/>
      <c r="P578" s="306"/>
      <c r="Q578" s="306"/>
      <c r="R578" s="306"/>
      <c r="S578" s="306"/>
      <c r="T578" s="306"/>
      <c r="U578" s="306"/>
      <c r="V578" s="305"/>
      <c r="W578" s="306"/>
      <c r="X578" s="306"/>
      <c r="Y578" s="306"/>
      <c r="Z578" s="307"/>
      <c r="AA578" s="306"/>
      <c r="AB578" s="306"/>
      <c r="AC578" s="306"/>
    </row>
    <row r="579">
      <c r="A579" s="306"/>
      <c r="B579" s="306"/>
      <c r="C579" s="306"/>
      <c r="D579" s="305"/>
      <c r="E579" s="306"/>
      <c r="F579" s="306"/>
      <c r="G579" s="306"/>
      <c r="H579" s="306"/>
      <c r="I579" s="306"/>
      <c r="J579" s="306"/>
      <c r="K579" s="307"/>
      <c r="L579" s="306"/>
      <c r="M579" s="306"/>
      <c r="N579" s="306"/>
      <c r="O579" s="306"/>
      <c r="P579" s="306"/>
      <c r="Q579" s="306"/>
      <c r="R579" s="306"/>
      <c r="S579" s="306"/>
      <c r="T579" s="306"/>
      <c r="U579" s="306"/>
      <c r="V579" s="305"/>
      <c r="W579" s="306"/>
      <c r="X579" s="306"/>
      <c r="Y579" s="306"/>
      <c r="Z579" s="307"/>
      <c r="AA579" s="306"/>
      <c r="AB579" s="306"/>
      <c r="AC579" s="306"/>
    </row>
    <row r="580">
      <c r="A580" s="306"/>
      <c r="B580" s="306"/>
      <c r="C580" s="306"/>
      <c r="D580" s="305"/>
      <c r="E580" s="306"/>
      <c r="F580" s="306"/>
      <c r="G580" s="306"/>
      <c r="H580" s="306"/>
      <c r="I580" s="306"/>
      <c r="J580" s="306"/>
      <c r="K580" s="307"/>
      <c r="L580" s="306"/>
      <c r="M580" s="306"/>
      <c r="N580" s="306"/>
      <c r="O580" s="306"/>
      <c r="P580" s="306"/>
      <c r="Q580" s="306"/>
      <c r="R580" s="306"/>
      <c r="S580" s="306"/>
      <c r="T580" s="306"/>
      <c r="U580" s="306"/>
      <c r="V580" s="305"/>
      <c r="W580" s="306"/>
      <c r="X580" s="306"/>
      <c r="Y580" s="306"/>
      <c r="Z580" s="307"/>
      <c r="AA580" s="306"/>
      <c r="AB580" s="306"/>
      <c r="AC580" s="306"/>
    </row>
    <row r="581">
      <c r="A581" s="306"/>
      <c r="B581" s="306"/>
      <c r="C581" s="306"/>
      <c r="D581" s="305"/>
      <c r="E581" s="306"/>
      <c r="F581" s="306"/>
      <c r="G581" s="306"/>
      <c r="H581" s="306"/>
      <c r="I581" s="306"/>
      <c r="J581" s="306"/>
      <c r="K581" s="307"/>
      <c r="L581" s="306"/>
      <c r="M581" s="306"/>
      <c r="N581" s="306"/>
      <c r="O581" s="306"/>
      <c r="P581" s="306"/>
      <c r="Q581" s="306"/>
      <c r="R581" s="306"/>
      <c r="S581" s="306"/>
      <c r="T581" s="306"/>
      <c r="U581" s="306"/>
      <c r="V581" s="305"/>
      <c r="W581" s="306"/>
      <c r="X581" s="306"/>
      <c r="Y581" s="306"/>
      <c r="Z581" s="307"/>
      <c r="AA581" s="306"/>
      <c r="AB581" s="306"/>
      <c r="AC581" s="306"/>
    </row>
    <row r="582">
      <c r="A582" s="306"/>
      <c r="B582" s="306"/>
      <c r="C582" s="306"/>
      <c r="D582" s="305"/>
      <c r="E582" s="306"/>
      <c r="F582" s="306"/>
      <c r="G582" s="306"/>
      <c r="H582" s="306"/>
      <c r="I582" s="306"/>
      <c r="J582" s="306"/>
      <c r="K582" s="307"/>
      <c r="L582" s="306"/>
      <c r="M582" s="306"/>
      <c r="N582" s="306"/>
      <c r="O582" s="306"/>
      <c r="P582" s="306"/>
      <c r="Q582" s="306"/>
      <c r="R582" s="306"/>
      <c r="S582" s="306"/>
      <c r="T582" s="306"/>
      <c r="U582" s="306"/>
      <c r="V582" s="305"/>
      <c r="W582" s="306"/>
      <c r="X582" s="306"/>
      <c r="Y582" s="306"/>
      <c r="Z582" s="307"/>
      <c r="AA582" s="306"/>
      <c r="AB582" s="306"/>
      <c r="AC582" s="306"/>
    </row>
    <row r="583">
      <c r="A583" s="306"/>
      <c r="B583" s="306"/>
      <c r="C583" s="306"/>
      <c r="D583" s="305"/>
      <c r="E583" s="306"/>
      <c r="F583" s="306"/>
      <c r="G583" s="306"/>
      <c r="H583" s="306"/>
      <c r="I583" s="306"/>
      <c r="J583" s="306"/>
      <c r="K583" s="307"/>
      <c r="L583" s="306"/>
      <c r="M583" s="306"/>
      <c r="N583" s="306"/>
      <c r="O583" s="306"/>
      <c r="P583" s="306"/>
      <c r="Q583" s="306"/>
      <c r="R583" s="306"/>
      <c r="S583" s="306"/>
      <c r="T583" s="306"/>
      <c r="U583" s="306"/>
      <c r="V583" s="305"/>
      <c r="W583" s="306"/>
      <c r="X583" s="306"/>
      <c r="Y583" s="306"/>
      <c r="Z583" s="307"/>
      <c r="AA583" s="306"/>
      <c r="AB583" s="306"/>
      <c r="AC583" s="306"/>
    </row>
    <row r="584">
      <c r="A584" s="306"/>
      <c r="B584" s="306"/>
      <c r="C584" s="306"/>
      <c r="D584" s="305"/>
      <c r="E584" s="306"/>
      <c r="F584" s="306"/>
      <c r="G584" s="306"/>
      <c r="H584" s="306"/>
      <c r="I584" s="306"/>
      <c r="J584" s="306"/>
      <c r="K584" s="307"/>
      <c r="L584" s="306"/>
      <c r="M584" s="306"/>
      <c r="N584" s="306"/>
      <c r="O584" s="306"/>
      <c r="P584" s="306"/>
      <c r="Q584" s="306"/>
      <c r="R584" s="306"/>
      <c r="S584" s="306"/>
      <c r="T584" s="306"/>
      <c r="U584" s="306"/>
      <c r="V584" s="305"/>
      <c r="W584" s="306"/>
      <c r="X584" s="306"/>
      <c r="Y584" s="306"/>
      <c r="Z584" s="307"/>
      <c r="AA584" s="306"/>
      <c r="AB584" s="306"/>
      <c r="AC584" s="306"/>
    </row>
    <row r="585">
      <c r="A585" s="306"/>
      <c r="B585" s="306"/>
      <c r="C585" s="306"/>
      <c r="D585" s="305"/>
      <c r="E585" s="306"/>
      <c r="F585" s="306"/>
      <c r="G585" s="306"/>
      <c r="H585" s="306"/>
      <c r="I585" s="306"/>
      <c r="J585" s="306"/>
      <c r="K585" s="307"/>
      <c r="L585" s="306"/>
      <c r="M585" s="306"/>
      <c r="N585" s="306"/>
      <c r="O585" s="306"/>
      <c r="P585" s="306"/>
      <c r="Q585" s="306"/>
      <c r="R585" s="306"/>
      <c r="S585" s="306"/>
      <c r="T585" s="306"/>
      <c r="U585" s="306"/>
      <c r="V585" s="305"/>
      <c r="W585" s="306"/>
      <c r="X585" s="306"/>
      <c r="Y585" s="306"/>
      <c r="Z585" s="307"/>
      <c r="AA585" s="306"/>
      <c r="AB585" s="306"/>
      <c r="AC585" s="306"/>
    </row>
    <row r="586">
      <c r="A586" s="306"/>
      <c r="B586" s="306"/>
      <c r="C586" s="306"/>
      <c r="D586" s="305"/>
      <c r="E586" s="306"/>
      <c r="F586" s="306"/>
      <c r="G586" s="306"/>
      <c r="H586" s="306"/>
      <c r="I586" s="306"/>
      <c r="J586" s="306"/>
      <c r="K586" s="307"/>
      <c r="L586" s="306"/>
      <c r="M586" s="306"/>
      <c r="N586" s="306"/>
      <c r="O586" s="306"/>
      <c r="P586" s="306"/>
      <c r="Q586" s="306"/>
      <c r="R586" s="306"/>
      <c r="S586" s="306"/>
      <c r="T586" s="306"/>
      <c r="U586" s="306"/>
      <c r="V586" s="305"/>
      <c r="W586" s="306"/>
      <c r="X586" s="306"/>
      <c r="Y586" s="306"/>
      <c r="Z586" s="307"/>
      <c r="AA586" s="306"/>
      <c r="AB586" s="306"/>
      <c r="AC586" s="306"/>
    </row>
    <row r="587">
      <c r="A587" s="306"/>
      <c r="B587" s="306"/>
      <c r="C587" s="306"/>
      <c r="D587" s="305"/>
      <c r="E587" s="306"/>
      <c r="F587" s="306"/>
      <c r="G587" s="306"/>
      <c r="H587" s="306"/>
      <c r="I587" s="306"/>
      <c r="J587" s="306"/>
      <c r="K587" s="307"/>
      <c r="L587" s="306"/>
      <c r="M587" s="306"/>
      <c r="N587" s="306"/>
      <c r="O587" s="306"/>
      <c r="P587" s="306"/>
      <c r="Q587" s="306"/>
      <c r="R587" s="306"/>
      <c r="S587" s="306"/>
      <c r="T587" s="306"/>
      <c r="U587" s="306"/>
      <c r="V587" s="305"/>
      <c r="W587" s="306"/>
      <c r="X587" s="306"/>
      <c r="Y587" s="306"/>
      <c r="Z587" s="307"/>
      <c r="AA587" s="306"/>
      <c r="AB587" s="306"/>
      <c r="AC587" s="306"/>
    </row>
    <row r="588">
      <c r="A588" s="306"/>
      <c r="B588" s="306"/>
      <c r="C588" s="306"/>
      <c r="D588" s="305"/>
      <c r="E588" s="306"/>
      <c r="F588" s="306"/>
      <c r="G588" s="306"/>
      <c r="H588" s="306"/>
      <c r="I588" s="306"/>
      <c r="J588" s="306"/>
      <c r="K588" s="307"/>
      <c r="L588" s="306"/>
      <c r="M588" s="306"/>
      <c r="N588" s="306"/>
      <c r="O588" s="306"/>
      <c r="P588" s="306"/>
      <c r="Q588" s="306"/>
      <c r="R588" s="306"/>
      <c r="S588" s="306"/>
      <c r="T588" s="306"/>
      <c r="U588" s="306"/>
      <c r="V588" s="305"/>
      <c r="W588" s="306"/>
      <c r="X588" s="306"/>
      <c r="Y588" s="306"/>
      <c r="Z588" s="307"/>
      <c r="AA588" s="306"/>
      <c r="AB588" s="306"/>
      <c r="AC588" s="306"/>
    </row>
    <row r="589">
      <c r="A589" s="306"/>
      <c r="B589" s="306"/>
      <c r="C589" s="306"/>
      <c r="D589" s="305"/>
      <c r="E589" s="306"/>
      <c r="F589" s="306"/>
      <c r="G589" s="306"/>
      <c r="H589" s="306"/>
      <c r="I589" s="306"/>
      <c r="J589" s="306"/>
      <c r="K589" s="307"/>
      <c r="L589" s="306"/>
      <c r="M589" s="306"/>
      <c r="N589" s="306"/>
      <c r="O589" s="306"/>
      <c r="P589" s="306"/>
      <c r="Q589" s="306"/>
      <c r="R589" s="306"/>
      <c r="S589" s="306"/>
      <c r="T589" s="306"/>
      <c r="U589" s="306"/>
      <c r="V589" s="305"/>
      <c r="W589" s="306"/>
      <c r="X589" s="306"/>
      <c r="Y589" s="306"/>
      <c r="Z589" s="307"/>
      <c r="AA589" s="306"/>
      <c r="AB589" s="306"/>
      <c r="AC589" s="306"/>
    </row>
    <row r="590">
      <c r="A590" s="306"/>
      <c r="B590" s="306"/>
      <c r="C590" s="306"/>
      <c r="D590" s="305"/>
      <c r="E590" s="306"/>
      <c r="F590" s="306"/>
      <c r="G590" s="306"/>
      <c r="H590" s="306"/>
      <c r="I590" s="306"/>
      <c r="J590" s="306"/>
      <c r="K590" s="307"/>
      <c r="L590" s="306"/>
      <c r="M590" s="306"/>
      <c r="N590" s="306"/>
      <c r="O590" s="306"/>
      <c r="P590" s="306"/>
      <c r="Q590" s="306"/>
      <c r="R590" s="306"/>
      <c r="S590" s="306"/>
      <c r="T590" s="306"/>
      <c r="U590" s="306"/>
      <c r="V590" s="305"/>
      <c r="W590" s="306"/>
      <c r="X590" s="306"/>
      <c r="Y590" s="306"/>
      <c r="Z590" s="307"/>
      <c r="AA590" s="306"/>
      <c r="AB590" s="306"/>
      <c r="AC590" s="306"/>
    </row>
    <row r="591">
      <c r="A591" s="306"/>
      <c r="B591" s="306"/>
      <c r="C591" s="306"/>
      <c r="D591" s="305"/>
      <c r="E591" s="306"/>
      <c r="F591" s="306"/>
      <c r="G591" s="306"/>
      <c r="H591" s="306"/>
      <c r="I591" s="306"/>
      <c r="J591" s="306"/>
      <c r="K591" s="307"/>
      <c r="L591" s="306"/>
      <c r="M591" s="306"/>
      <c r="N591" s="306"/>
      <c r="O591" s="306"/>
      <c r="P591" s="306"/>
      <c r="Q591" s="306"/>
      <c r="R591" s="306"/>
      <c r="S591" s="306"/>
      <c r="T591" s="306"/>
      <c r="U591" s="306"/>
      <c r="V591" s="305"/>
      <c r="W591" s="306"/>
      <c r="X591" s="306"/>
      <c r="Y591" s="306"/>
      <c r="Z591" s="307"/>
      <c r="AA591" s="306"/>
      <c r="AB591" s="306"/>
      <c r="AC591" s="306"/>
    </row>
    <row r="592">
      <c r="A592" s="306"/>
      <c r="B592" s="306"/>
      <c r="C592" s="306"/>
      <c r="D592" s="305"/>
      <c r="E592" s="306"/>
      <c r="F592" s="306"/>
      <c r="G592" s="306"/>
      <c r="H592" s="306"/>
      <c r="I592" s="306"/>
      <c r="J592" s="306"/>
      <c r="K592" s="307"/>
      <c r="L592" s="306"/>
      <c r="M592" s="306"/>
      <c r="N592" s="306"/>
      <c r="O592" s="306"/>
      <c r="P592" s="306"/>
      <c r="Q592" s="306"/>
      <c r="R592" s="306"/>
      <c r="S592" s="306"/>
      <c r="T592" s="306"/>
      <c r="U592" s="306"/>
      <c r="V592" s="305"/>
      <c r="W592" s="306"/>
      <c r="X592" s="306"/>
      <c r="Y592" s="306"/>
      <c r="Z592" s="307"/>
      <c r="AA592" s="306"/>
      <c r="AB592" s="306"/>
      <c r="AC592" s="306"/>
    </row>
    <row r="593">
      <c r="A593" s="306"/>
      <c r="B593" s="306"/>
      <c r="C593" s="306"/>
      <c r="D593" s="305"/>
      <c r="E593" s="306"/>
      <c r="F593" s="306"/>
      <c r="G593" s="306"/>
      <c r="H593" s="306"/>
      <c r="I593" s="306"/>
      <c r="J593" s="306"/>
      <c r="K593" s="307"/>
      <c r="L593" s="306"/>
      <c r="M593" s="306"/>
      <c r="N593" s="306"/>
      <c r="O593" s="306"/>
      <c r="P593" s="306"/>
      <c r="Q593" s="306"/>
      <c r="R593" s="306"/>
      <c r="S593" s="306"/>
      <c r="T593" s="306"/>
      <c r="U593" s="306"/>
      <c r="V593" s="305"/>
      <c r="W593" s="306"/>
      <c r="X593" s="306"/>
      <c r="Y593" s="306"/>
      <c r="Z593" s="307"/>
      <c r="AA593" s="306"/>
      <c r="AB593" s="306"/>
      <c r="AC593" s="306"/>
    </row>
    <row r="594">
      <c r="A594" s="306"/>
      <c r="B594" s="306"/>
      <c r="C594" s="306"/>
      <c r="D594" s="305"/>
      <c r="E594" s="306"/>
      <c r="F594" s="306"/>
      <c r="G594" s="306"/>
      <c r="H594" s="306"/>
      <c r="I594" s="306"/>
      <c r="J594" s="306"/>
      <c r="K594" s="307"/>
      <c r="L594" s="306"/>
      <c r="M594" s="306"/>
      <c r="N594" s="306"/>
      <c r="O594" s="306"/>
      <c r="P594" s="306"/>
      <c r="Q594" s="306"/>
      <c r="R594" s="306"/>
      <c r="S594" s="306"/>
      <c r="T594" s="306"/>
      <c r="U594" s="306"/>
      <c r="V594" s="305"/>
      <c r="W594" s="306"/>
      <c r="X594" s="306"/>
      <c r="Y594" s="306"/>
      <c r="Z594" s="307"/>
      <c r="AA594" s="306"/>
      <c r="AB594" s="306"/>
      <c r="AC594" s="306"/>
    </row>
    <row r="595">
      <c r="A595" s="306"/>
      <c r="B595" s="306"/>
      <c r="C595" s="306"/>
      <c r="D595" s="305"/>
      <c r="E595" s="306"/>
      <c r="F595" s="306"/>
      <c r="G595" s="306"/>
      <c r="H595" s="306"/>
      <c r="I595" s="306"/>
      <c r="J595" s="306"/>
      <c r="K595" s="307"/>
      <c r="L595" s="306"/>
      <c r="M595" s="306"/>
      <c r="N595" s="306"/>
      <c r="O595" s="306"/>
      <c r="P595" s="306"/>
      <c r="Q595" s="306"/>
      <c r="R595" s="306"/>
      <c r="S595" s="306"/>
      <c r="T595" s="306"/>
      <c r="U595" s="306"/>
      <c r="V595" s="305"/>
      <c r="W595" s="306"/>
      <c r="X595" s="306"/>
      <c r="Y595" s="306"/>
      <c r="Z595" s="307"/>
      <c r="AA595" s="306"/>
      <c r="AB595" s="306"/>
      <c r="AC595" s="306"/>
    </row>
    <row r="596">
      <c r="A596" s="306"/>
      <c r="B596" s="306"/>
      <c r="C596" s="306"/>
      <c r="D596" s="305"/>
      <c r="E596" s="306"/>
      <c r="F596" s="306"/>
      <c r="G596" s="306"/>
      <c r="H596" s="306"/>
      <c r="I596" s="306"/>
      <c r="J596" s="306"/>
      <c r="K596" s="307"/>
      <c r="L596" s="306"/>
      <c r="M596" s="306"/>
      <c r="N596" s="306"/>
      <c r="O596" s="306"/>
      <c r="P596" s="306"/>
      <c r="Q596" s="306"/>
      <c r="R596" s="306"/>
      <c r="S596" s="306"/>
      <c r="T596" s="306"/>
      <c r="U596" s="306"/>
      <c r="V596" s="305"/>
      <c r="W596" s="306"/>
      <c r="X596" s="306"/>
      <c r="Y596" s="306"/>
      <c r="Z596" s="307"/>
      <c r="AA596" s="306"/>
      <c r="AB596" s="306"/>
      <c r="AC596" s="306"/>
    </row>
    <row r="597">
      <c r="A597" s="306"/>
      <c r="B597" s="306"/>
      <c r="C597" s="306"/>
      <c r="D597" s="305"/>
      <c r="E597" s="306"/>
      <c r="F597" s="306"/>
      <c r="G597" s="306"/>
      <c r="H597" s="306"/>
      <c r="I597" s="306"/>
      <c r="J597" s="306"/>
      <c r="K597" s="307"/>
      <c r="L597" s="306"/>
      <c r="M597" s="306"/>
      <c r="N597" s="306"/>
      <c r="O597" s="306"/>
      <c r="P597" s="306"/>
      <c r="Q597" s="306"/>
      <c r="R597" s="306"/>
      <c r="S597" s="306"/>
      <c r="T597" s="306"/>
      <c r="U597" s="306"/>
      <c r="V597" s="305"/>
      <c r="W597" s="306"/>
      <c r="X597" s="306"/>
      <c r="Y597" s="306"/>
      <c r="Z597" s="307"/>
      <c r="AA597" s="306"/>
      <c r="AB597" s="306"/>
      <c r="AC597" s="306"/>
    </row>
    <row r="598">
      <c r="A598" s="306"/>
      <c r="B598" s="306"/>
      <c r="C598" s="306"/>
      <c r="D598" s="305"/>
      <c r="E598" s="306"/>
      <c r="F598" s="306"/>
      <c r="G598" s="306"/>
      <c r="H598" s="306"/>
      <c r="I598" s="306"/>
      <c r="J598" s="306"/>
      <c r="K598" s="307"/>
      <c r="L598" s="306"/>
      <c r="M598" s="306"/>
      <c r="N598" s="306"/>
      <c r="O598" s="306"/>
      <c r="P598" s="306"/>
      <c r="Q598" s="306"/>
      <c r="R598" s="306"/>
      <c r="S598" s="306"/>
      <c r="T598" s="306"/>
      <c r="U598" s="306"/>
      <c r="V598" s="305"/>
      <c r="W598" s="306"/>
      <c r="X598" s="306"/>
      <c r="Y598" s="306"/>
      <c r="Z598" s="307"/>
      <c r="AA598" s="306"/>
      <c r="AB598" s="306"/>
      <c r="AC598" s="306"/>
    </row>
    <row r="599">
      <c r="A599" s="306"/>
      <c r="B599" s="306"/>
      <c r="C599" s="306"/>
      <c r="D599" s="305"/>
      <c r="E599" s="306"/>
      <c r="F599" s="306"/>
      <c r="G599" s="306"/>
      <c r="H599" s="306"/>
      <c r="I599" s="306"/>
      <c r="J599" s="306"/>
      <c r="K599" s="307"/>
      <c r="L599" s="306"/>
      <c r="M599" s="306"/>
      <c r="N599" s="306"/>
      <c r="O599" s="306"/>
      <c r="P599" s="306"/>
      <c r="Q599" s="306"/>
      <c r="R599" s="306"/>
      <c r="S599" s="306"/>
      <c r="T599" s="306"/>
      <c r="U599" s="306"/>
      <c r="V599" s="305"/>
      <c r="W599" s="306"/>
      <c r="X599" s="306"/>
      <c r="Y599" s="306"/>
      <c r="Z599" s="307"/>
      <c r="AA599" s="306"/>
      <c r="AB599" s="306"/>
      <c r="AC599" s="306"/>
    </row>
    <row r="600">
      <c r="A600" s="306"/>
      <c r="B600" s="306"/>
      <c r="C600" s="306"/>
      <c r="D600" s="305"/>
      <c r="E600" s="306"/>
      <c r="F600" s="306"/>
      <c r="G600" s="306"/>
      <c r="H600" s="306"/>
      <c r="I600" s="306"/>
      <c r="J600" s="306"/>
      <c r="K600" s="307"/>
      <c r="L600" s="306"/>
      <c r="M600" s="306"/>
      <c r="N600" s="306"/>
      <c r="O600" s="306"/>
      <c r="P600" s="306"/>
      <c r="Q600" s="306"/>
      <c r="R600" s="306"/>
      <c r="S600" s="306"/>
      <c r="T600" s="306"/>
      <c r="U600" s="306"/>
      <c r="V600" s="305"/>
      <c r="W600" s="306"/>
      <c r="X600" s="306"/>
      <c r="Y600" s="306"/>
      <c r="Z600" s="307"/>
      <c r="AA600" s="306"/>
      <c r="AB600" s="306"/>
      <c r="AC600" s="306"/>
    </row>
    <row r="601">
      <c r="A601" s="306"/>
      <c r="B601" s="306"/>
      <c r="C601" s="306"/>
      <c r="D601" s="305"/>
      <c r="E601" s="306"/>
      <c r="F601" s="306"/>
      <c r="G601" s="306"/>
      <c r="H601" s="306"/>
      <c r="I601" s="306"/>
      <c r="J601" s="306"/>
      <c r="K601" s="307"/>
      <c r="L601" s="306"/>
      <c r="M601" s="306"/>
      <c r="N601" s="306"/>
      <c r="O601" s="306"/>
      <c r="P601" s="306"/>
      <c r="Q601" s="306"/>
      <c r="R601" s="306"/>
      <c r="S601" s="306"/>
      <c r="T601" s="306"/>
      <c r="U601" s="306"/>
      <c r="V601" s="305"/>
      <c r="W601" s="306"/>
      <c r="X601" s="306"/>
      <c r="Y601" s="306"/>
      <c r="Z601" s="307"/>
      <c r="AA601" s="306"/>
      <c r="AB601" s="306"/>
      <c r="AC601" s="306"/>
    </row>
    <row r="602">
      <c r="A602" s="306"/>
      <c r="B602" s="306"/>
      <c r="C602" s="306"/>
      <c r="D602" s="305"/>
      <c r="E602" s="306"/>
      <c r="F602" s="306"/>
      <c r="G602" s="306"/>
      <c r="H602" s="306"/>
      <c r="I602" s="306"/>
      <c r="J602" s="306"/>
      <c r="K602" s="307"/>
      <c r="L602" s="306"/>
      <c r="M602" s="306"/>
      <c r="N602" s="306"/>
      <c r="O602" s="306"/>
      <c r="P602" s="306"/>
      <c r="Q602" s="306"/>
      <c r="R602" s="306"/>
      <c r="S602" s="306"/>
      <c r="T602" s="306"/>
      <c r="U602" s="306"/>
      <c r="V602" s="305"/>
      <c r="W602" s="306"/>
      <c r="X602" s="306"/>
      <c r="Y602" s="306"/>
      <c r="Z602" s="307"/>
      <c r="AA602" s="306"/>
      <c r="AB602" s="306"/>
      <c r="AC602" s="306"/>
    </row>
    <row r="603">
      <c r="A603" s="306"/>
      <c r="B603" s="306"/>
      <c r="C603" s="306"/>
      <c r="D603" s="305"/>
      <c r="E603" s="306"/>
      <c r="F603" s="306"/>
      <c r="G603" s="306"/>
      <c r="H603" s="306"/>
      <c r="I603" s="306"/>
      <c r="J603" s="306"/>
      <c r="K603" s="307"/>
      <c r="L603" s="306"/>
      <c r="M603" s="306"/>
      <c r="N603" s="306"/>
      <c r="O603" s="306"/>
      <c r="P603" s="306"/>
      <c r="Q603" s="306"/>
      <c r="R603" s="306"/>
      <c r="S603" s="306"/>
      <c r="T603" s="306"/>
      <c r="U603" s="306"/>
      <c r="V603" s="305"/>
      <c r="W603" s="306"/>
      <c r="X603" s="306"/>
      <c r="Y603" s="306"/>
      <c r="Z603" s="307"/>
      <c r="AA603" s="306"/>
      <c r="AB603" s="306"/>
      <c r="AC603" s="306"/>
    </row>
    <row r="604">
      <c r="A604" s="306"/>
      <c r="B604" s="306"/>
      <c r="C604" s="306"/>
      <c r="D604" s="305"/>
      <c r="E604" s="306"/>
      <c r="F604" s="306"/>
      <c r="G604" s="306"/>
      <c r="H604" s="306"/>
      <c r="I604" s="306"/>
      <c r="J604" s="306"/>
      <c r="K604" s="307"/>
      <c r="L604" s="306"/>
      <c r="M604" s="306"/>
      <c r="N604" s="306"/>
      <c r="O604" s="306"/>
      <c r="P604" s="306"/>
      <c r="Q604" s="306"/>
      <c r="R604" s="306"/>
      <c r="S604" s="306"/>
      <c r="T604" s="306"/>
      <c r="U604" s="306"/>
      <c r="V604" s="305"/>
      <c r="W604" s="306"/>
      <c r="X604" s="306"/>
      <c r="Y604" s="306"/>
      <c r="Z604" s="307"/>
      <c r="AA604" s="306"/>
      <c r="AB604" s="306"/>
      <c r="AC604" s="306"/>
    </row>
    <row r="605">
      <c r="A605" s="306"/>
      <c r="B605" s="306"/>
      <c r="C605" s="306"/>
      <c r="D605" s="305"/>
      <c r="E605" s="306"/>
      <c r="F605" s="306"/>
      <c r="G605" s="306"/>
      <c r="H605" s="306"/>
      <c r="I605" s="306"/>
      <c r="J605" s="306"/>
      <c r="K605" s="307"/>
      <c r="L605" s="306"/>
      <c r="M605" s="306"/>
      <c r="N605" s="306"/>
      <c r="O605" s="306"/>
      <c r="P605" s="306"/>
      <c r="Q605" s="306"/>
      <c r="R605" s="306"/>
      <c r="S605" s="306"/>
      <c r="T605" s="306"/>
      <c r="U605" s="306"/>
      <c r="V605" s="305"/>
      <c r="W605" s="306"/>
      <c r="X605" s="306"/>
      <c r="Y605" s="306"/>
      <c r="Z605" s="307"/>
      <c r="AA605" s="306"/>
      <c r="AB605" s="306"/>
      <c r="AC605" s="306"/>
    </row>
    <row r="606">
      <c r="A606" s="306"/>
      <c r="B606" s="306"/>
      <c r="C606" s="306"/>
      <c r="D606" s="305"/>
      <c r="E606" s="306"/>
      <c r="F606" s="306"/>
      <c r="G606" s="306"/>
      <c r="H606" s="306"/>
      <c r="I606" s="306"/>
      <c r="J606" s="306"/>
      <c r="K606" s="307"/>
      <c r="L606" s="306"/>
      <c r="M606" s="306"/>
      <c r="N606" s="306"/>
      <c r="O606" s="306"/>
      <c r="P606" s="306"/>
      <c r="Q606" s="306"/>
      <c r="R606" s="306"/>
      <c r="S606" s="306"/>
      <c r="T606" s="306"/>
      <c r="U606" s="306"/>
      <c r="V606" s="305"/>
      <c r="W606" s="306"/>
      <c r="X606" s="306"/>
      <c r="Y606" s="306"/>
      <c r="Z606" s="307"/>
      <c r="AA606" s="306"/>
      <c r="AB606" s="306"/>
      <c r="AC606" s="306"/>
    </row>
    <row r="607">
      <c r="A607" s="306"/>
      <c r="B607" s="306"/>
      <c r="C607" s="306"/>
      <c r="D607" s="305"/>
      <c r="E607" s="306"/>
      <c r="F607" s="306"/>
      <c r="G607" s="306"/>
      <c r="H607" s="306"/>
      <c r="I607" s="306"/>
      <c r="J607" s="306"/>
      <c r="K607" s="307"/>
      <c r="L607" s="306"/>
      <c r="M607" s="306"/>
      <c r="N607" s="306"/>
      <c r="O607" s="306"/>
      <c r="P607" s="306"/>
      <c r="Q607" s="306"/>
      <c r="R607" s="306"/>
      <c r="S607" s="306"/>
      <c r="T607" s="306"/>
      <c r="U607" s="306"/>
      <c r="V607" s="305"/>
      <c r="W607" s="306"/>
      <c r="X607" s="306"/>
      <c r="Y607" s="306"/>
      <c r="Z607" s="307"/>
      <c r="AA607" s="306"/>
      <c r="AB607" s="306"/>
      <c r="AC607" s="306"/>
    </row>
    <row r="608">
      <c r="A608" s="306"/>
      <c r="B608" s="306"/>
      <c r="C608" s="306"/>
      <c r="D608" s="305"/>
      <c r="E608" s="306"/>
      <c r="F608" s="306"/>
      <c r="G608" s="306"/>
      <c r="H608" s="306"/>
      <c r="I608" s="306"/>
      <c r="J608" s="306"/>
      <c r="K608" s="307"/>
      <c r="L608" s="306"/>
      <c r="M608" s="306"/>
      <c r="N608" s="306"/>
      <c r="O608" s="306"/>
      <c r="P608" s="306"/>
      <c r="Q608" s="306"/>
      <c r="R608" s="306"/>
      <c r="S608" s="306"/>
      <c r="T608" s="306"/>
      <c r="U608" s="306"/>
      <c r="V608" s="305"/>
      <c r="W608" s="306"/>
      <c r="X608" s="306"/>
      <c r="Y608" s="306"/>
      <c r="Z608" s="307"/>
      <c r="AA608" s="306"/>
      <c r="AB608" s="306"/>
      <c r="AC608" s="306"/>
    </row>
    <row r="609">
      <c r="A609" s="306"/>
      <c r="B609" s="306"/>
      <c r="C609" s="306"/>
      <c r="D609" s="305"/>
      <c r="E609" s="306"/>
      <c r="F609" s="306"/>
      <c r="G609" s="306"/>
      <c r="H609" s="306"/>
      <c r="I609" s="306"/>
      <c r="J609" s="306"/>
      <c r="K609" s="307"/>
      <c r="L609" s="306"/>
      <c r="M609" s="306"/>
      <c r="N609" s="306"/>
      <c r="O609" s="306"/>
      <c r="P609" s="306"/>
      <c r="Q609" s="306"/>
      <c r="R609" s="306"/>
      <c r="S609" s="306"/>
      <c r="T609" s="306"/>
      <c r="U609" s="306"/>
      <c r="V609" s="305"/>
      <c r="W609" s="306"/>
      <c r="X609" s="306"/>
      <c r="Y609" s="306"/>
      <c r="Z609" s="307"/>
      <c r="AA609" s="306"/>
      <c r="AB609" s="306"/>
      <c r="AC609" s="306"/>
    </row>
    <row r="610">
      <c r="A610" s="306"/>
      <c r="B610" s="306"/>
      <c r="C610" s="306"/>
      <c r="D610" s="305"/>
      <c r="E610" s="306"/>
      <c r="F610" s="306"/>
      <c r="G610" s="306"/>
      <c r="H610" s="306"/>
      <c r="I610" s="306"/>
      <c r="J610" s="306"/>
      <c r="K610" s="307"/>
      <c r="L610" s="306"/>
      <c r="M610" s="306"/>
      <c r="N610" s="306"/>
      <c r="O610" s="306"/>
      <c r="P610" s="306"/>
      <c r="Q610" s="306"/>
      <c r="R610" s="306"/>
      <c r="S610" s="306"/>
      <c r="T610" s="306"/>
      <c r="U610" s="306"/>
      <c r="V610" s="305"/>
      <c r="W610" s="306"/>
      <c r="X610" s="306"/>
      <c r="Y610" s="306"/>
      <c r="Z610" s="307"/>
      <c r="AA610" s="306"/>
      <c r="AB610" s="306"/>
      <c r="AC610" s="306"/>
    </row>
    <row r="611">
      <c r="A611" s="306"/>
      <c r="B611" s="306"/>
      <c r="C611" s="306"/>
      <c r="D611" s="305"/>
      <c r="E611" s="306"/>
      <c r="F611" s="306"/>
      <c r="G611" s="306"/>
      <c r="H611" s="306"/>
      <c r="I611" s="306"/>
      <c r="J611" s="306"/>
      <c r="K611" s="307"/>
      <c r="L611" s="306"/>
      <c r="M611" s="306"/>
      <c r="N611" s="306"/>
      <c r="O611" s="306"/>
      <c r="P611" s="306"/>
      <c r="Q611" s="306"/>
      <c r="R611" s="306"/>
      <c r="S611" s="306"/>
      <c r="T611" s="306"/>
      <c r="U611" s="306"/>
      <c r="V611" s="305"/>
      <c r="W611" s="306"/>
      <c r="X611" s="306"/>
      <c r="Y611" s="306"/>
      <c r="Z611" s="307"/>
      <c r="AA611" s="306"/>
      <c r="AB611" s="306"/>
      <c r="AC611" s="306"/>
    </row>
    <row r="612">
      <c r="A612" s="306"/>
      <c r="B612" s="306"/>
      <c r="C612" s="306"/>
      <c r="D612" s="305"/>
      <c r="E612" s="306"/>
      <c r="F612" s="306"/>
      <c r="G612" s="306"/>
      <c r="H612" s="306"/>
      <c r="I612" s="306"/>
      <c r="J612" s="306"/>
      <c r="K612" s="307"/>
      <c r="L612" s="306"/>
      <c r="M612" s="306"/>
      <c r="N612" s="306"/>
      <c r="O612" s="306"/>
      <c r="P612" s="306"/>
      <c r="Q612" s="306"/>
      <c r="R612" s="306"/>
      <c r="S612" s="306"/>
      <c r="T612" s="306"/>
      <c r="U612" s="306"/>
      <c r="V612" s="305"/>
      <c r="W612" s="306"/>
      <c r="X612" s="306"/>
      <c r="Y612" s="306"/>
      <c r="Z612" s="307"/>
      <c r="AA612" s="306"/>
      <c r="AB612" s="306"/>
      <c r="AC612" s="306"/>
    </row>
    <row r="613">
      <c r="A613" s="306"/>
      <c r="B613" s="306"/>
      <c r="C613" s="306"/>
      <c r="D613" s="305"/>
      <c r="E613" s="306"/>
      <c r="F613" s="306"/>
      <c r="G613" s="306"/>
      <c r="H613" s="306"/>
      <c r="I613" s="306"/>
      <c r="J613" s="306"/>
      <c r="K613" s="307"/>
      <c r="L613" s="306"/>
      <c r="M613" s="306"/>
      <c r="N613" s="306"/>
      <c r="O613" s="306"/>
      <c r="P613" s="306"/>
      <c r="Q613" s="306"/>
      <c r="R613" s="306"/>
      <c r="S613" s="306"/>
      <c r="T613" s="306"/>
      <c r="U613" s="306"/>
      <c r="V613" s="305"/>
      <c r="W613" s="306"/>
      <c r="X613" s="306"/>
      <c r="Y613" s="306"/>
      <c r="Z613" s="307"/>
      <c r="AA613" s="306"/>
      <c r="AB613" s="306"/>
      <c r="AC613" s="306"/>
    </row>
    <row r="614">
      <c r="A614" s="306"/>
      <c r="B614" s="306"/>
      <c r="C614" s="306"/>
      <c r="D614" s="305"/>
      <c r="E614" s="306"/>
      <c r="F614" s="306"/>
      <c r="G614" s="306"/>
      <c r="H614" s="306"/>
      <c r="I614" s="306"/>
      <c r="J614" s="306"/>
      <c r="K614" s="307"/>
      <c r="L614" s="306"/>
      <c r="M614" s="306"/>
      <c r="N614" s="306"/>
      <c r="O614" s="306"/>
      <c r="P614" s="306"/>
      <c r="Q614" s="306"/>
      <c r="R614" s="306"/>
      <c r="S614" s="306"/>
      <c r="T614" s="306"/>
      <c r="U614" s="306"/>
      <c r="V614" s="305"/>
      <c r="W614" s="306"/>
      <c r="X614" s="306"/>
      <c r="Y614" s="306"/>
      <c r="Z614" s="307"/>
      <c r="AA614" s="306"/>
      <c r="AB614" s="306"/>
      <c r="AC614" s="306"/>
    </row>
    <row r="615">
      <c r="A615" s="306"/>
      <c r="B615" s="306"/>
      <c r="C615" s="306"/>
      <c r="D615" s="305"/>
      <c r="E615" s="306"/>
      <c r="F615" s="306"/>
      <c r="G615" s="306"/>
      <c r="H615" s="306"/>
      <c r="I615" s="306"/>
      <c r="J615" s="306"/>
      <c r="K615" s="307"/>
      <c r="L615" s="306"/>
      <c r="M615" s="306"/>
      <c r="N615" s="306"/>
      <c r="O615" s="306"/>
      <c r="P615" s="306"/>
      <c r="Q615" s="306"/>
      <c r="R615" s="306"/>
      <c r="S615" s="306"/>
      <c r="T615" s="306"/>
      <c r="U615" s="306"/>
      <c r="V615" s="305"/>
      <c r="W615" s="306"/>
      <c r="X615" s="306"/>
      <c r="Y615" s="306"/>
      <c r="Z615" s="307"/>
      <c r="AA615" s="306"/>
      <c r="AB615" s="306"/>
      <c r="AC615" s="306"/>
    </row>
    <row r="616">
      <c r="A616" s="306"/>
      <c r="B616" s="306"/>
      <c r="C616" s="306"/>
      <c r="D616" s="305"/>
      <c r="E616" s="306"/>
      <c r="F616" s="306"/>
      <c r="G616" s="306"/>
      <c r="H616" s="306"/>
      <c r="I616" s="306"/>
      <c r="J616" s="306"/>
      <c r="K616" s="307"/>
      <c r="L616" s="306"/>
      <c r="M616" s="306"/>
      <c r="N616" s="306"/>
      <c r="O616" s="306"/>
      <c r="P616" s="306"/>
      <c r="Q616" s="306"/>
      <c r="R616" s="306"/>
      <c r="S616" s="306"/>
      <c r="T616" s="306"/>
      <c r="U616" s="306"/>
      <c r="V616" s="305"/>
      <c r="W616" s="306"/>
      <c r="X616" s="306"/>
      <c r="Y616" s="306"/>
      <c r="Z616" s="307"/>
      <c r="AA616" s="306"/>
      <c r="AB616" s="306"/>
      <c r="AC616" s="306"/>
    </row>
    <row r="617">
      <c r="A617" s="306"/>
      <c r="B617" s="306"/>
      <c r="C617" s="306"/>
      <c r="D617" s="305"/>
      <c r="E617" s="306"/>
      <c r="F617" s="306"/>
      <c r="G617" s="306"/>
      <c r="H617" s="306"/>
      <c r="I617" s="306"/>
      <c r="J617" s="306"/>
      <c r="K617" s="307"/>
      <c r="L617" s="306"/>
      <c r="M617" s="306"/>
      <c r="N617" s="306"/>
      <c r="O617" s="306"/>
      <c r="P617" s="306"/>
      <c r="Q617" s="306"/>
      <c r="R617" s="306"/>
      <c r="S617" s="306"/>
      <c r="T617" s="306"/>
      <c r="U617" s="306"/>
      <c r="V617" s="305"/>
      <c r="W617" s="306"/>
      <c r="X617" s="306"/>
      <c r="Y617" s="306"/>
      <c r="Z617" s="307"/>
      <c r="AA617" s="306"/>
      <c r="AB617" s="306"/>
      <c r="AC617" s="306"/>
    </row>
    <row r="618">
      <c r="A618" s="306"/>
      <c r="B618" s="306"/>
      <c r="C618" s="306"/>
      <c r="D618" s="305"/>
      <c r="E618" s="306"/>
      <c r="F618" s="306"/>
      <c r="G618" s="306"/>
      <c r="H618" s="306"/>
      <c r="I618" s="306"/>
      <c r="J618" s="306"/>
      <c r="K618" s="307"/>
      <c r="L618" s="306"/>
      <c r="M618" s="306"/>
      <c r="N618" s="306"/>
      <c r="O618" s="306"/>
      <c r="P618" s="306"/>
      <c r="Q618" s="306"/>
      <c r="R618" s="306"/>
      <c r="S618" s="306"/>
      <c r="T618" s="306"/>
      <c r="U618" s="306"/>
      <c r="V618" s="305"/>
      <c r="W618" s="306"/>
      <c r="X618" s="306"/>
      <c r="Y618" s="306"/>
      <c r="Z618" s="307"/>
      <c r="AA618" s="306"/>
      <c r="AB618" s="306"/>
      <c r="AC618" s="306"/>
    </row>
    <row r="619">
      <c r="A619" s="306"/>
      <c r="B619" s="306"/>
      <c r="C619" s="306"/>
      <c r="D619" s="305"/>
      <c r="E619" s="306"/>
      <c r="F619" s="306"/>
      <c r="G619" s="306"/>
      <c r="H619" s="306"/>
      <c r="I619" s="306"/>
      <c r="J619" s="306"/>
      <c r="K619" s="307"/>
      <c r="L619" s="306"/>
      <c r="M619" s="306"/>
      <c r="N619" s="306"/>
      <c r="O619" s="306"/>
      <c r="P619" s="306"/>
      <c r="Q619" s="306"/>
      <c r="R619" s="306"/>
      <c r="S619" s="306"/>
      <c r="T619" s="306"/>
      <c r="U619" s="306"/>
      <c r="V619" s="305"/>
      <c r="W619" s="306"/>
      <c r="X619" s="306"/>
      <c r="Y619" s="306"/>
      <c r="Z619" s="307"/>
      <c r="AA619" s="306"/>
      <c r="AB619" s="306"/>
      <c r="AC619" s="306"/>
    </row>
    <row r="620">
      <c r="A620" s="306"/>
      <c r="B620" s="306"/>
      <c r="C620" s="306"/>
      <c r="D620" s="305"/>
      <c r="E620" s="306"/>
      <c r="F620" s="306"/>
      <c r="G620" s="306"/>
      <c r="H620" s="306"/>
      <c r="I620" s="306"/>
      <c r="J620" s="306"/>
      <c r="K620" s="307"/>
      <c r="L620" s="306"/>
      <c r="M620" s="306"/>
      <c r="N620" s="306"/>
      <c r="O620" s="306"/>
      <c r="P620" s="306"/>
      <c r="Q620" s="306"/>
      <c r="R620" s="306"/>
      <c r="S620" s="306"/>
      <c r="T620" s="306"/>
      <c r="U620" s="306"/>
      <c r="V620" s="305"/>
      <c r="W620" s="306"/>
      <c r="X620" s="306"/>
      <c r="Y620" s="306"/>
      <c r="Z620" s="307"/>
      <c r="AA620" s="306"/>
      <c r="AB620" s="306"/>
      <c r="AC620" s="306"/>
    </row>
    <row r="621">
      <c r="A621" s="306"/>
      <c r="B621" s="306"/>
      <c r="C621" s="306"/>
      <c r="D621" s="305"/>
      <c r="E621" s="306"/>
      <c r="F621" s="306"/>
      <c r="G621" s="306"/>
      <c r="H621" s="306"/>
      <c r="I621" s="306"/>
      <c r="J621" s="306"/>
      <c r="K621" s="307"/>
      <c r="L621" s="306"/>
      <c r="M621" s="306"/>
      <c r="N621" s="306"/>
      <c r="O621" s="306"/>
      <c r="P621" s="306"/>
      <c r="Q621" s="306"/>
      <c r="R621" s="306"/>
      <c r="S621" s="306"/>
      <c r="T621" s="306"/>
      <c r="U621" s="306"/>
      <c r="V621" s="305"/>
      <c r="W621" s="306"/>
      <c r="X621" s="306"/>
      <c r="Y621" s="306"/>
      <c r="Z621" s="307"/>
      <c r="AA621" s="306"/>
      <c r="AB621" s="306"/>
      <c r="AC621" s="306"/>
    </row>
    <row r="622">
      <c r="A622" s="306"/>
      <c r="B622" s="306"/>
      <c r="C622" s="306"/>
      <c r="D622" s="305"/>
      <c r="E622" s="306"/>
      <c r="F622" s="306"/>
      <c r="G622" s="306"/>
      <c r="H622" s="306"/>
      <c r="I622" s="306"/>
      <c r="J622" s="306"/>
      <c r="K622" s="307"/>
      <c r="L622" s="306"/>
      <c r="M622" s="306"/>
      <c r="N622" s="306"/>
      <c r="O622" s="306"/>
      <c r="P622" s="306"/>
      <c r="Q622" s="306"/>
      <c r="R622" s="306"/>
      <c r="S622" s="306"/>
      <c r="T622" s="306"/>
      <c r="U622" s="306"/>
      <c r="V622" s="305"/>
      <c r="W622" s="306"/>
      <c r="X622" s="306"/>
      <c r="Y622" s="306"/>
      <c r="Z622" s="307"/>
      <c r="AA622" s="306"/>
      <c r="AB622" s="306"/>
      <c r="AC622" s="306"/>
    </row>
    <row r="623">
      <c r="A623" s="306"/>
      <c r="B623" s="306"/>
      <c r="C623" s="306"/>
      <c r="D623" s="305"/>
      <c r="E623" s="306"/>
      <c r="F623" s="306"/>
      <c r="G623" s="306"/>
      <c r="H623" s="306"/>
      <c r="I623" s="306"/>
      <c r="J623" s="306"/>
      <c r="K623" s="307"/>
      <c r="L623" s="306"/>
      <c r="M623" s="306"/>
      <c r="N623" s="306"/>
      <c r="O623" s="306"/>
      <c r="P623" s="306"/>
      <c r="Q623" s="306"/>
      <c r="R623" s="306"/>
      <c r="S623" s="306"/>
      <c r="T623" s="306"/>
      <c r="U623" s="306"/>
      <c r="V623" s="305"/>
      <c r="W623" s="306"/>
      <c r="X623" s="306"/>
      <c r="Y623" s="306"/>
      <c r="Z623" s="307"/>
      <c r="AA623" s="306"/>
      <c r="AB623" s="306"/>
      <c r="AC623" s="306"/>
    </row>
    <row r="624">
      <c r="A624" s="306"/>
      <c r="B624" s="306"/>
      <c r="C624" s="306"/>
      <c r="D624" s="305"/>
      <c r="E624" s="306"/>
      <c r="F624" s="306"/>
      <c r="G624" s="306"/>
      <c r="H624" s="306"/>
      <c r="I624" s="306"/>
      <c r="J624" s="306"/>
      <c r="K624" s="307"/>
      <c r="L624" s="306"/>
      <c r="M624" s="306"/>
      <c r="N624" s="306"/>
      <c r="O624" s="306"/>
      <c r="P624" s="306"/>
      <c r="Q624" s="306"/>
      <c r="R624" s="306"/>
      <c r="S624" s="306"/>
      <c r="T624" s="306"/>
      <c r="U624" s="306"/>
      <c r="V624" s="305"/>
      <c r="W624" s="306"/>
      <c r="X624" s="306"/>
      <c r="Y624" s="306"/>
      <c r="Z624" s="307"/>
      <c r="AA624" s="306"/>
      <c r="AB624" s="306"/>
      <c r="AC624" s="306"/>
    </row>
    <row r="625">
      <c r="A625" s="306"/>
      <c r="B625" s="306"/>
      <c r="C625" s="306"/>
      <c r="D625" s="305"/>
      <c r="E625" s="306"/>
      <c r="F625" s="306"/>
      <c r="G625" s="306"/>
      <c r="H625" s="306"/>
      <c r="I625" s="306"/>
      <c r="J625" s="306"/>
      <c r="K625" s="307"/>
      <c r="L625" s="306"/>
      <c r="M625" s="306"/>
      <c r="N625" s="306"/>
      <c r="O625" s="306"/>
      <c r="P625" s="306"/>
      <c r="Q625" s="306"/>
      <c r="R625" s="306"/>
      <c r="S625" s="306"/>
      <c r="T625" s="306"/>
      <c r="U625" s="306"/>
      <c r="V625" s="305"/>
      <c r="W625" s="306"/>
      <c r="X625" s="306"/>
      <c r="Y625" s="306"/>
      <c r="Z625" s="307"/>
      <c r="AA625" s="306"/>
      <c r="AB625" s="306"/>
      <c r="AC625" s="306"/>
    </row>
    <row r="626">
      <c r="A626" s="306"/>
      <c r="B626" s="306"/>
      <c r="C626" s="306"/>
      <c r="D626" s="305"/>
      <c r="E626" s="306"/>
      <c r="F626" s="306"/>
      <c r="G626" s="306"/>
      <c r="H626" s="306"/>
      <c r="I626" s="306"/>
      <c r="J626" s="306"/>
      <c r="K626" s="307"/>
      <c r="L626" s="306"/>
      <c r="M626" s="306"/>
      <c r="N626" s="306"/>
      <c r="O626" s="306"/>
      <c r="P626" s="306"/>
      <c r="Q626" s="306"/>
      <c r="R626" s="306"/>
      <c r="S626" s="306"/>
      <c r="T626" s="306"/>
      <c r="U626" s="306"/>
      <c r="V626" s="305"/>
      <c r="W626" s="306"/>
      <c r="X626" s="306"/>
      <c r="Y626" s="306"/>
      <c r="Z626" s="307"/>
      <c r="AA626" s="306"/>
      <c r="AB626" s="306"/>
      <c r="AC626" s="306"/>
    </row>
    <row r="627">
      <c r="A627" s="306"/>
      <c r="B627" s="306"/>
      <c r="C627" s="306"/>
      <c r="D627" s="305"/>
      <c r="E627" s="306"/>
      <c r="F627" s="306"/>
      <c r="G627" s="306"/>
      <c r="H627" s="306"/>
      <c r="I627" s="306"/>
      <c r="J627" s="306"/>
      <c r="K627" s="307"/>
      <c r="L627" s="306"/>
      <c r="M627" s="306"/>
      <c r="N627" s="306"/>
      <c r="O627" s="306"/>
      <c r="P627" s="306"/>
      <c r="Q627" s="306"/>
      <c r="R627" s="306"/>
      <c r="S627" s="306"/>
      <c r="T627" s="306"/>
      <c r="U627" s="306"/>
      <c r="V627" s="305"/>
      <c r="W627" s="306"/>
      <c r="X627" s="306"/>
      <c r="Y627" s="306"/>
      <c r="Z627" s="307"/>
      <c r="AA627" s="306"/>
      <c r="AB627" s="306"/>
      <c r="AC627" s="306"/>
    </row>
    <row r="628">
      <c r="A628" s="306"/>
      <c r="B628" s="306"/>
      <c r="C628" s="306"/>
      <c r="D628" s="305"/>
      <c r="E628" s="306"/>
      <c r="F628" s="306"/>
      <c r="G628" s="306"/>
      <c r="H628" s="306"/>
      <c r="I628" s="306"/>
      <c r="J628" s="306"/>
      <c r="K628" s="307"/>
      <c r="L628" s="306"/>
      <c r="M628" s="306"/>
      <c r="N628" s="306"/>
      <c r="O628" s="306"/>
      <c r="P628" s="306"/>
      <c r="Q628" s="306"/>
      <c r="R628" s="306"/>
      <c r="S628" s="306"/>
      <c r="T628" s="306"/>
      <c r="U628" s="306"/>
      <c r="V628" s="305"/>
      <c r="W628" s="306"/>
      <c r="X628" s="306"/>
      <c r="Y628" s="306"/>
      <c r="Z628" s="307"/>
      <c r="AA628" s="306"/>
      <c r="AB628" s="306"/>
      <c r="AC628" s="306"/>
    </row>
    <row r="629">
      <c r="A629" s="306"/>
      <c r="B629" s="306"/>
      <c r="C629" s="306"/>
      <c r="D629" s="305"/>
      <c r="E629" s="306"/>
      <c r="F629" s="306"/>
      <c r="G629" s="306"/>
      <c r="H629" s="306"/>
      <c r="I629" s="306"/>
      <c r="J629" s="306"/>
      <c r="K629" s="307"/>
      <c r="L629" s="306"/>
      <c r="M629" s="306"/>
      <c r="N629" s="306"/>
      <c r="O629" s="306"/>
      <c r="P629" s="306"/>
      <c r="Q629" s="306"/>
      <c r="R629" s="306"/>
      <c r="S629" s="306"/>
      <c r="T629" s="306"/>
      <c r="U629" s="306"/>
      <c r="V629" s="305"/>
      <c r="W629" s="306"/>
      <c r="X629" s="306"/>
      <c r="Y629" s="306"/>
      <c r="Z629" s="307"/>
      <c r="AA629" s="306"/>
      <c r="AB629" s="306"/>
      <c r="AC629" s="306"/>
    </row>
    <row r="630">
      <c r="A630" s="306"/>
      <c r="B630" s="306"/>
      <c r="C630" s="306"/>
      <c r="D630" s="305"/>
      <c r="E630" s="306"/>
      <c r="F630" s="306"/>
      <c r="G630" s="306"/>
      <c r="H630" s="306"/>
      <c r="I630" s="306"/>
      <c r="J630" s="306"/>
      <c r="K630" s="307"/>
      <c r="L630" s="306"/>
      <c r="M630" s="306"/>
      <c r="N630" s="306"/>
      <c r="O630" s="306"/>
      <c r="P630" s="306"/>
      <c r="Q630" s="306"/>
      <c r="R630" s="306"/>
      <c r="S630" s="306"/>
      <c r="T630" s="306"/>
      <c r="U630" s="306"/>
      <c r="V630" s="305"/>
      <c r="W630" s="306"/>
      <c r="X630" s="306"/>
      <c r="Y630" s="306"/>
      <c r="Z630" s="307"/>
      <c r="AA630" s="306"/>
      <c r="AB630" s="306"/>
      <c r="AC630" s="306"/>
    </row>
    <row r="631">
      <c r="A631" s="306"/>
      <c r="B631" s="306"/>
      <c r="C631" s="306"/>
      <c r="D631" s="305"/>
      <c r="E631" s="306"/>
      <c r="F631" s="306"/>
      <c r="G631" s="306"/>
      <c r="H631" s="306"/>
      <c r="I631" s="306"/>
      <c r="J631" s="306"/>
      <c r="K631" s="307"/>
      <c r="L631" s="306"/>
      <c r="M631" s="306"/>
      <c r="N631" s="306"/>
      <c r="O631" s="306"/>
      <c r="P631" s="306"/>
      <c r="Q631" s="306"/>
      <c r="R631" s="306"/>
      <c r="S631" s="306"/>
      <c r="T631" s="306"/>
      <c r="U631" s="306"/>
      <c r="V631" s="305"/>
      <c r="W631" s="306"/>
      <c r="X631" s="306"/>
      <c r="Y631" s="306"/>
      <c r="Z631" s="307"/>
      <c r="AA631" s="306"/>
      <c r="AB631" s="306"/>
      <c r="AC631" s="306"/>
    </row>
    <row r="632">
      <c r="A632" s="306"/>
      <c r="B632" s="306"/>
      <c r="C632" s="306"/>
      <c r="D632" s="305"/>
      <c r="E632" s="306"/>
      <c r="F632" s="306"/>
      <c r="G632" s="306"/>
      <c r="H632" s="306"/>
      <c r="I632" s="306"/>
      <c r="J632" s="306"/>
      <c r="K632" s="307"/>
      <c r="L632" s="306"/>
      <c r="M632" s="306"/>
      <c r="N632" s="306"/>
      <c r="O632" s="306"/>
      <c r="P632" s="306"/>
      <c r="Q632" s="306"/>
      <c r="R632" s="306"/>
      <c r="S632" s="306"/>
      <c r="T632" s="306"/>
      <c r="U632" s="306"/>
      <c r="V632" s="305"/>
      <c r="W632" s="306"/>
      <c r="X632" s="306"/>
      <c r="Y632" s="306"/>
      <c r="Z632" s="307"/>
      <c r="AA632" s="306"/>
      <c r="AB632" s="306"/>
      <c r="AC632" s="306"/>
    </row>
    <row r="633">
      <c r="A633" s="306"/>
      <c r="B633" s="306"/>
      <c r="C633" s="306"/>
      <c r="D633" s="305"/>
      <c r="E633" s="306"/>
      <c r="F633" s="306"/>
      <c r="G633" s="306"/>
      <c r="H633" s="306"/>
      <c r="I633" s="306"/>
      <c r="J633" s="306"/>
      <c r="K633" s="307"/>
      <c r="L633" s="306"/>
      <c r="M633" s="306"/>
      <c r="N633" s="306"/>
      <c r="O633" s="306"/>
      <c r="P633" s="306"/>
      <c r="Q633" s="306"/>
      <c r="R633" s="306"/>
      <c r="S633" s="306"/>
      <c r="T633" s="306"/>
      <c r="U633" s="306"/>
      <c r="V633" s="305"/>
      <c r="W633" s="306"/>
      <c r="X633" s="306"/>
      <c r="Y633" s="306"/>
      <c r="Z633" s="307"/>
      <c r="AA633" s="306"/>
      <c r="AB633" s="306"/>
      <c r="AC633" s="306"/>
    </row>
    <row r="634">
      <c r="A634" s="306"/>
      <c r="B634" s="306"/>
      <c r="C634" s="306"/>
      <c r="D634" s="305"/>
      <c r="E634" s="306"/>
      <c r="F634" s="306"/>
      <c r="G634" s="306"/>
      <c r="H634" s="306"/>
      <c r="I634" s="306"/>
      <c r="J634" s="306"/>
      <c r="K634" s="307"/>
      <c r="L634" s="306"/>
      <c r="M634" s="306"/>
      <c r="N634" s="306"/>
      <c r="O634" s="306"/>
      <c r="P634" s="306"/>
      <c r="Q634" s="306"/>
      <c r="R634" s="306"/>
      <c r="S634" s="306"/>
      <c r="T634" s="306"/>
      <c r="U634" s="306"/>
      <c r="V634" s="305"/>
      <c r="W634" s="306"/>
      <c r="X634" s="306"/>
      <c r="Y634" s="306"/>
      <c r="Z634" s="307"/>
      <c r="AA634" s="306"/>
      <c r="AB634" s="306"/>
      <c r="AC634" s="306"/>
    </row>
    <row r="635">
      <c r="A635" s="306"/>
      <c r="B635" s="306"/>
      <c r="C635" s="306"/>
      <c r="D635" s="305"/>
      <c r="E635" s="306"/>
      <c r="F635" s="306"/>
      <c r="G635" s="306"/>
      <c r="H635" s="306"/>
      <c r="I635" s="306"/>
      <c r="J635" s="306"/>
      <c r="K635" s="307"/>
      <c r="L635" s="306"/>
      <c r="M635" s="306"/>
      <c r="N635" s="306"/>
      <c r="O635" s="306"/>
      <c r="P635" s="306"/>
      <c r="Q635" s="306"/>
      <c r="R635" s="306"/>
      <c r="S635" s="306"/>
      <c r="T635" s="306"/>
      <c r="U635" s="306"/>
      <c r="V635" s="305"/>
      <c r="W635" s="306"/>
      <c r="X635" s="306"/>
      <c r="Y635" s="306"/>
      <c r="Z635" s="307"/>
      <c r="AA635" s="306"/>
      <c r="AB635" s="306"/>
      <c r="AC635" s="306"/>
    </row>
    <row r="636">
      <c r="A636" s="306"/>
      <c r="B636" s="306"/>
      <c r="C636" s="306"/>
      <c r="D636" s="305"/>
      <c r="E636" s="306"/>
      <c r="F636" s="306"/>
      <c r="G636" s="306"/>
      <c r="H636" s="306"/>
      <c r="I636" s="306"/>
      <c r="J636" s="306"/>
      <c r="K636" s="307"/>
      <c r="L636" s="306"/>
      <c r="M636" s="306"/>
      <c r="N636" s="306"/>
      <c r="O636" s="306"/>
      <c r="P636" s="306"/>
      <c r="Q636" s="306"/>
      <c r="R636" s="306"/>
      <c r="S636" s="306"/>
      <c r="T636" s="306"/>
      <c r="U636" s="306"/>
      <c r="V636" s="305"/>
      <c r="W636" s="306"/>
      <c r="X636" s="306"/>
      <c r="Y636" s="306"/>
      <c r="Z636" s="307"/>
      <c r="AA636" s="306"/>
      <c r="AB636" s="306"/>
      <c r="AC636" s="306"/>
    </row>
    <row r="637">
      <c r="A637" s="306"/>
      <c r="B637" s="306"/>
      <c r="C637" s="306"/>
      <c r="D637" s="305"/>
      <c r="E637" s="306"/>
      <c r="F637" s="306"/>
      <c r="G637" s="306"/>
      <c r="H637" s="306"/>
      <c r="I637" s="306"/>
      <c r="J637" s="306"/>
      <c r="K637" s="307"/>
      <c r="L637" s="306"/>
      <c r="M637" s="306"/>
      <c r="N637" s="306"/>
      <c r="O637" s="306"/>
      <c r="P637" s="306"/>
      <c r="Q637" s="306"/>
      <c r="R637" s="306"/>
      <c r="S637" s="306"/>
      <c r="T637" s="306"/>
      <c r="U637" s="306"/>
      <c r="V637" s="305"/>
      <c r="W637" s="306"/>
      <c r="X637" s="306"/>
      <c r="Y637" s="306"/>
      <c r="Z637" s="307"/>
      <c r="AA637" s="306"/>
      <c r="AB637" s="306"/>
      <c r="AC637" s="306"/>
    </row>
    <row r="638">
      <c r="A638" s="306"/>
      <c r="B638" s="306"/>
      <c r="C638" s="306"/>
      <c r="D638" s="305"/>
      <c r="E638" s="306"/>
      <c r="F638" s="306"/>
      <c r="G638" s="306"/>
      <c r="H638" s="306"/>
      <c r="I638" s="306"/>
      <c r="J638" s="306"/>
      <c r="K638" s="307"/>
      <c r="L638" s="306"/>
      <c r="M638" s="306"/>
      <c r="N638" s="306"/>
      <c r="O638" s="306"/>
      <c r="P638" s="306"/>
      <c r="Q638" s="306"/>
      <c r="R638" s="306"/>
      <c r="S638" s="306"/>
      <c r="T638" s="306"/>
      <c r="U638" s="306"/>
      <c r="V638" s="305"/>
      <c r="W638" s="306"/>
      <c r="X638" s="306"/>
      <c r="Y638" s="306"/>
      <c r="Z638" s="307"/>
      <c r="AA638" s="306"/>
      <c r="AB638" s="306"/>
      <c r="AC638" s="306"/>
    </row>
    <row r="639">
      <c r="A639" s="306"/>
      <c r="B639" s="306"/>
      <c r="C639" s="306"/>
      <c r="D639" s="305"/>
      <c r="E639" s="306"/>
      <c r="F639" s="306"/>
      <c r="G639" s="306"/>
      <c r="H639" s="306"/>
      <c r="I639" s="306"/>
      <c r="J639" s="306"/>
      <c r="K639" s="307"/>
      <c r="L639" s="306"/>
      <c r="M639" s="306"/>
      <c r="N639" s="306"/>
      <c r="O639" s="306"/>
      <c r="P639" s="306"/>
      <c r="Q639" s="306"/>
      <c r="R639" s="306"/>
      <c r="S639" s="306"/>
      <c r="T639" s="306"/>
      <c r="U639" s="306"/>
      <c r="V639" s="305"/>
      <c r="W639" s="306"/>
      <c r="X639" s="306"/>
      <c r="Y639" s="306"/>
      <c r="Z639" s="307"/>
      <c r="AA639" s="306"/>
      <c r="AB639" s="306"/>
      <c r="AC639" s="306"/>
    </row>
    <row r="640">
      <c r="A640" s="306"/>
      <c r="B640" s="306"/>
      <c r="C640" s="306"/>
      <c r="D640" s="305"/>
      <c r="E640" s="306"/>
      <c r="F640" s="306"/>
      <c r="G640" s="306"/>
      <c r="H640" s="306"/>
      <c r="I640" s="306"/>
      <c r="J640" s="306"/>
      <c r="K640" s="307"/>
      <c r="L640" s="306"/>
      <c r="M640" s="306"/>
      <c r="N640" s="306"/>
      <c r="O640" s="306"/>
      <c r="P640" s="306"/>
      <c r="Q640" s="306"/>
      <c r="R640" s="306"/>
      <c r="S640" s="306"/>
      <c r="T640" s="306"/>
      <c r="U640" s="306"/>
      <c r="V640" s="305"/>
      <c r="W640" s="306"/>
      <c r="X640" s="306"/>
      <c r="Y640" s="306"/>
      <c r="Z640" s="307"/>
      <c r="AA640" s="306"/>
      <c r="AB640" s="306"/>
      <c r="AC640" s="306"/>
    </row>
    <row r="641">
      <c r="A641" s="306"/>
      <c r="B641" s="306"/>
      <c r="C641" s="306"/>
      <c r="D641" s="305"/>
      <c r="E641" s="306"/>
      <c r="F641" s="306"/>
      <c r="G641" s="306"/>
      <c r="H641" s="306"/>
      <c r="I641" s="306"/>
      <c r="J641" s="306"/>
      <c r="K641" s="307"/>
      <c r="L641" s="306"/>
      <c r="M641" s="306"/>
      <c r="N641" s="306"/>
      <c r="O641" s="306"/>
      <c r="P641" s="306"/>
      <c r="Q641" s="306"/>
      <c r="R641" s="306"/>
      <c r="S641" s="306"/>
      <c r="T641" s="306"/>
      <c r="U641" s="306"/>
      <c r="V641" s="305"/>
      <c r="W641" s="306"/>
      <c r="X641" s="306"/>
      <c r="Y641" s="306"/>
      <c r="Z641" s="307"/>
      <c r="AA641" s="306"/>
      <c r="AB641" s="306"/>
      <c r="AC641" s="306"/>
    </row>
    <row r="642">
      <c r="A642" s="306"/>
      <c r="B642" s="306"/>
      <c r="C642" s="306"/>
      <c r="D642" s="305"/>
      <c r="E642" s="306"/>
      <c r="F642" s="306"/>
      <c r="G642" s="306"/>
      <c r="H642" s="306"/>
      <c r="I642" s="306"/>
      <c r="J642" s="306"/>
      <c r="K642" s="307"/>
      <c r="L642" s="306"/>
      <c r="M642" s="306"/>
      <c r="N642" s="306"/>
      <c r="O642" s="306"/>
      <c r="P642" s="306"/>
      <c r="Q642" s="306"/>
      <c r="R642" s="306"/>
      <c r="S642" s="306"/>
      <c r="T642" s="306"/>
      <c r="U642" s="306"/>
      <c r="V642" s="305"/>
      <c r="W642" s="306"/>
      <c r="X642" s="306"/>
      <c r="Y642" s="306"/>
      <c r="Z642" s="307"/>
      <c r="AA642" s="306"/>
      <c r="AB642" s="306"/>
      <c r="AC642" s="306"/>
    </row>
    <row r="643">
      <c r="A643" s="306"/>
      <c r="B643" s="306"/>
      <c r="C643" s="306"/>
      <c r="D643" s="305"/>
      <c r="E643" s="306"/>
      <c r="F643" s="306"/>
      <c r="G643" s="306"/>
      <c r="H643" s="306"/>
      <c r="I643" s="306"/>
      <c r="J643" s="306"/>
      <c r="K643" s="307"/>
      <c r="L643" s="306"/>
      <c r="M643" s="306"/>
      <c r="N643" s="306"/>
      <c r="O643" s="306"/>
      <c r="P643" s="306"/>
      <c r="Q643" s="306"/>
      <c r="R643" s="306"/>
      <c r="S643" s="306"/>
      <c r="T643" s="306"/>
      <c r="U643" s="306"/>
      <c r="V643" s="305"/>
      <c r="W643" s="306"/>
      <c r="X643" s="306"/>
      <c r="Y643" s="306"/>
      <c r="Z643" s="307"/>
      <c r="AA643" s="306"/>
      <c r="AB643" s="306"/>
      <c r="AC643" s="306"/>
    </row>
    <row r="644">
      <c r="A644" s="306"/>
      <c r="B644" s="306"/>
      <c r="C644" s="306"/>
      <c r="D644" s="305"/>
      <c r="E644" s="306"/>
      <c r="F644" s="306"/>
      <c r="G644" s="306"/>
      <c r="H644" s="306"/>
      <c r="I644" s="306"/>
      <c r="J644" s="306"/>
      <c r="K644" s="307"/>
      <c r="L644" s="306"/>
      <c r="M644" s="306"/>
      <c r="N644" s="306"/>
      <c r="O644" s="306"/>
      <c r="P644" s="306"/>
      <c r="Q644" s="306"/>
      <c r="R644" s="306"/>
      <c r="S644" s="306"/>
      <c r="T644" s="306"/>
      <c r="U644" s="306"/>
      <c r="V644" s="305"/>
      <c r="W644" s="306"/>
      <c r="X644" s="306"/>
      <c r="Y644" s="306"/>
      <c r="Z644" s="307"/>
      <c r="AA644" s="306"/>
      <c r="AB644" s="306"/>
      <c r="AC644" s="306"/>
    </row>
    <row r="645">
      <c r="A645" s="306"/>
      <c r="B645" s="306"/>
      <c r="C645" s="306"/>
      <c r="D645" s="305"/>
      <c r="E645" s="306"/>
      <c r="F645" s="306"/>
      <c r="G645" s="306"/>
      <c r="H645" s="306"/>
      <c r="I645" s="306"/>
      <c r="J645" s="306"/>
      <c r="K645" s="307"/>
      <c r="L645" s="306"/>
      <c r="M645" s="306"/>
      <c r="N645" s="306"/>
      <c r="O645" s="306"/>
      <c r="P645" s="306"/>
      <c r="Q645" s="306"/>
      <c r="R645" s="306"/>
      <c r="S645" s="306"/>
      <c r="T645" s="306"/>
      <c r="U645" s="306"/>
      <c r="V645" s="305"/>
      <c r="W645" s="306"/>
      <c r="X645" s="306"/>
      <c r="Y645" s="306"/>
      <c r="Z645" s="307"/>
      <c r="AA645" s="306"/>
      <c r="AB645" s="306"/>
      <c r="AC645" s="306"/>
    </row>
    <row r="646">
      <c r="A646" s="306"/>
      <c r="B646" s="306"/>
      <c r="C646" s="306"/>
      <c r="D646" s="305"/>
      <c r="E646" s="306"/>
      <c r="F646" s="306"/>
      <c r="G646" s="306"/>
      <c r="H646" s="306"/>
      <c r="I646" s="306"/>
      <c r="J646" s="306"/>
      <c r="K646" s="307"/>
      <c r="L646" s="306"/>
      <c r="M646" s="306"/>
      <c r="N646" s="306"/>
      <c r="O646" s="306"/>
      <c r="P646" s="306"/>
      <c r="Q646" s="306"/>
      <c r="R646" s="306"/>
      <c r="S646" s="306"/>
      <c r="T646" s="306"/>
      <c r="U646" s="306"/>
      <c r="V646" s="305"/>
      <c r="W646" s="306"/>
      <c r="X646" s="306"/>
      <c r="Y646" s="306"/>
      <c r="Z646" s="307"/>
      <c r="AA646" s="306"/>
      <c r="AB646" s="306"/>
      <c r="AC646" s="306"/>
    </row>
    <row r="647">
      <c r="A647" s="306"/>
      <c r="B647" s="306"/>
      <c r="C647" s="306"/>
      <c r="D647" s="305"/>
      <c r="E647" s="306"/>
      <c r="F647" s="306"/>
      <c r="G647" s="306"/>
      <c r="H647" s="306"/>
      <c r="I647" s="306"/>
      <c r="J647" s="306"/>
      <c r="K647" s="307"/>
      <c r="L647" s="306"/>
      <c r="M647" s="306"/>
      <c r="N647" s="306"/>
      <c r="O647" s="306"/>
      <c r="P647" s="306"/>
      <c r="Q647" s="306"/>
      <c r="R647" s="306"/>
      <c r="S647" s="306"/>
      <c r="T647" s="306"/>
      <c r="U647" s="306"/>
      <c r="V647" s="305"/>
      <c r="W647" s="306"/>
      <c r="X647" s="306"/>
      <c r="Y647" s="306"/>
      <c r="Z647" s="307"/>
      <c r="AA647" s="306"/>
      <c r="AB647" s="306"/>
      <c r="AC647" s="306"/>
    </row>
    <row r="648">
      <c r="A648" s="306"/>
      <c r="B648" s="306"/>
      <c r="C648" s="306"/>
      <c r="D648" s="305"/>
      <c r="E648" s="306"/>
      <c r="F648" s="306"/>
      <c r="G648" s="306"/>
      <c r="H648" s="306"/>
      <c r="I648" s="306"/>
      <c r="J648" s="306"/>
      <c r="K648" s="307"/>
      <c r="L648" s="306"/>
      <c r="M648" s="306"/>
      <c r="N648" s="306"/>
      <c r="O648" s="306"/>
      <c r="P648" s="306"/>
      <c r="Q648" s="306"/>
      <c r="R648" s="306"/>
      <c r="S648" s="306"/>
      <c r="T648" s="306"/>
      <c r="U648" s="306"/>
      <c r="V648" s="305"/>
      <c r="W648" s="306"/>
      <c r="X648" s="306"/>
      <c r="Y648" s="306"/>
      <c r="Z648" s="307"/>
      <c r="AA648" s="306"/>
      <c r="AB648" s="306"/>
      <c r="AC648" s="306"/>
    </row>
    <row r="649">
      <c r="A649" s="306"/>
      <c r="B649" s="306"/>
      <c r="C649" s="306"/>
      <c r="D649" s="305"/>
      <c r="E649" s="306"/>
      <c r="F649" s="306"/>
      <c r="G649" s="306"/>
      <c r="H649" s="306"/>
      <c r="I649" s="306"/>
      <c r="J649" s="306"/>
      <c r="K649" s="307"/>
      <c r="L649" s="306"/>
      <c r="M649" s="306"/>
      <c r="N649" s="306"/>
      <c r="O649" s="306"/>
      <c r="P649" s="306"/>
      <c r="Q649" s="306"/>
      <c r="R649" s="306"/>
      <c r="S649" s="306"/>
      <c r="T649" s="306"/>
      <c r="U649" s="306"/>
      <c r="V649" s="305"/>
      <c r="W649" s="306"/>
      <c r="X649" s="306"/>
      <c r="Y649" s="306"/>
      <c r="Z649" s="307"/>
      <c r="AA649" s="306"/>
      <c r="AB649" s="306"/>
      <c r="AC649" s="306"/>
    </row>
    <row r="650">
      <c r="A650" s="306"/>
      <c r="B650" s="306"/>
      <c r="C650" s="306"/>
      <c r="D650" s="305"/>
      <c r="E650" s="306"/>
      <c r="F650" s="306"/>
      <c r="G650" s="306"/>
      <c r="H650" s="306"/>
      <c r="I650" s="306"/>
      <c r="J650" s="306"/>
      <c r="K650" s="307"/>
      <c r="L650" s="306"/>
      <c r="M650" s="306"/>
      <c r="N650" s="306"/>
      <c r="O650" s="306"/>
      <c r="P650" s="306"/>
      <c r="Q650" s="306"/>
      <c r="R650" s="306"/>
      <c r="S650" s="306"/>
      <c r="T650" s="306"/>
      <c r="U650" s="306"/>
      <c r="V650" s="305"/>
      <c r="W650" s="306"/>
      <c r="X650" s="306"/>
      <c r="Y650" s="306"/>
      <c r="Z650" s="307"/>
      <c r="AA650" s="306"/>
      <c r="AB650" s="306"/>
      <c r="AC650" s="306"/>
    </row>
    <row r="651">
      <c r="A651" s="306"/>
      <c r="B651" s="306"/>
      <c r="C651" s="306"/>
      <c r="D651" s="305"/>
      <c r="E651" s="306"/>
      <c r="F651" s="306"/>
      <c r="G651" s="306"/>
      <c r="H651" s="306"/>
      <c r="I651" s="306"/>
      <c r="J651" s="306"/>
      <c r="K651" s="307"/>
      <c r="L651" s="306"/>
      <c r="M651" s="306"/>
      <c r="N651" s="306"/>
      <c r="O651" s="306"/>
      <c r="P651" s="306"/>
      <c r="Q651" s="306"/>
      <c r="R651" s="306"/>
      <c r="S651" s="306"/>
      <c r="T651" s="306"/>
      <c r="U651" s="306"/>
      <c r="V651" s="305"/>
      <c r="W651" s="306"/>
      <c r="X651" s="306"/>
      <c r="Y651" s="306"/>
      <c r="Z651" s="307"/>
      <c r="AA651" s="306"/>
      <c r="AB651" s="306"/>
      <c r="AC651" s="306"/>
    </row>
    <row r="652">
      <c r="A652" s="306"/>
      <c r="B652" s="306"/>
      <c r="C652" s="306"/>
      <c r="D652" s="305"/>
      <c r="E652" s="306"/>
      <c r="F652" s="306"/>
      <c r="G652" s="306"/>
      <c r="H652" s="306"/>
      <c r="I652" s="306"/>
      <c r="J652" s="306"/>
      <c r="K652" s="307"/>
      <c r="L652" s="306"/>
      <c r="M652" s="306"/>
      <c r="N652" s="306"/>
      <c r="O652" s="306"/>
      <c r="P652" s="306"/>
      <c r="Q652" s="306"/>
      <c r="R652" s="306"/>
      <c r="S652" s="306"/>
      <c r="T652" s="306"/>
      <c r="U652" s="306"/>
      <c r="V652" s="305"/>
      <c r="W652" s="306"/>
      <c r="X652" s="306"/>
      <c r="Y652" s="306"/>
      <c r="Z652" s="307"/>
      <c r="AA652" s="306"/>
      <c r="AB652" s="306"/>
      <c r="AC652" s="306"/>
    </row>
    <row r="653">
      <c r="A653" s="306"/>
      <c r="B653" s="306"/>
      <c r="C653" s="306"/>
      <c r="D653" s="305"/>
      <c r="E653" s="306"/>
      <c r="F653" s="306"/>
      <c r="G653" s="306"/>
      <c r="H653" s="306"/>
      <c r="I653" s="306"/>
      <c r="J653" s="306"/>
      <c r="K653" s="307"/>
      <c r="L653" s="306"/>
      <c r="M653" s="306"/>
      <c r="N653" s="306"/>
      <c r="O653" s="306"/>
      <c r="P653" s="306"/>
      <c r="Q653" s="306"/>
      <c r="R653" s="306"/>
      <c r="S653" s="306"/>
      <c r="T653" s="306"/>
      <c r="U653" s="306"/>
      <c r="V653" s="305"/>
      <c r="W653" s="306"/>
      <c r="X653" s="306"/>
      <c r="Y653" s="306"/>
      <c r="Z653" s="307"/>
      <c r="AA653" s="306"/>
      <c r="AB653" s="306"/>
      <c r="AC653" s="306"/>
    </row>
    <row r="654">
      <c r="A654" s="306"/>
      <c r="B654" s="306"/>
      <c r="C654" s="306"/>
      <c r="D654" s="305"/>
      <c r="E654" s="306"/>
      <c r="F654" s="306"/>
      <c r="G654" s="306"/>
      <c r="H654" s="306"/>
      <c r="I654" s="306"/>
      <c r="J654" s="306"/>
      <c r="K654" s="307"/>
      <c r="L654" s="306"/>
      <c r="M654" s="306"/>
      <c r="N654" s="306"/>
      <c r="O654" s="306"/>
      <c r="P654" s="306"/>
      <c r="Q654" s="306"/>
      <c r="R654" s="306"/>
      <c r="S654" s="306"/>
      <c r="T654" s="306"/>
      <c r="U654" s="306"/>
      <c r="V654" s="305"/>
      <c r="W654" s="306"/>
      <c r="X654" s="306"/>
      <c r="Y654" s="306"/>
      <c r="Z654" s="307"/>
      <c r="AA654" s="306"/>
      <c r="AB654" s="306"/>
      <c r="AC654" s="306"/>
    </row>
    <row r="655">
      <c r="A655" s="306"/>
      <c r="B655" s="306"/>
      <c r="C655" s="306"/>
      <c r="D655" s="305"/>
      <c r="E655" s="306"/>
      <c r="F655" s="306"/>
      <c r="G655" s="306"/>
      <c r="H655" s="306"/>
      <c r="I655" s="306"/>
      <c r="J655" s="306"/>
      <c r="K655" s="307"/>
      <c r="L655" s="306"/>
      <c r="M655" s="306"/>
      <c r="N655" s="306"/>
      <c r="O655" s="306"/>
      <c r="P655" s="306"/>
      <c r="Q655" s="306"/>
      <c r="R655" s="306"/>
      <c r="S655" s="306"/>
      <c r="T655" s="306"/>
      <c r="U655" s="306"/>
      <c r="V655" s="305"/>
      <c r="W655" s="306"/>
      <c r="X655" s="306"/>
      <c r="Y655" s="306"/>
      <c r="Z655" s="307"/>
      <c r="AA655" s="306"/>
      <c r="AB655" s="306"/>
      <c r="AC655" s="306"/>
    </row>
    <row r="656">
      <c r="A656" s="306"/>
      <c r="B656" s="306"/>
      <c r="C656" s="306"/>
      <c r="D656" s="305"/>
      <c r="E656" s="306"/>
      <c r="F656" s="306"/>
      <c r="G656" s="306"/>
      <c r="H656" s="306"/>
      <c r="I656" s="306"/>
      <c r="J656" s="306"/>
      <c r="K656" s="307"/>
      <c r="L656" s="306"/>
      <c r="M656" s="306"/>
      <c r="N656" s="306"/>
      <c r="O656" s="306"/>
      <c r="P656" s="306"/>
      <c r="Q656" s="306"/>
      <c r="R656" s="306"/>
      <c r="S656" s="306"/>
      <c r="T656" s="306"/>
      <c r="U656" s="306"/>
      <c r="V656" s="305"/>
      <c r="W656" s="306"/>
      <c r="X656" s="306"/>
      <c r="Y656" s="306"/>
      <c r="Z656" s="307"/>
      <c r="AA656" s="306"/>
      <c r="AB656" s="306"/>
      <c r="AC656" s="306"/>
    </row>
    <row r="657">
      <c r="A657" s="306"/>
      <c r="B657" s="306"/>
      <c r="C657" s="306"/>
      <c r="D657" s="305"/>
      <c r="E657" s="306"/>
      <c r="F657" s="306"/>
      <c r="G657" s="306"/>
      <c r="H657" s="306"/>
      <c r="I657" s="306"/>
      <c r="J657" s="306"/>
      <c r="K657" s="307"/>
      <c r="L657" s="306"/>
      <c r="M657" s="306"/>
      <c r="N657" s="306"/>
      <c r="O657" s="306"/>
      <c r="P657" s="306"/>
      <c r="Q657" s="306"/>
      <c r="R657" s="306"/>
      <c r="S657" s="306"/>
      <c r="T657" s="306"/>
      <c r="U657" s="306"/>
      <c r="V657" s="305"/>
      <c r="W657" s="306"/>
      <c r="X657" s="306"/>
      <c r="Y657" s="306"/>
      <c r="Z657" s="307"/>
      <c r="AA657" s="306"/>
      <c r="AB657" s="306"/>
      <c r="AC657" s="306"/>
    </row>
    <row r="658">
      <c r="A658" s="306"/>
      <c r="B658" s="306"/>
      <c r="C658" s="306"/>
      <c r="D658" s="305"/>
      <c r="E658" s="306"/>
      <c r="F658" s="306"/>
      <c r="G658" s="306"/>
      <c r="H658" s="306"/>
      <c r="I658" s="306"/>
      <c r="J658" s="306"/>
      <c r="K658" s="307"/>
      <c r="L658" s="306"/>
      <c r="M658" s="306"/>
      <c r="N658" s="306"/>
      <c r="O658" s="306"/>
      <c r="P658" s="306"/>
      <c r="Q658" s="306"/>
      <c r="R658" s="306"/>
      <c r="S658" s="306"/>
      <c r="T658" s="306"/>
      <c r="U658" s="306"/>
      <c r="V658" s="305"/>
      <c r="W658" s="306"/>
      <c r="X658" s="306"/>
      <c r="Y658" s="306"/>
      <c r="Z658" s="307"/>
      <c r="AA658" s="306"/>
      <c r="AB658" s="306"/>
      <c r="AC658" s="306"/>
    </row>
    <row r="659">
      <c r="A659" s="306"/>
      <c r="B659" s="306"/>
      <c r="C659" s="306"/>
      <c r="D659" s="305"/>
      <c r="E659" s="306"/>
      <c r="F659" s="306"/>
      <c r="G659" s="306"/>
      <c r="H659" s="306"/>
      <c r="I659" s="306"/>
      <c r="J659" s="306"/>
      <c r="K659" s="307"/>
      <c r="L659" s="306"/>
      <c r="M659" s="306"/>
      <c r="N659" s="306"/>
      <c r="O659" s="306"/>
      <c r="P659" s="306"/>
      <c r="Q659" s="306"/>
      <c r="R659" s="306"/>
      <c r="S659" s="306"/>
      <c r="T659" s="306"/>
      <c r="U659" s="306"/>
      <c r="V659" s="305"/>
      <c r="W659" s="306"/>
      <c r="X659" s="306"/>
      <c r="Y659" s="306"/>
      <c r="Z659" s="307"/>
      <c r="AA659" s="306"/>
      <c r="AB659" s="306"/>
      <c r="AC659" s="306"/>
    </row>
    <row r="660">
      <c r="A660" s="306"/>
      <c r="B660" s="306"/>
      <c r="C660" s="306"/>
      <c r="D660" s="305"/>
      <c r="E660" s="306"/>
      <c r="F660" s="306"/>
      <c r="G660" s="306"/>
      <c r="H660" s="306"/>
      <c r="I660" s="306"/>
      <c r="J660" s="306"/>
      <c r="K660" s="307"/>
      <c r="L660" s="306"/>
      <c r="M660" s="306"/>
      <c r="N660" s="306"/>
      <c r="O660" s="306"/>
      <c r="P660" s="306"/>
      <c r="Q660" s="306"/>
      <c r="R660" s="306"/>
      <c r="S660" s="306"/>
      <c r="T660" s="306"/>
      <c r="U660" s="306"/>
      <c r="V660" s="305"/>
      <c r="W660" s="306"/>
      <c r="X660" s="306"/>
      <c r="Y660" s="306"/>
      <c r="Z660" s="307"/>
      <c r="AA660" s="306"/>
      <c r="AB660" s="306"/>
      <c r="AC660" s="306"/>
    </row>
    <row r="661">
      <c r="A661" s="306"/>
      <c r="B661" s="306"/>
      <c r="C661" s="306"/>
      <c r="D661" s="305"/>
      <c r="E661" s="306"/>
      <c r="F661" s="306"/>
      <c r="G661" s="306"/>
      <c r="H661" s="306"/>
      <c r="I661" s="306"/>
      <c r="J661" s="306"/>
      <c r="K661" s="307"/>
      <c r="L661" s="306"/>
      <c r="M661" s="306"/>
      <c r="N661" s="306"/>
      <c r="O661" s="306"/>
      <c r="P661" s="306"/>
      <c r="Q661" s="306"/>
      <c r="R661" s="306"/>
      <c r="S661" s="306"/>
      <c r="T661" s="306"/>
      <c r="U661" s="306"/>
      <c r="V661" s="305"/>
      <c r="W661" s="306"/>
      <c r="X661" s="306"/>
      <c r="Y661" s="306"/>
      <c r="Z661" s="307"/>
      <c r="AA661" s="306"/>
      <c r="AB661" s="306"/>
      <c r="AC661" s="306"/>
    </row>
    <row r="662">
      <c r="A662" s="306"/>
      <c r="B662" s="306"/>
      <c r="C662" s="306"/>
      <c r="D662" s="305"/>
      <c r="E662" s="306"/>
      <c r="F662" s="306"/>
      <c r="G662" s="306"/>
      <c r="H662" s="306"/>
      <c r="I662" s="306"/>
      <c r="J662" s="306"/>
      <c r="K662" s="307"/>
      <c r="L662" s="306"/>
      <c r="M662" s="306"/>
      <c r="N662" s="306"/>
      <c r="O662" s="306"/>
      <c r="P662" s="306"/>
      <c r="Q662" s="306"/>
      <c r="R662" s="306"/>
      <c r="S662" s="306"/>
      <c r="T662" s="306"/>
      <c r="U662" s="306"/>
      <c r="V662" s="305"/>
      <c r="W662" s="306"/>
      <c r="X662" s="306"/>
      <c r="Y662" s="306"/>
      <c r="Z662" s="307"/>
      <c r="AA662" s="306"/>
      <c r="AB662" s="306"/>
      <c r="AC662" s="306"/>
    </row>
    <row r="663">
      <c r="A663" s="306"/>
      <c r="B663" s="306"/>
      <c r="C663" s="306"/>
      <c r="D663" s="305"/>
      <c r="E663" s="306"/>
      <c r="F663" s="306"/>
      <c r="G663" s="306"/>
      <c r="H663" s="306"/>
      <c r="I663" s="306"/>
      <c r="J663" s="306"/>
      <c r="K663" s="307"/>
      <c r="L663" s="306"/>
      <c r="M663" s="306"/>
      <c r="N663" s="306"/>
      <c r="O663" s="306"/>
      <c r="P663" s="306"/>
      <c r="Q663" s="306"/>
      <c r="R663" s="306"/>
      <c r="S663" s="306"/>
      <c r="T663" s="306"/>
      <c r="U663" s="306"/>
      <c r="V663" s="305"/>
      <c r="W663" s="306"/>
      <c r="X663" s="306"/>
      <c r="Y663" s="306"/>
      <c r="Z663" s="307"/>
      <c r="AA663" s="306"/>
      <c r="AB663" s="306"/>
      <c r="AC663" s="306"/>
    </row>
    <row r="664">
      <c r="A664" s="306"/>
      <c r="B664" s="306"/>
      <c r="C664" s="306"/>
      <c r="D664" s="305"/>
      <c r="E664" s="306"/>
      <c r="F664" s="306"/>
      <c r="G664" s="306"/>
      <c r="H664" s="306"/>
      <c r="I664" s="306"/>
      <c r="J664" s="306"/>
      <c r="K664" s="307"/>
      <c r="L664" s="306"/>
      <c r="M664" s="306"/>
      <c r="N664" s="306"/>
      <c r="O664" s="306"/>
      <c r="P664" s="306"/>
      <c r="Q664" s="306"/>
      <c r="R664" s="306"/>
      <c r="S664" s="306"/>
      <c r="T664" s="306"/>
      <c r="U664" s="306"/>
      <c r="V664" s="305"/>
      <c r="W664" s="306"/>
      <c r="X664" s="306"/>
      <c r="Y664" s="306"/>
      <c r="Z664" s="307"/>
      <c r="AA664" s="306"/>
      <c r="AB664" s="306"/>
      <c r="AC664" s="306"/>
    </row>
    <row r="665">
      <c r="A665" s="306"/>
      <c r="B665" s="306"/>
      <c r="C665" s="306"/>
      <c r="D665" s="305"/>
      <c r="E665" s="306"/>
      <c r="F665" s="306"/>
      <c r="G665" s="306"/>
      <c r="H665" s="306"/>
      <c r="I665" s="306"/>
      <c r="J665" s="306"/>
      <c r="K665" s="307"/>
      <c r="L665" s="306"/>
      <c r="M665" s="306"/>
      <c r="N665" s="306"/>
      <c r="O665" s="306"/>
      <c r="P665" s="306"/>
      <c r="Q665" s="306"/>
      <c r="R665" s="306"/>
      <c r="S665" s="306"/>
      <c r="T665" s="306"/>
      <c r="U665" s="306"/>
      <c r="V665" s="305"/>
      <c r="W665" s="306"/>
      <c r="X665" s="306"/>
      <c r="Y665" s="306"/>
      <c r="Z665" s="307"/>
      <c r="AA665" s="306"/>
      <c r="AB665" s="306"/>
      <c r="AC665" s="306"/>
    </row>
    <row r="666">
      <c r="A666" s="306"/>
      <c r="B666" s="306"/>
      <c r="C666" s="306"/>
      <c r="D666" s="305"/>
      <c r="E666" s="306"/>
      <c r="F666" s="306"/>
      <c r="G666" s="306"/>
      <c r="H666" s="306"/>
      <c r="I666" s="306"/>
      <c r="J666" s="306"/>
      <c r="K666" s="307"/>
      <c r="L666" s="306"/>
      <c r="M666" s="306"/>
      <c r="N666" s="306"/>
      <c r="O666" s="306"/>
      <c r="P666" s="306"/>
      <c r="Q666" s="306"/>
      <c r="R666" s="306"/>
      <c r="S666" s="306"/>
      <c r="T666" s="306"/>
      <c r="U666" s="306"/>
      <c r="V666" s="305"/>
      <c r="W666" s="306"/>
      <c r="X666" s="306"/>
      <c r="Y666" s="306"/>
      <c r="Z666" s="307"/>
      <c r="AA666" s="306"/>
      <c r="AB666" s="306"/>
      <c r="AC666" s="306"/>
    </row>
    <row r="667">
      <c r="A667" s="306"/>
      <c r="B667" s="306"/>
      <c r="C667" s="306"/>
      <c r="D667" s="305"/>
      <c r="E667" s="306"/>
      <c r="F667" s="306"/>
      <c r="G667" s="306"/>
      <c r="H667" s="306"/>
      <c r="I667" s="306"/>
      <c r="J667" s="306"/>
      <c r="K667" s="307"/>
      <c r="L667" s="306"/>
      <c r="M667" s="306"/>
      <c r="N667" s="306"/>
      <c r="O667" s="306"/>
      <c r="P667" s="306"/>
      <c r="Q667" s="306"/>
      <c r="R667" s="306"/>
      <c r="S667" s="306"/>
      <c r="T667" s="306"/>
      <c r="U667" s="306"/>
      <c r="V667" s="305"/>
      <c r="W667" s="306"/>
      <c r="X667" s="306"/>
      <c r="Y667" s="306"/>
      <c r="Z667" s="307"/>
      <c r="AA667" s="306"/>
      <c r="AB667" s="306"/>
      <c r="AC667" s="306"/>
    </row>
    <row r="668">
      <c r="A668" s="306"/>
      <c r="B668" s="306"/>
      <c r="C668" s="306"/>
      <c r="D668" s="305"/>
      <c r="E668" s="306"/>
      <c r="F668" s="306"/>
      <c r="G668" s="306"/>
      <c r="H668" s="306"/>
      <c r="I668" s="306"/>
      <c r="J668" s="306"/>
      <c r="K668" s="307"/>
      <c r="L668" s="306"/>
      <c r="M668" s="306"/>
      <c r="N668" s="306"/>
      <c r="O668" s="306"/>
      <c r="P668" s="306"/>
      <c r="Q668" s="306"/>
      <c r="R668" s="306"/>
      <c r="S668" s="306"/>
      <c r="T668" s="306"/>
      <c r="U668" s="306"/>
      <c r="V668" s="305"/>
      <c r="W668" s="306"/>
      <c r="X668" s="306"/>
      <c r="Y668" s="306"/>
      <c r="Z668" s="307"/>
      <c r="AA668" s="306"/>
      <c r="AB668" s="306"/>
      <c r="AC668" s="306"/>
    </row>
    <row r="669">
      <c r="A669" s="306"/>
      <c r="B669" s="306"/>
      <c r="C669" s="306"/>
      <c r="D669" s="305"/>
      <c r="E669" s="306"/>
      <c r="F669" s="306"/>
      <c r="G669" s="306"/>
      <c r="H669" s="306"/>
      <c r="I669" s="306"/>
      <c r="J669" s="306"/>
      <c r="K669" s="307"/>
      <c r="L669" s="306"/>
      <c r="M669" s="306"/>
      <c r="N669" s="306"/>
      <c r="O669" s="306"/>
      <c r="P669" s="306"/>
      <c r="Q669" s="306"/>
      <c r="R669" s="306"/>
      <c r="S669" s="306"/>
      <c r="T669" s="306"/>
      <c r="U669" s="306"/>
      <c r="V669" s="305"/>
      <c r="W669" s="306"/>
      <c r="X669" s="306"/>
      <c r="Y669" s="306"/>
      <c r="Z669" s="307"/>
      <c r="AA669" s="306"/>
      <c r="AB669" s="306"/>
      <c r="AC669" s="306"/>
    </row>
    <row r="670">
      <c r="A670" s="306"/>
      <c r="B670" s="306"/>
      <c r="C670" s="306"/>
      <c r="D670" s="305"/>
      <c r="E670" s="306"/>
      <c r="F670" s="306"/>
      <c r="G670" s="306"/>
      <c r="H670" s="306"/>
      <c r="I670" s="306"/>
      <c r="J670" s="306"/>
      <c r="K670" s="307"/>
      <c r="L670" s="306"/>
      <c r="M670" s="306"/>
      <c r="N670" s="306"/>
      <c r="O670" s="306"/>
      <c r="P670" s="306"/>
      <c r="Q670" s="306"/>
      <c r="R670" s="306"/>
      <c r="S670" s="306"/>
      <c r="T670" s="306"/>
      <c r="U670" s="306"/>
      <c r="V670" s="305"/>
      <c r="W670" s="306"/>
      <c r="X670" s="306"/>
      <c r="Y670" s="306"/>
      <c r="Z670" s="307"/>
      <c r="AA670" s="306"/>
      <c r="AB670" s="306"/>
      <c r="AC670" s="306"/>
    </row>
    <row r="671">
      <c r="A671" s="306"/>
      <c r="B671" s="306"/>
      <c r="C671" s="306"/>
      <c r="D671" s="305"/>
      <c r="E671" s="306"/>
      <c r="F671" s="306"/>
      <c r="G671" s="306"/>
      <c r="H671" s="306"/>
      <c r="I671" s="306"/>
      <c r="J671" s="306"/>
      <c r="K671" s="307"/>
      <c r="L671" s="306"/>
      <c r="M671" s="306"/>
      <c r="N671" s="306"/>
      <c r="O671" s="306"/>
      <c r="P671" s="306"/>
      <c r="Q671" s="306"/>
      <c r="R671" s="306"/>
      <c r="S671" s="306"/>
      <c r="T671" s="306"/>
      <c r="U671" s="306"/>
      <c r="V671" s="305"/>
      <c r="W671" s="306"/>
      <c r="X671" s="306"/>
      <c r="Y671" s="306"/>
      <c r="Z671" s="307"/>
      <c r="AA671" s="306"/>
      <c r="AB671" s="306"/>
      <c r="AC671" s="306"/>
    </row>
    <row r="672">
      <c r="A672" s="306"/>
      <c r="B672" s="306"/>
      <c r="C672" s="306"/>
      <c r="D672" s="305"/>
      <c r="E672" s="306"/>
      <c r="F672" s="306"/>
      <c r="G672" s="306"/>
      <c r="H672" s="306"/>
      <c r="I672" s="306"/>
      <c r="J672" s="306"/>
      <c r="K672" s="307"/>
      <c r="L672" s="306"/>
      <c r="M672" s="306"/>
      <c r="N672" s="306"/>
      <c r="O672" s="306"/>
      <c r="P672" s="306"/>
      <c r="Q672" s="306"/>
      <c r="R672" s="306"/>
      <c r="S672" s="306"/>
      <c r="T672" s="306"/>
      <c r="U672" s="306"/>
      <c r="V672" s="305"/>
      <c r="W672" s="306"/>
      <c r="X672" s="306"/>
      <c r="Y672" s="306"/>
      <c r="Z672" s="307"/>
      <c r="AA672" s="306"/>
      <c r="AB672" s="306"/>
      <c r="AC672" s="306"/>
    </row>
    <row r="673">
      <c r="A673" s="306"/>
      <c r="B673" s="306"/>
      <c r="C673" s="306"/>
      <c r="D673" s="305"/>
      <c r="E673" s="306"/>
      <c r="F673" s="306"/>
      <c r="G673" s="306"/>
      <c r="H673" s="306"/>
      <c r="I673" s="306"/>
      <c r="J673" s="306"/>
      <c r="K673" s="307"/>
      <c r="L673" s="306"/>
      <c r="M673" s="306"/>
      <c r="N673" s="306"/>
      <c r="O673" s="306"/>
      <c r="P673" s="306"/>
      <c r="Q673" s="306"/>
      <c r="R673" s="306"/>
      <c r="S673" s="306"/>
      <c r="T673" s="306"/>
      <c r="U673" s="306"/>
      <c r="V673" s="305"/>
      <c r="W673" s="306"/>
      <c r="X673" s="306"/>
      <c r="Y673" s="306"/>
      <c r="Z673" s="307"/>
      <c r="AA673" s="306"/>
      <c r="AB673" s="306"/>
      <c r="AC673" s="306"/>
    </row>
    <row r="674">
      <c r="A674" s="306"/>
      <c r="B674" s="306"/>
      <c r="C674" s="306"/>
      <c r="D674" s="305"/>
      <c r="E674" s="306"/>
      <c r="F674" s="306"/>
      <c r="G674" s="306"/>
      <c r="H674" s="306"/>
      <c r="I674" s="306"/>
      <c r="J674" s="306"/>
      <c r="K674" s="307"/>
      <c r="L674" s="306"/>
      <c r="M674" s="306"/>
      <c r="N674" s="306"/>
      <c r="O674" s="306"/>
      <c r="P674" s="306"/>
      <c r="Q674" s="306"/>
      <c r="R674" s="306"/>
      <c r="S674" s="306"/>
      <c r="T674" s="306"/>
      <c r="U674" s="306"/>
      <c r="V674" s="305"/>
      <c r="W674" s="306"/>
      <c r="X674" s="306"/>
      <c r="Y674" s="306"/>
      <c r="Z674" s="307"/>
      <c r="AA674" s="306"/>
      <c r="AB674" s="306"/>
      <c r="AC674" s="306"/>
    </row>
    <row r="675">
      <c r="A675" s="306"/>
      <c r="B675" s="306"/>
      <c r="C675" s="306"/>
      <c r="D675" s="305"/>
      <c r="E675" s="306"/>
      <c r="F675" s="306"/>
      <c r="G675" s="306"/>
      <c r="H675" s="306"/>
      <c r="I675" s="306"/>
      <c r="J675" s="306"/>
      <c r="K675" s="307"/>
      <c r="L675" s="306"/>
      <c r="M675" s="306"/>
      <c r="N675" s="306"/>
      <c r="O675" s="306"/>
      <c r="P675" s="306"/>
      <c r="Q675" s="306"/>
      <c r="R675" s="306"/>
      <c r="S675" s="306"/>
      <c r="T675" s="306"/>
      <c r="U675" s="306"/>
      <c r="V675" s="305"/>
      <c r="W675" s="306"/>
      <c r="X675" s="306"/>
      <c r="Y675" s="306"/>
      <c r="Z675" s="307"/>
      <c r="AA675" s="306"/>
      <c r="AB675" s="306"/>
      <c r="AC675" s="306"/>
    </row>
    <row r="676">
      <c r="A676" s="306"/>
      <c r="B676" s="306"/>
      <c r="C676" s="306"/>
      <c r="D676" s="305"/>
      <c r="E676" s="306"/>
      <c r="F676" s="306"/>
      <c r="G676" s="306"/>
      <c r="H676" s="306"/>
      <c r="I676" s="306"/>
      <c r="J676" s="306"/>
      <c r="K676" s="307"/>
      <c r="L676" s="306"/>
      <c r="M676" s="306"/>
      <c r="N676" s="306"/>
      <c r="O676" s="306"/>
      <c r="P676" s="306"/>
      <c r="Q676" s="306"/>
      <c r="R676" s="306"/>
      <c r="S676" s="306"/>
      <c r="T676" s="306"/>
      <c r="U676" s="306"/>
      <c r="V676" s="305"/>
      <c r="W676" s="306"/>
      <c r="X676" s="306"/>
      <c r="Y676" s="306"/>
      <c r="Z676" s="307"/>
      <c r="AA676" s="306"/>
      <c r="AB676" s="306"/>
      <c r="AC676" s="306"/>
    </row>
    <row r="677">
      <c r="A677" s="306"/>
      <c r="B677" s="306"/>
      <c r="C677" s="306"/>
      <c r="D677" s="305"/>
      <c r="E677" s="306"/>
      <c r="F677" s="306"/>
      <c r="G677" s="306"/>
      <c r="H677" s="306"/>
      <c r="I677" s="306"/>
      <c r="J677" s="306"/>
      <c r="K677" s="307"/>
      <c r="L677" s="306"/>
      <c r="M677" s="306"/>
      <c r="N677" s="306"/>
      <c r="O677" s="306"/>
      <c r="P677" s="306"/>
      <c r="Q677" s="306"/>
      <c r="R677" s="306"/>
      <c r="S677" s="306"/>
      <c r="T677" s="306"/>
      <c r="U677" s="306"/>
      <c r="V677" s="305"/>
      <c r="W677" s="306"/>
      <c r="X677" s="306"/>
      <c r="Y677" s="306"/>
      <c r="Z677" s="307"/>
      <c r="AA677" s="306"/>
      <c r="AB677" s="306"/>
      <c r="AC677" s="306"/>
    </row>
    <row r="678">
      <c r="A678" s="306"/>
      <c r="B678" s="306"/>
      <c r="C678" s="306"/>
      <c r="D678" s="305"/>
      <c r="E678" s="306"/>
      <c r="F678" s="306"/>
      <c r="G678" s="306"/>
      <c r="H678" s="306"/>
      <c r="I678" s="306"/>
      <c r="J678" s="306"/>
      <c r="K678" s="307"/>
      <c r="L678" s="306"/>
      <c r="M678" s="306"/>
      <c r="N678" s="306"/>
      <c r="O678" s="306"/>
      <c r="P678" s="306"/>
      <c r="Q678" s="306"/>
      <c r="R678" s="306"/>
      <c r="S678" s="306"/>
      <c r="T678" s="306"/>
      <c r="U678" s="306"/>
      <c r="V678" s="305"/>
      <c r="W678" s="306"/>
      <c r="X678" s="306"/>
      <c r="Y678" s="306"/>
      <c r="Z678" s="307"/>
      <c r="AA678" s="306"/>
      <c r="AB678" s="306"/>
      <c r="AC678" s="306"/>
    </row>
    <row r="679">
      <c r="A679" s="306"/>
      <c r="B679" s="306"/>
      <c r="C679" s="306"/>
      <c r="D679" s="305"/>
      <c r="E679" s="306"/>
      <c r="F679" s="306"/>
      <c r="G679" s="306"/>
      <c r="H679" s="306"/>
      <c r="I679" s="306"/>
      <c r="J679" s="306"/>
      <c r="K679" s="307"/>
      <c r="L679" s="306"/>
      <c r="M679" s="306"/>
      <c r="N679" s="306"/>
      <c r="O679" s="306"/>
      <c r="P679" s="306"/>
      <c r="Q679" s="306"/>
      <c r="R679" s="306"/>
      <c r="S679" s="306"/>
      <c r="T679" s="306"/>
      <c r="U679" s="306"/>
      <c r="V679" s="305"/>
      <c r="W679" s="306"/>
      <c r="X679" s="306"/>
      <c r="Y679" s="306"/>
      <c r="Z679" s="307"/>
      <c r="AA679" s="306"/>
      <c r="AB679" s="306"/>
      <c r="AC679" s="306"/>
    </row>
    <row r="680">
      <c r="A680" s="306"/>
      <c r="B680" s="306"/>
      <c r="C680" s="306"/>
      <c r="D680" s="305"/>
      <c r="E680" s="306"/>
      <c r="F680" s="306"/>
      <c r="G680" s="306"/>
      <c r="H680" s="306"/>
      <c r="I680" s="306"/>
      <c r="J680" s="306"/>
      <c r="K680" s="307"/>
      <c r="L680" s="306"/>
      <c r="M680" s="306"/>
      <c r="N680" s="306"/>
      <c r="O680" s="306"/>
      <c r="P680" s="306"/>
      <c r="Q680" s="306"/>
      <c r="R680" s="306"/>
      <c r="S680" s="306"/>
      <c r="T680" s="306"/>
      <c r="U680" s="306"/>
      <c r="V680" s="305"/>
      <c r="W680" s="306"/>
      <c r="X680" s="306"/>
      <c r="Y680" s="306"/>
      <c r="Z680" s="307"/>
      <c r="AA680" s="306"/>
      <c r="AB680" s="306"/>
      <c r="AC680" s="306"/>
    </row>
    <row r="681">
      <c r="A681" s="306"/>
      <c r="B681" s="306"/>
      <c r="C681" s="306"/>
      <c r="D681" s="305"/>
      <c r="E681" s="306"/>
      <c r="F681" s="306"/>
      <c r="G681" s="306"/>
      <c r="H681" s="306"/>
      <c r="I681" s="306"/>
      <c r="J681" s="306"/>
      <c r="K681" s="307"/>
      <c r="L681" s="306"/>
      <c r="M681" s="306"/>
      <c r="N681" s="306"/>
      <c r="O681" s="306"/>
      <c r="P681" s="306"/>
      <c r="Q681" s="306"/>
      <c r="R681" s="306"/>
      <c r="S681" s="306"/>
      <c r="T681" s="306"/>
      <c r="U681" s="306"/>
      <c r="V681" s="305"/>
      <c r="W681" s="306"/>
      <c r="X681" s="306"/>
      <c r="Y681" s="306"/>
      <c r="Z681" s="307"/>
      <c r="AA681" s="306"/>
      <c r="AB681" s="306"/>
      <c r="AC681" s="306"/>
    </row>
    <row r="682">
      <c r="A682" s="306"/>
      <c r="B682" s="306"/>
      <c r="C682" s="306"/>
      <c r="D682" s="305"/>
      <c r="E682" s="306"/>
      <c r="F682" s="306"/>
      <c r="G682" s="306"/>
      <c r="H682" s="306"/>
      <c r="I682" s="306"/>
      <c r="J682" s="306"/>
      <c r="K682" s="307"/>
      <c r="L682" s="306"/>
      <c r="M682" s="306"/>
      <c r="N682" s="306"/>
      <c r="O682" s="306"/>
      <c r="P682" s="306"/>
      <c r="Q682" s="306"/>
      <c r="R682" s="306"/>
      <c r="S682" s="306"/>
      <c r="T682" s="306"/>
      <c r="U682" s="306"/>
      <c r="V682" s="305"/>
      <c r="W682" s="306"/>
      <c r="X682" s="306"/>
      <c r="Y682" s="306"/>
      <c r="Z682" s="307"/>
      <c r="AA682" s="306"/>
      <c r="AB682" s="306"/>
      <c r="AC682" s="306"/>
    </row>
    <row r="683">
      <c r="A683" s="306"/>
      <c r="B683" s="306"/>
      <c r="C683" s="306"/>
      <c r="D683" s="305"/>
      <c r="E683" s="306"/>
      <c r="F683" s="306"/>
      <c r="G683" s="306"/>
      <c r="H683" s="306"/>
      <c r="I683" s="306"/>
      <c r="J683" s="306"/>
      <c r="K683" s="307"/>
      <c r="L683" s="306"/>
      <c r="M683" s="306"/>
      <c r="N683" s="306"/>
      <c r="O683" s="306"/>
      <c r="P683" s="306"/>
      <c r="Q683" s="306"/>
      <c r="R683" s="306"/>
      <c r="S683" s="306"/>
      <c r="T683" s="306"/>
      <c r="U683" s="306"/>
      <c r="V683" s="305"/>
      <c r="W683" s="306"/>
      <c r="X683" s="306"/>
      <c r="Y683" s="306"/>
      <c r="Z683" s="307"/>
      <c r="AA683" s="306"/>
      <c r="AB683" s="306"/>
      <c r="AC683" s="306"/>
    </row>
    <row r="684">
      <c r="A684" s="306"/>
      <c r="B684" s="306"/>
      <c r="C684" s="306"/>
      <c r="D684" s="305"/>
      <c r="E684" s="306"/>
      <c r="F684" s="306"/>
      <c r="G684" s="306"/>
      <c r="H684" s="306"/>
      <c r="I684" s="306"/>
      <c r="J684" s="306"/>
      <c r="K684" s="307"/>
      <c r="L684" s="306"/>
      <c r="M684" s="306"/>
      <c r="N684" s="306"/>
      <c r="O684" s="306"/>
      <c r="P684" s="306"/>
      <c r="Q684" s="306"/>
      <c r="R684" s="306"/>
      <c r="S684" s="306"/>
      <c r="T684" s="306"/>
      <c r="U684" s="306"/>
      <c r="V684" s="305"/>
      <c r="W684" s="306"/>
      <c r="X684" s="306"/>
      <c r="Y684" s="306"/>
      <c r="Z684" s="307"/>
      <c r="AA684" s="306"/>
      <c r="AB684" s="306"/>
      <c r="AC684" s="306"/>
    </row>
    <row r="685">
      <c r="A685" s="306"/>
      <c r="B685" s="306"/>
      <c r="C685" s="306"/>
      <c r="D685" s="305"/>
      <c r="E685" s="306"/>
      <c r="F685" s="306"/>
      <c r="G685" s="306"/>
      <c r="H685" s="306"/>
      <c r="I685" s="306"/>
      <c r="J685" s="306"/>
      <c r="K685" s="307"/>
      <c r="L685" s="306"/>
      <c r="M685" s="306"/>
      <c r="N685" s="306"/>
      <c r="O685" s="306"/>
      <c r="P685" s="306"/>
      <c r="Q685" s="306"/>
      <c r="R685" s="306"/>
      <c r="S685" s="306"/>
      <c r="T685" s="306"/>
      <c r="U685" s="306"/>
      <c r="V685" s="305"/>
      <c r="W685" s="306"/>
      <c r="X685" s="306"/>
      <c r="Y685" s="306"/>
      <c r="Z685" s="307"/>
      <c r="AA685" s="306"/>
      <c r="AB685" s="306"/>
      <c r="AC685" s="306"/>
    </row>
    <row r="686">
      <c r="A686" s="306"/>
      <c r="B686" s="306"/>
      <c r="C686" s="306"/>
      <c r="D686" s="305"/>
      <c r="E686" s="306"/>
      <c r="F686" s="306"/>
      <c r="G686" s="306"/>
      <c r="H686" s="306"/>
      <c r="I686" s="306"/>
      <c r="J686" s="306"/>
      <c r="K686" s="307"/>
      <c r="L686" s="306"/>
      <c r="M686" s="306"/>
      <c r="N686" s="306"/>
      <c r="O686" s="306"/>
      <c r="P686" s="306"/>
      <c r="Q686" s="306"/>
      <c r="R686" s="306"/>
      <c r="S686" s="306"/>
      <c r="T686" s="306"/>
      <c r="U686" s="306"/>
      <c r="V686" s="305"/>
      <c r="W686" s="306"/>
      <c r="X686" s="306"/>
      <c r="Y686" s="306"/>
      <c r="Z686" s="307"/>
      <c r="AA686" s="306"/>
      <c r="AB686" s="306"/>
      <c r="AC686" s="306"/>
    </row>
    <row r="687">
      <c r="A687" s="306"/>
      <c r="B687" s="306"/>
      <c r="C687" s="306"/>
      <c r="D687" s="305"/>
      <c r="E687" s="306"/>
      <c r="F687" s="306"/>
      <c r="G687" s="306"/>
      <c r="H687" s="306"/>
      <c r="I687" s="306"/>
      <c r="J687" s="306"/>
      <c r="K687" s="307"/>
      <c r="L687" s="306"/>
      <c r="M687" s="306"/>
      <c r="N687" s="306"/>
      <c r="O687" s="306"/>
      <c r="P687" s="306"/>
      <c r="Q687" s="306"/>
      <c r="R687" s="306"/>
      <c r="S687" s="306"/>
      <c r="T687" s="306"/>
      <c r="U687" s="306"/>
      <c r="V687" s="305"/>
      <c r="W687" s="306"/>
      <c r="X687" s="306"/>
      <c r="Y687" s="306"/>
      <c r="Z687" s="307"/>
      <c r="AA687" s="306"/>
      <c r="AB687" s="306"/>
      <c r="AC687" s="306"/>
    </row>
    <row r="688">
      <c r="A688" s="306"/>
      <c r="B688" s="306"/>
      <c r="C688" s="306"/>
      <c r="D688" s="305"/>
      <c r="E688" s="306"/>
      <c r="F688" s="306"/>
      <c r="G688" s="306"/>
      <c r="H688" s="306"/>
      <c r="I688" s="306"/>
      <c r="J688" s="306"/>
      <c r="K688" s="307"/>
      <c r="L688" s="306"/>
      <c r="M688" s="306"/>
      <c r="N688" s="306"/>
      <c r="O688" s="306"/>
      <c r="P688" s="306"/>
      <c r="Q688" s="306"/>
      <c r="R688" s="306"/>
      <c r="S688" s="306"/>
      <c r="T688" s="306"/>
      <c r="U688" s="306"/>
      <c r="V688" s="305"/>
      <c r="W688" s="306"/>
      <c r="X688" s="306"/>
      <c r="Y688" s="306"/>
      <c r="Z688" s="307"/>
      <c r="AA688" s="306"/>
      <c r="AB688" s="306"/>
      <c r="AC688" s="306"/>
    </row>
    <row r="689">
      <c r="A689" s="306"/>
      <c r="B689" s="306"/>
      <c r="C689" s="306"/>
      <c r="D689" s="305"/>
      <c r="E689" s="306"/>
      <c r="F689" s="306"/>
      <c r="G689" s="306"/>
      <c r="H689" s="306"/>
      <c r="I689" s="306"/>
      <c r="J689" s="306"/>
      <c r="K689" s="307"/>
      <c r="L689" s="306"/>
      <c r="M689" s="306"/>
      <c r="N689" s="306"/>
      <c r="O689" s="306"/>
      <c r="P689" s="306"/>
      <c r="Q689" s="306"/>
      <c r="R689" s="306"/>
      <c r="S689" s="306"/>
      <c r="T689" s="306"/>
      <c r="U689" s="306"/>
      <c r="V689" s="305"/>
      <c r="W689" s="306"/>
      <c r="X689" s="306"/>
      <c r="Y689" s="306"/>
      <c r="Z689" s="307"/>
      <c r="AA689" s="306"/>
      <c r="AB689" s="306"/>
      <c r="AC689" s="306"/>
    </row>
    <row r="690">
      <c r="A690" s="306"/>
      <c r="B690" s="306"/>
      <c r="C690" s="306"/>
      <c r="D690" s="305"/>
      <c r="E690" s="306"/>
      <c r="F690" s="306"/>
      <c r="G690" s="306"/>
      <c r="H690" s="306"/>
      <c r="I690" s="306"/>
      <c r="J690" s="306"/>
      <c r="K690" s="307"/>
      <c r="L690" s="306"/>
      <c r="M690" s="306"/>
      <c r="N690" s="306"/>
      <c r="O690" s="306"/>
      <c r="P690" s="306"/>
      <c r="Q690" s="306"/>
      <c r="R690" s="306"/>
      <c r="S690" s="306"/>
      <c r="T690" s="306"/>
      <c r="U690" s="306"/>
      <c r="V690" s="305"/>
      <c r="W690" s="306"/>
      <c r="X690" s="306"/>
      <c r="Y690" s="306"/>
      <c r="Z690" s="307"/>
      <c r="AA690" s="306"/>
      <c r="AB690" s="306"/>
      <c r="AC690" s="306"/>
    </row>
    <row r="691">
      <c r="A691" s="306"/>
      <c r="B691" s="306"/>
      <c r="C691" s="306"/>
      <c r="D691" s="305"/>
      <c r="E691" s="306"/>
      <c r="F691" s="306"/>
      <c r="G691" s="306"/>
      <c r="H691" s="306"/>
      <c r="I691" s="306"/>
      <c r="J691" s="306"/>
      <c r="K691" s="307"/>
      <c r="L691" s="306"/>
      <c r="M691" s="306"/>
      <c r="N691" s="306"/>
      <c r="O691" s="306"/>
      <c r="P691" s="306"/>
      <c r="Q691" s="306"/>
      <c r="R691" s="306"/>
      <c r="S691" s="306"/>
      <c r="T691" s="306"/>
      <c r="U691" s="306"/>
      <c r="V691" s="305"/>
      <c r="W691" s="306"/>
      <c r="X691" s="306"/>
      <c r="Y691" s="306"/>
      <c r="Z691" s="307"/>
      <c r="AA691" s="306"/>
      <c r="AB691" s="306"/>
      <c r="AC691" s="306"/>
    </row>
    <row r="692">
      <c r="A692" s="306"/>
      <c r="B692" s="306"/>
      <c r="C692" s="306"/>
      <c r="D692" s="305"/>
      <c r="E692" s="306"/>
      <c r="F692" s="306"/>
      <c r="G692" s="306"/>
      <c r="H692" s="306"/>
      <c r="I692" s="306"/>
      <c r="J692" s="306"/>
      <c r="K692" s="307"/>
      <c r="L692" s="306"/>
      <c r="M692" s="306"/>
      <c r="N692" s="306"/>
      <c r="O692" s="306"/>
      <c r="P692" s="306"/>
      <c r="Q692" s="306"/>
      <c r="R692" s="306"/>
      <c r="S692" s="306"/>
      <c r="T692" s="306"/>
      <c r="U692" s="306"/>
      <c r="V692" s="305"/>
      <c r="W692" s="306"/>
      <c r="X692" s="306"/>
      <c r="Y692" s="306"/>
      <c r="Z692" s="307"/>
      <c r="AA692" s="306"/>
      <c r="AB692" s="306"/>
      <c r="AC692" s="306"/>
    </row>
    <row r="693">
      <c r="A693" s="306"/>
      <c r="B693" s="306"/>
      <c r="C693" s="306"/>
      <c r="D693" s="305"/>
      <c r="E693" s="306"/>
      <c r="F693" s="306"/>
      <c r="G693" s="306"/>
      <c r="H693" s="306"/>
      <c r="I693" s="306"/>
      <c r="J693" s="306"/>
      <c r="K693" s="307"/>
      <c r="L693" s="306"/>
      <c r="M693" s="306"/>
      <c r="N693" s="306"/>
      <c r="O693" s="306"/>
      <c r="P693" s="306"/>
      <c r="Q693" s="306"/>
      <c r="R693" s="306"/>
      <c r="S693" s="306"/>
      <c r="T693" s="306"/>
      <c r="U693" s="306"/>
      <c r="V693" s="305"/>
      <c r="W693" s="306"/>
      <c r="X693" s="306"/>
      <c r="Y693" s="306"/>
      <c r="Z693" s="307"/>
      <c r="AA693" s="306"/>
      <c r="AB693" s="306"/>
      <c r="AC693" s="306"/>
    </row>
    <row r="694">
      <c r="A694" s="306"/>
      <c r="B694" s="306"/>
      <c r="C694" s="306"/>
      <c r="D694" s="305"/>
      <c r="E694" s="306"/>
      <c r="F694" s="306"/>
      <c r="G694" s="306"/>
      <c r="H694" s="306"/>
      <c r="I694" s="306"/>
      <c r="J694" s="306"/>
      <c r="K694" s="307"/>
      <c r="L694" s="306"/>
      <c r="M694" s="306"/>
      <c r="N694" s="306"/>
      <c r="O694" s="306"/>
      <c r="P694" s="306"/>
      <c r="Q694" s="306"/>
      <c r="R694" s="306"/>
      <c r="S694" s="306"/>
      <c r="T694" s="306"/>
      <c r="U694" s="306"/>
      <c r="V694" s="305"/>
      <c r="W694" s="306"/>
      <c r="X694" s="306"/>
      <c r="Y694" s="306"/>
      <c r="Z694" s="307"/>
      <c r="AA694" s="306"/>
      <c r="AB694" s="306"/>
      <c r="AC694" s="306"/>
    </row>
    <row r="695">
      <c r="A695" s="306"/>
      <c r="B695" s="306"/>
      <c r="C695" s="306"/>
      <c r="D695" s="305"/>
      <c r="E695" s="306"/>
      <c r="F695" s="306"/>
      <c r="G695" s="306"/>
      <c r="H695" s="306"/>
      <c r="I695" s="306"/>
      <c r="J695" s="306"/>
      <c r="K695" s="307"/>
      <c r="L695" s="306"/>
      <c r="M695" s="306"/>
      <c r="N695" s="306"/>
      <c r="O695" s="306"/>
      <c r="P695" s="306"/>
      <c r="Q695" s="306"/>
      <c r="R695" s="306"/>
      <c r="S695" s="306"/>
      <c r="T695" s="306"/>
      <c r="U695" s="306"/>
      <c r="V695" s="305"/>
      <c r="W695" s="306"/>
      <c r="X695" s="306"/>
      <c r="Y695" s="306"/>
      <c r="Z695" s="307"/>
      <c r="AA695" s="306"/>
      <c r="AB695" s="306"/>
      <c r="AC695" s="306"/>
    </row>
    <row r="696">
      <c r="A696" s="306"/>
      <c r="B696" s="306"/>
      <c r="C696" s="306"/>
      <c r="D696" s="305"/>
      <c r="E696" s="306"/>
      <c r="F696" s="306"/>
      <c r="G696" s="306"/>
      <c r="H696" s="306"/>
      <c r="I696" s="306"/>
      <c r="J696" s="306"/>
      <c r="K696" s="307"/>
      <c r="L696" s="306"/>
      <c r="M696" s="306"/>
      <c r="N696" s="306"/>
      <c r="O696" s="306"/>
      <c r="P696" s="306"/>
      <c r="Q696" s="306"/>
      <c r="R696" s="306"/>
      <c r="S696" s="306"/>
      <c r="T696" s="306"/>
      <c r="U696" s="306"/>
      <c r="V696" s="305"/>
      <c r="W696" s="306"/>
      <c r="X696" s="306"/>
      <c r="Y696" s="306"/>
      <c r="Z696" s="307"/>
      <c r="AA696" s="306"/>
      <c r="AB696" s="306"/>
      <c r="AC696" s="306"/>
    </row>
    <row r="697">
      <c r="A697" s="306"/>
      <c r="B697" s="306"/>
      <c r="C697" s="306"/>
      <c r="D697" s="305"/>
      <c r="E697" s="306"/>
      <c r="F697" s="306"/>
      <c r="G697" s="306"/>
      <c r="H697" s="306"/>
      <c r="I697" s="306"/>
      <c r="J697" s="306"/>
      <c r="K697" s="307"/>
      <c r="L697" s="306"/>
      <c r="M697" s="306"/>
      <c r="N697" s="306"/>
      <c r="O697" s="306"/>
      <c r="P697" s="306"/>
      <c r="Q697" s="306"/>
      <c r="R697" s="306"/>
      <c r="S697" s="306"/>
      <c r="T697" s="306"/>
      <c r="U697" s="306"/>
      <c r="V697" s="305"/>
      <c r="W697" s="306"/>
      <c r="X697" s="306"/>
      <c r="Y697" s="306"/>
      <c r="Z697" s="307"/>
      <c r="AA697" s="306"/>
      <c r="AB697" s="306"/>
      <c r="AC697" s="306"/>
    </row>
    <row r="698">
      <c r="A698" s="306"/>
      <c r="B698" s="306"/>
      <c r="C698" s="306"/>
      <c r="D698" s="305"/>
      <c r="E698" s="306"/>
      <c r="F698" s="306"/>
      <c r="G698" s="306"/>
      <c r="H698" s="306"/>
      <c r="I698" s="306"/>
      <c r="J698" s="306"/>
      <c r="K698" s="307"/>
      <c r="L698" s="306"/>
      <c r="M698" s="306"/>
      <c r="N698" s="306"/>
      <c r="O698" s="306"/>
      <c r="P698" s="306"/>
      <c r="Q698" s="306"/>
      <c r="R698" s="306"/>
      <c r="S698" s="306"/>
      <c r="T698" s="306"/>
      <c r="U698" s="306"/>
      <c r="V698" s="305"/>
      <c r="W698" s="306"/>
      <c r="X698" s="306"/>
      <c r="Y698" s="306"/>
      <c r="Z698" s="307"/>
      <c r="AA698" s="306"/>
      <c r="AB698" s="306"/>
      <c r="AC698" s="306"/>
    </row>
    <row r="699">
      <c r="A699" s="306"/>
      <c r="B699" s="306"/>
      <c r="C699" s="306"/>
      <c r="D699" s="305"/>
      <c r="E699" s="306"/>
      <c r="F699" s="306"/>
      <c r="G699" s="306"/>
      <c r="H699" s="306"/>
      <c r="I699" s="306"/>
      <c r="J699" s="306"/>
      <c r="K699" s="307"/>
      <c r="L699" s="306"/>
      <c r="M699" s="306"/>
      <c r="N699" s="306"/>
      <c r="O699" s="306"/>
      <c r="P699" s="306"/>
      <c r="Q699" s="306"/>
      <c r="R699" s="306"/>
      <c r="S699" s="306"/>
      <c r="T699" s="306"/>
      <c r="U699" s="306"/>
      <c r="V699" s="305"/>
      <c r="W699" s="306"/>
      <c r="X699" s="306"/>
      <c r="Y699" s="306"/>
      <c r="Z699" s="307"/>
      <c r="AA699" s="306"/>
      <c r="AB699" s="306"/>
      <c r="AC699" s="306"/>
    </row>
    <row r="700">
      <c r="A700" s="306"/>
      <c r="B700" s="306"/>
      <c r="C700" s="306"/>
      <c r="D700" s="305"/>
      <c r="E700" s="306"/>
      <c r="F700" s="306"/>
      <c r="G700" s="306"/>
      <c r="H700" s="306"/>
      <c r="I700" s="306"/>
      <c r="J700" s="306"/>
      <c r="K700" s="307"/>
      <c r="L700" s="306"/>
      <c r="M700" s="306"/>
      <c r="N700" s="306"/>
      <c r="O700" s="306"/>
      <c r="P700" s="306"/>
      <c r="Q700" s="306"/>
      <c r="R700" s="306"/>
      <c r="S700" s="306"/>
      <c r="T700" s="306"/>
      <c r="U700" s="306"/>
      <c r="V700" s="305"/>
      <c r="W700" s="306"/>
      <c r="X700" s="306"/>
      <c r="Y700" s="306"/>
      <c r="Z700" s="307"/>
      <c r="AA700" s="306"/>
      <c r="AB700" s="306"/>
      <c r="AC700" s="306"/>
    </row>
    <row r="701">
      <c r="A701" s="306"/>
      <c r="B701" s="306"/>
      <c r="C701" s="306"/>
      <c r="D701" s="305"/>
      <c r="E701" s="306"/>
      <c r="F701" s="306"/>
      <c r="G701" s="306"/>
      <c r="H701" s="306"/>
      <c r="I701" s="306"/>
      <c r="J701" s="306"/>
      <c r="K701" s="307"/>
      <c r="L701" s="306"/>
      <c r="M701" s="306"/>
      <c r="N701" s="306"/>
      <c r="O701" s="306"/>
      <c r="P701" s="306"/>
      <c r="Q701" s="306"/>
      <c r="R701" s="306"/>
      <c r="S701" s="306"/>
      <c r="T701" s="306"/>
      <c r="U701" s="306"/>
      <c r="V701" s="305"/>
      <c r="W701" s="306"/>
      <c r="X701" s="306"/>
      <c r="Y701" s="306"/>
      <c r="Z701" s="307"/>
      <c r="AA701" s="306"/>
      <c r="AB701" s="306"/>
      <c r="AC701" s="306"/>
    </row>
    <row r="702">
      <c r="A702" s="306"/>
      <c r="B702" s="306"/>
      <c r="C702" s="306"/>
      <c r="D702" s="305"/>
      <c r="E702" s="306"/>
      <c r="F702" s="306"/>
      <c r="G702" s="306"/>
      <c r="H702" s="306"/>
      <c r="I702" s="306"/>
      <c r="J702" s="306"/>
      <c r="K702" s="307"/>
      <c r="L702" s="306"/>
      <c r="M702" s="306"/>
      <c r="N702" s="306"/>
      <c r="O702" s="306"/>
      <c r="P702" s="306"/>
      <c r="Q702" s="306"/>
      <c r="R702" s="306"/>
      <c r="S702" s="306"/>
      <c r="T702" s="306"/>
      <c r="U702" s="306"/>
      <c r="V702" s="305"/>
      <c r="W702" s="306"/>
      <c r="X702" s="306"/>
      <c r="Y702" s="306"/>
      <c r="Z702" s="307"/>
      <c r="AA702" s="306"/>
      <c r="AB702" s="306"/>
      <c r="AC702" s="306"/>
    </row>
    <row r="703">
      <c r="A703" s="306"/>
      <c r="B703" s="306"/>
      <c r="C703" s="306"/>
      <c r="D703" s="305"/>
      <c r="E703" s="306"/>
      <c r="F703" s="306"/>
      <c r="G703" s="306"/>
      <c r="H703" s="306"/>
      <c r="I703" s="306"/>
      <c r="J703" s="306"/>
      <c r="K703" s="307"/>
      <c r="L703" s="306"/>
      <c r="M703" s="306"/>
      <c r="N703" s="306"/>
      <c r="O703" s="306"/>
      <c r="P703" s="306"/>
      <c r="Q703" s="306"/>
      <c r="R703" s="306"/>
      <c r="S703" s="306"/>
      <c r="T703" s="306"/>
      <c r="U703" s="306"/>
      <c r="V703" s="305"/>
      <c r="W703" s="306"/>
      <c r="X703" s="306"/>
      <c r="Y703" s="306"/>
      <c r="Z703" s="307"/>
      <c r="AA703" s="306"/>
      <c r="AB703" s="306"/>
      <c r="AC703" s="306"/>
    </row>
    <row r="704">
      <c r="A704" s="306"/>
      <c r="B704" s="306"/>
      <c r="C704" s="306"/>
      <c r="D704" s="305"/>
      <c r="E704" s="306"/>
      <c r="F704" s="306"/>
      <c r="G704" s="306"/>
      <c r="H704" s="306"/>
      <c r="I704" s="306"/>
      <c r="J704" s="306"/>
      <c r="K704" s="307"/>
      <c r="L704" s="306"/>
      <c r="M704" s="306"/>
      <c r="N704" s="306"/>
      <c r="O704" s="306"/>
      <c r="P704" s="306"/>
      <c r="Q704" s="306"/>
      <c r="R704" s="306"/>
      <c r="S704" s="306"/>
      <c r="T704" s="306"/>
      <c r="U704" s="306"/>
      <c r="V704" s="305"/>
      <c r="W704" s="306"/>
      <c r="X704" s="306"/>
      <c r="Y704" s="306"/>
      <c r="Z704" s="307"/>
      <c r="AA704" s="306"/>
      <c r="AB704" s="306"/>
      <c r="AC704" s="306"/>
    </row>
    <row r="705">
      <c r="A705" s="306"/>
      <c r="B705" s="306"/>
      <c r="C705" s="306"/>
      <c r="D705" s="305"/>
      <c r="E705" s="306"/>
      <c r="F705" s="306"/>
      <c r="G705" s="306"/>
      <c r="H705" s="306"/>
      <c r="I705" s="306"/>
      <c r="J705" s="306"/>
      <c r="K705" s="307"/>
      <c r="L705" s="306"/>
      <c r="M705" s="306"/>
      <c r="N705" s="306"/>
      <c r="O705" s="306"/>
      <c r="P705" s="306"/>
      <c r="Q705" s="306"/>
      <c r="R705" s="306"/>
      <c r="S705" s="306"/>
      <c r="T705" s="306"/>
      <c r="U705" s="306"/>
      <c r="V705" s="305"/>
      <c r="W705" s="306"/>
      <c r="X705" s="306"/>
      <c r="Y705" s="306"/>
      <c r="Z705" s="307"/>
      <c r="AA705" s="306"/>
      <c r="AB705" s="306"/>
      <c r="AC705" s="306"/>
    </row>
    <row r="706">
      <c r="A706" s="306"/>
      <c r="B706" s="306"/>
      <c r="C706" s="306"/>
      <c r="D706" s="305"/>
      <c r="E706" s="306"/>
      <c r="F706" s="306"/>
      <c r="G706" s="306"/>
      <c r="H706" s="306"/>
      <c r="I706" s="306"/>
      <c r="J706" s="306"/>
      <c r="K706" s="307"/>
      <c r="L706" s="306"/>
      <c r="M706" s="306"/>
      <c r="N706" s="306"/>
      <c r="O706" s="306"/>
      <c r="P706" s="306"/>
      <c r="Q706" s="306"/>
      <c r="R706" s="306"/>
      <c r="S706" s="306"/>
      <c r="T706" s="306"/>
      <c r="U706" s="306"/>
      <c r="V706" s="305"/>
      <c r="W706" s="306"/>
      <c r="X706" s="306"/>
      <c r="Y706" s="306"/>
      <c r="Z706" s="307"/>
      <c r="AA706" s="306"/>
      <c r="AB706" s="306"/>
      <c r="AC706" s="306"/>
    </row>
    <row r="707">
      <c r="A707" s="306"/>
      <c r="B707" s="306"/>
      <c r="C707" s="306"/>
      <c r="D707" s="305"/>
      <c r="E707" s="306"/>
      <c r="F707" s="306"/>
      <c r="G707" s="306"/>
      <c r="H707" s="306"/>
      <c r="I707" s="306"/>
      <c r="J707" s="306"/>
      <c r="K707" s="307"/>
      <c r="L707" s="306"/>
      <c r="M707" s="306"/>
      <c r="N707" s="306"/>
      <c r="O707" s="306"/>
      <c r="P707" s="306"/>
      <c r="Q707" s="306"/>
      <c r="R707" s="306"/>
      <c r="S707" s="306"/>
      <c r="T707" s="306"/>
      <c r="U707" s="306"/>
      <c r="V707" s="305"/>
      <c r="W707" s="306"/>
      <c r="X707" s="306"/>
      <c r="Y707" s="306"/>
      <c r="Z707" s="307"/>
      <c r="AA707" s="306"/>
      <c r="AB707" s="306"/>
      <c r="AC707" s="306"/>
    </row>
    <row r="708">
      <c r="A708" s="306"/>
      <c r="B708" s="306"/>
      <c r="C708" s="306"/>
      <c r="D708" s="305"/>
      <c r="E708" s="306"/>
      <c r="F708" s="306"/>
      <c r="G708" s="306"/>
      <c r="H708" s="306"/>
      <c r="I708" s="306"/>
      <c r="J708" s="306"/>
      <c r="K708" s="307"/>
      <c r="L708" s="306"/>
      <c r="M708" s="306"/>
      <c r="N708" s="306"/>
      <c r="O708" s="306"/>
      <c r="P708" s="306"/>
      <c r="Q708" s="306"/>
      <c r="R708" s="306"/>
      <c r="S708" s="306"/>
      <c r="T708" s="306"/>
      <c r="U708" s="306"/>
      <c r="V708" s="305"/>
      <c r="W708" s="306"/>
      <c r="X708" s="306"/>
      <c r="Y708" s="306"/>
      <c r="Z708" s="307"/>
      <c r="AA708" s="306"/>
      <c r="AB708" s="306"/>
      <c r="AC708" s="306"/>
    </row>
    <row r="709">
      <c r="A709" s="306"/>
      <c r="B709" s="306"/>
      <c r="C709" s="306"/>
      <c r="D709" s="305"/>
      <c r="E709" s="306"/>
      <c r="F709" s="306"/>
      <c r="G709" s="306"/>
      <c r="H709" s="306"/>
      <c r="I709" s="306"/>
      <c r="J709" s="306"/>
      <c r="K709" s="307"/>
      <c r="L709" s="306"/>
      <c r="M709" s="306"/>
      <c r="N709" s="306"/>
      <c r="O709" s="306"/>
      <c r="P709" s="306"/>
      <c r="Q709" s="306"/>
      <c r="R709" s="306"/>
      <c r="S709" s="306"/>
      <c r="T709" s="306"/>
      <c r="U709" s="306"/>
      <c r="V709" s="305"/>
      <c r="W709" s="306"/>
      <c r="X709" s="306"/>
      <c r="Y709" s="306"/>
      <c r="Z709" s="307"/>
      <c r="AA709" s="306"/>
      <c r="AB709" s="306"/>
      <c r="AC709" s="306"/>
    </row>
    <row r="710">
      <c r="A710" s="306"/>
      <c r="B710" s="306"/>
      <c r="C710" s="306"/>
      <c r="D710" s="305"/>
      <c r="E710" s="306"/>
      <c r="F710" s="306"/>
      <c r="G710" s="306"/>
      <c r="H710" s="306"/>
      <c r="I710" s="306"/>
      <c r="J710" s="306"/>
      <c r="K710" s="307"/>
      <c r="L710" s="306"/>
      <c r="M710" s="306"/>
      <c r="N710" s="306"/>
      <c r="O710" s="306"/>
      <c r="P710" s="306"/>
      <c r="Q710" s="306"/>
      <c r="R710" s="306"/>
      <c r="S710" s="306"/>
      <c r="T710" s="306"/>
      <c r="U710" s="306"/>
      <c r="V710" s="305"/>
      <c r="W710" s="306"/>
      <c r="X710" s="306"/>
      <c r="Y710" s="306"/>
      <c r="Z710" s="307"/>
      <c r="AA710" s="306"/>
      <c r="AB710" s="306"/>
      <c r="AC710" s="306"/>
    </row>
    <row r="711">
      <c r="A711" s="306"/>
      <c r="B711" s="306"/>
      <c r="C711" s="306"/>
      <c r="D711" s="305"/>
      <c r="E711" s="306"/>
      <c r="F711" s="306"/>
      <c r="G711" s="306"/>
      <c r="H711" s="306"/>
      <c r="I711" s="306"/>
      <c r="J711" s="306"/>
      <c r="K711" s="307"/>
      <c r="L711" s="306"/>
      <c r="M711" s="306"/>
      <c r="N711" s="306"/>
      <c r="O711" s="306"/>
      <c r="P711" s="306"/>
      <c r="Q711" s="306"/>
      <c r="R711" s="306"/>
      <c r="S711" s="306"/>
      <c r="T711" s="306"/>
      <c r="U711" s="306"/>
      <c r="V711" s="305"/>
      <c r="W711" s="306"/>
      <c r="X711" s="306"/>
      <c r="Y711" s="306"/>
      <c r="Z711" s="307"/>
      <c r="AA711" s="306"/>
      <c r="AB711" s="306"/>
      <c r="AC711" s="306"/>
    </row>
    <row r="712">
      <c r="A712" s="306"/>
      <c r="B712" s="306"/>
      <c r="C712" s="306"/>
      <c r="D712" s="305"/>
      <c r="E712" s="306"/>
      <c r="F712" s="306"/>
      <c r="G712" s="306"/>
      <c r="H712" s="306"/>
      <c r="I712" s="306"/>
      <c r="J712" s="306"/>
      <c r="K712" s="307"/>
      <c r="L712" s="306"/>
      <c r="M712" s="306"/>
      <c r="N712" s="306"/>
      <c r="O712" s="306"/>
      <c r="P712" s="306"/>
      <c r="Q712" s="306"/>
      <c r="R712" s="306"/>
      <c r="S712" s="306"/>
      <c r="T712" s="306"/>
      <c r="U712" s="306"/>
      <c r="V712" s="305"/>
      <c r="W712" s="306"/>
      <c r="X712" s="306"/>
      <c r="Y712" s="306"/>
      <c r="Z712" s="307"/>
      <c r="AA712" s="306"/>
      <c r="AB712" s="306"/>
      <c r="AC712" s="306"/>
    </row>
    <row r="713">
      <c r="A713" s="306"/>
      <c r="B713" s="306"/>
      <c r="C713" s="306"/>
      <c r="D713" s="305"/>
      <c r="E713" s="306"/>
      <c r="F713" s="306"/>
      <c r="G713" s="306"/>
      <c r="H713" s="306"/>
      <c r="I713" s="306"/>
      <c r="J713" s="306"/>
      <c r="K713" s="307"/>
      <c r="L713" s="306"/>
      <c r="M713" s="306"/>
      <c r="N713" s="306"/>
      <c r="O713" s="306"/>
      <c r="P713" s="306"/>
      <c r="Q713" s="306"/>
      <c r="R713" s="306"/>
      <c r="S713" s="306"/>
      <c r="T713" s="306"/>
      <c r="U713" s="306"/>
      <c r="V713" s="305"/>
      <c r="W713" s="306"/>
      <c r="X713" s="306"/>
      <c r="Y713" s="306"/>
      <c r="Z713" s="307"/>
      <c r="AA713" s="306"/>
      <c r="AB713" s="306"/>
      <c r="AC713" s="306"/>
    </row>
    <row r="714">
      <c r="A714" s="306"/>
      <c r="B714" s="306"/>
      <c r="C714" s="306"/>
      <c r="D714" s="305"/>
      <c r="E714" s="306"/>
      <c r="F714" s="306"/>
      <c r="G714" s="306"/>
      <c r="H714" s="306"/>
      <c r="I714" s="306"/>
      <c r="J714" s="306"/>
      <c r="K714" s="307"/>
      <c r="L714" s="306"/>
      <c r="M714" s="306"/>
      <c r="N714" s="306"/>
      <c r="O714" s="306"/>
      <c r="P714" s="306"/>
      <c r="Q714" s="306"/>
      <c r="R714" s="306"/>
      <c r="S714" s="306"/>
      <c r="T714" s="306"/>
      <c r="U714" s="306"/>
      <c r="V714" s="305"/>
      <c r="W714" s="306"/>
      <c r="X714" s="306"/>
      <c r="Y714" s="306"/>
      <c r="Z714" s="307"/>
      <c r="AA714" s="306"/>
      <c r="AB714" s="306"/>
      <c r="AC714" s="306"/>
    </row>
    <row r="715">
      <c r="A715" s="306"/>
      <c r="B715" s="306"/>
      <c r="C715" s="306"/>
      <c r="D715" s="305"/>
      <c r="E715" s="306"/>
      <c r="F715" s="306"/>
      <c r="G715" s="306"/>
      <c r="H715" s="306"/>
      <c r="I715" s="306"/>
      <c r="J715" s="306"/>
      <c r="K715" s="307"/>
      <c r="L715" s="306"/>
      <c r="M715" s="306"/>
      <c r="N715" s="306"/>
      <c r="O715" s="306"/>
      <c r="P715" s="306"/>
      <c r="Q715" s="306"/>
      <c r="R715" s="306"/>
      <c r="S715" s="306"/>
      <c r="T715" s="306"/>
      <c r="U715" s="306"/>
      <c r="V715" s="305"/>
      <c r="W715" s="306"/>
      <c r="X715" s="306"/>
      <c r="Y715" s="306"/>
      <c r="Z715" s="307"/>
      <c r="AA715" s="306"/>
      <c r="AB715" s="306"/>
      <c r="AC715" s="306"/>
    </row>
    <row r="716">
      <c r="A716" s="306"/>
      <c r="B716" s="306"/>
      <c r="C716" s="306"/>
      <c r="D716" s="305"/>
      <c r="E716" s="306"/>
      <c r="F716" s="306"/>
      <c r="G716" s="306"/>
      <c r="H716" s="306"/>
      <c r="I716" s="306"/>
      <c r="J716" s="306"/>
      <c r="K716" s="307"/>
      <c r="L716" s="306"/>
      <c r="M716" s="306"/>
      <c r="N716" s="306"/>
      <c r="O716" s="306"/>
      <c r="P716" s="306"/>
      <c r="Q716" s="306"/>
      <c r="R716" s="306"/>
      <c r="S716" s="306"/>
      <c r="T716" s="306"/>
      <c r="U716" s="306"/>
      <c r="V716" s="305"/>
      <c r="W716" s="306"/>
      <c r="X716" s="306"/>
      <c r="Y716" s="306"/>
      <c r="Z716" s="307"/>
      <c r="AA716" s="306"/>
      <c r="AB716" s="306"/>
      <c r="AC716" s="306"/>
    </row>
    <row r="717">
      <c r="A717" s="306"/>
      <c r="B717" s="306"/>
      <c r="C717" s="306"/>
      <c r="D717" s="305"/>
      <c r="E717" s="306"/>
      <c r="F717" s="306"/>
      <c r="G717" s="306"/>
      <c r="H717" s="306"/>
      <c r="I717" s="306"/>
      <c r="J717" s="306"/>
      <c r="K717" s="307"/>
      <c r="L717" s="306"/>
      <c r="M717" s="306"/>
      <c r="N717" s="306"/>
      <c r="O717" s="306"/>
      <c r="P717" s="306"/>
      <c r="Q717" s="306"/>
      <c r="R717" s="306"/>
      <c r="S717" s="306"/>
      <c r="T717" s="306"/>
      <c r="U717" s="306"/>
      <c r="V717" s="305"/>
      <c r="W717" s="306"/>
      <c r="X717" s="306"/>
      <c r="Y717" s="306"/>
      <c r="Z717" s="307"/>
      <c r="AA717" s="306"/>
      <c r="AB717" s="306"/>
      <c r="AC717" s="306"/>
    </row>
    <row r="718">
      <c r="A718" s="306"/>
      <c r="B718" s="306"/>
      <c r="C718" s="306"/>
      <c r="D718" s="305"/>
      <c r="E718" s="306"/>
      <c r="F718" s="306"/>
      <c r="G718" s="306"/>
      <c r="H718" s="306"/>
      <c r="I718" s="306"/>
      <c r="J718" s="306"/>
      <c r="K718" s="307"/>
      <c r="L718" s="306"/>
      <c r="M718" s="306"/>
      <c r="N718" s="306"/>
      <c r="O718" s="306"/>
      <c r="P718" s="306"/>
      <c r="Q718" s="306"/>
      <c r="R718" s="306"/>
      <c r="S718" s="306"/>
      <c r="T718" s="306"/>
      <c r="U718" s="306"/>
      <c r="V718" s="305"/>
      <c r="W718" s="306"/>
      <c r="X718" s="306"/>
      <c r="Y718" s="306"/>
      <c r="Z718" s="307"/>
      <c r="AA718" s="306"/>
      <c r="AB718" s="306"/>
      <c r="AC718" s="306"/>
    </row>
    <row r="719">
      <c r="A719" s="306"/>
      <c r="B719" s="306"/>
      <c r="C719" s="306"/>
      <c r="D719" s="305"/>
      <c r="E719" s="306"/>
      <c r="F719" s="306"/>
      <c r="G719" s="306"/>
      <c r="H719" s="306"/>
      <c r="I719" s="306"/>
      <c r="J719" s="306"/>
      <c r="K719" s="307"/>
      <c r="L719" s="306"/>
      <c r="M719" s="306"/>
      <c r="N719" s="306"/>
      <c r="O719" s="306"/>
      <c r="P719" s="306"/>
      <c r="Q719" s="306"/>
      <c r="R719" s="306"/>
      <c r="S719" s="306"/>
      <c r="T719" s="306"/>
      <c r="U719" s="306"/>
      <c r="V719" s="305"/>
      <c r="W719" s="306"/>
      <c r="X719" s="306"/>
      <c r="Y719" s="306"/>
      <c r="Z719" s="307"/>
      <c r="AA719" s="306"/>
      <c r="AB719" s="306"/>
      <c r="AC719" s="306"/>
    </row>
    <row r="720">
      <c r="A720" s="306"/>
      <c r="B720" s="306"/>
      <c r="C720" s="306"/>
      <c r="D720" s="305"/>
      <c r="E720" s="306"/>
      <c r="F720" s="306"/>
      <c r="G720" s="306"/>
      <c r="H720" s="306"/>
      <c r="I720" s="306"/>
      <c r="J720" s="306"/>
      <c r="K720" s="307"/>
      <c r="L720" s="306"/>
      <c r="M720" s="306"/>
      <c r="N720" s="306"/>
      <c r="O720" s="306"/>
      <c r="P720" s="306"/>
      <c r="Q720" s="306"/>
      <c r="R720" s="306"/>
      <c r="S720" s="306"/>
      <c r="T720" s="306"/>
      <c r="U720" s="306"/>
      <c r="V720" s="305"/>
      <c r="W720" s="306"/>
      <c r="X720" s="306"/>
      <c r="Y720" s="306"/>
      <c r="Z720" s="307"/>
      <c r="AA720" s="306"/>
      <c r="AB720" s="306"/>
      <c r="AC720" s="306"/>
    </row>
    <row r="721">
      <c r="A721" s="306"/>
      <c r="B721" s="306"/>
      <c r="C721" s="306"/>
      <c r="D721" s="305"/>
      <c r="E721" s="306"/>
      <c r="F721" s="306"/>
      <c r="G721" s="306"/>
      <c r="H721" s="306"/>
      <c r="I721" s="306"/>
      <c r="J721" s="306"/>
      <c r="K721" s="307"/>
      <c r="L721" s="306"/>
      <c r="M721" s="306"/>
      <c r="N721" s="306"/>
      <c r="O721" s="306"/>
      <c r="P721" s="306"/>
      <c r="Q721" s="306"/>
      <c r="R721" s="306"/>
      <c r="S721" s="306"/>
      <c r="T721" s="306"/>
      <c r="U721" s="306"/>
      <c r="V721" s="305"/>
      <c r="W721" s="306"/>
      <c r="X721" s="306"/>
      <c r="Y721" s="306"/>
      <c r="Z721" s="307"/>
      <c r="AA721" s="306"/>
      <c r="AB721" s="306"/>
      <c r="AC721" s="306"/>
    </row>
    <row r="722">
      <c r="A722" s="306"/>
      <c r="B722" s="306"/>
      <c r="C722" s="306"/>
      <c r="D722" s="305"/>
      <c r="E722" s="306"/>
      <c r="F722" s="306"/>
      <c r="G722" s="306"/>
      <c r="H722" s="306"/>
      <c r="I722" s="306"/>
      <c r="J722" s="306"/>
      <c r="K722" s="307"/>
      <c r="L722" s="306"/>
      <c r="M722" s="306"/>
      <c r="N722" s="306"/>
      <c r="O722" s="306"/>
      <c r="P722" s="306"/>
      <c r="Q722" s="306"/>
      <c r="R722" s="306"/>
      <c r="S722" s="306"/>
      <c r="T722" s="306"/>
      <c r="U722" s="306"/>
      <c r="V722" s="305"/>
      <c r="W722" s="306"/>
      <c r="X722" s="306"/>
      <c r="Y722" s="306"/>
      <c r="Z722" s="307"/>
      <c r="AA722" s="306"/>
      <c r="AB722" s="306"/>
      <c r="AC722" s="306"/>
    </row>
    <row r="723">
      <c r="A723" s="306"/>
      <c r="B723" s="306"/>
      <c r="C723" s="306"/>
      <c r="D723" s="305"/>
      <c r="E723" s="306"/>
      <c r="F723" s="306"/>
      <c r="G723" s="306"/>
      <c r="H723" s="306"/>
      <c r="I723" s="306"/>
      <c r="J723" s="306"/>
      <c r="K723" s="307"/>
      <c r="L723" s="306"/>
      <c r="M723" s="306"/>
      <c r="N723" s="306"/>
      <c r="O723" s="306"/>
      <c r="P723" s="306"/>
      <c r="Q723" s="306"/>
      <c r="R723" s="306"/>
      <c r="S723" s="306"/>
      <c r="T723" s="306"/>
      <c r="U723" s="306"/>
      <c r="V723" s="305"/>
      <c r="W723" s="306"/>
      <c r="X723" s="306"/>
      <c r="Y723" s="306"/>
      <c r="Z723" s="307"/>
      <c r="AA723" s="306"/>
      <c r="AB723" s="306"/>
      <c r="AC723" s="306"/>
    </row>
    <row r="724">
      <c r="A724" s="306"/>
      <c r="B724" s="306"/>
      <c r="C724" s="306"/>
      <c r="D724" s="305"/>
      <c r="E724" s="306"/>
      <c r="F724" s="306"/>
      <c r="G724" s="306"/>
      <c r="H724" s="306"/>
      <c r="I724" s="306"/>
      <c r="J724" s="306"/>
      <c r="K724" s="307"/>
      <c r="L724" s="306"/>
      <c r="M724" s="306"/>
      <c r="N724" s="306"/>
      <c r="O724" s="306"/>
      <c r="P724" s="306"/>
      <c r="Q724" s="306"/>
      <c r="R724" s="306"/>
      <c r="S724" s="306"/>
      <c r="T724" s="306"/>
      <c r="U724" s="306"/>
      <c r="V724" s="305"/>
      <c r="W724" s="306"/>
      <c r="X724" s="306"/>
      <c r="Y724" s="306"/>
      <c r="Z724" s="307"/>
      <c r="AA724" s="306"/>
      <c r="AB724" s="306"/>
      <c r="AC724" s="306"/>
    </row>
    <row r="725">
      <c r="A725" s="306"/>
      <c r="B725" s="306"/>
      <c r="C725" s="306"/>
      <c r="D725" s="305"/>
      <c r="E725" s="306"/>
      <c r="F725" s="306"/>
      <c r="G725" s="306"/>
      <c r="H725" s="306"/>
      <c r="I725" s="306"/>
      <c r="J725" s="306"/>
      <c r="K725" s="307"/>
      <c r="L725" s="306"/>
      <c r="M725" s="306"/>
      <c r="N725" s="306"/>
      <c r="O725" s="306"/>
      <c r="P725" s="306"/>
      <c r="Q725" s="306"/>
      <c r="R725" s="306"/>
      <c r="S725" s="306"/>
      <c r="T725" s="306"/>
      <c r="U725" s="306"/>
      <c r="V725" s="305"/>
      <c r="W725" s="306"/>
      <c r="X725" s="306"/>
      <c r="Y725" s="306"/>
      <c r="Z725" s="307"/>
      <c r="AA725" s="306"/>
      <c r="AB725" s="306"/>
      <c r="AC725" s="306"/>
    </row>
    <row r="726">
      <c r="A726" s="306"/>
      <c r="B726" s="306"/>
      <c r="C726" s="306"/>
      <c r="D726" s="305"/>
      <c r="E726" s="306"/>
      <c r="F726" s="306"/>
      <c r="G726" s="306"/>
      <c r="H726" s="306"/>
      <c r="I726" s="306"/>
      <c r="J726" s="306"/>
      <c r="K726" s="307"/>
      <c r="L726" s="306"/>
      <c r="M726" s="306"/>
      <c r="N726" s="306"/>
      <c r="O726" s="306"/>
      <c r="P726" s="306"/>
      <c r="Q726" s="306"/>
      <c r="R726" s="306"/>
      <c r="S726" s="306"/>
      <c r="T726" s="306"/>
      <c r="U726" s="306"/>
      <c r="V726" s="305"/>
      <c r="W726" s="306"/>
      <c r="X726" s="306"/>
      <c r="Y726" s="306"/>
      <c r="Z726" s="307"/>
      <c r="AA726" s="306"/>
      <c r="AB726" s="306"/>
      <c r="AC726" s="306"/>
    </row>
    <row r="727">
      <c r="A727" s="306"/>
      <c r="B727" s="306"/>
      <c r="C727" s="306"/>
      <c r="D727" s="305"/>
      <c r="E727" s="306"/>
      <c r="F727" s="306"/>
      <c r="G727" s="306"/>
      <c r="H727" s="306"/>
      <c r="I727" s="306"/>
      <c r="J727" s="306"/>
      <c r="K727" s="307"/>
      <c r="L727" s="306"/>
      <c r="M727" s="306"/>
      <c r="N727" s="306"/>
      <c r="O727" s="306"/>
      <c r="P727" s="306"/>
      <c r="Q727" s="306"/>
      <c r="R727" s="306"/>
      <c r="S727" s="306"/>
      <c r="T727" s="306"/>
      <c r="U727" s="306"/>
      <c r="V727" s="305"/>
      <c r="W727" s="306"/>
      <c r="X727" s="306"/>
      <c r="Y727" s="306"/>
      <c r="Z727" s="307"/>
      <c r="AA727" s="306"/>
      <c r="AB727" s="306"/>
      <c r="AC727" s="306"/>
    </row>
    <row r="728">
      <c r="A728" s="306"/>
      <c r="B728" s="306"/>
      <c r="C728" s="306"/>
      <c r="D728" s="305"/>
      <c r="E728" s="306"/>
      <c r="F728" s="306"/>
      <c r="G728" s="306"/>
      <c r="H728" s="306"/>
      <c r="I728" s="306"/>
      <c r="J728" s="306"/>
      <c r="K728" s="307"/>
      <c r="L728" s="306"/>
      <c r="M728" s="306"/>
      <c r="N728" s="306"/>
      <c r="O728" s="306"/>
      <c r="P728" s="306"/>
      <c r="Q728" s="306"/>
      <c r="R728" s="306"/>
      <c r="S728" s="306"/>
      <c r="T728" s="306"/>
      <c r="U728" s="306"/>
      <c r="V728" s="305"/>
      <c r="W728" s="306"/>
      <c r="X728" s="306"/>
      <c r="Y728" s="306"/>
      <c r="Z728" s="307"/>
      <c r="AA728" s="306"/>
      <c r="AB728" s="306"/>
      <c r="AC728" s="306"/>
    </row>
    <row r="729">
      <c r="A729" s="306"/>
      <c r="B729" s="306"/>
      <c r="C729" s="306"/>
      <c r="D729" s="305"/>
      <c r="E729" s="306"/>
      <c r="F729" s="306"/>
      <c r="G729" s="306"/>
      <c r="H729" s="306"/>
      <c r="I729" s="306"/>
      <c r="J729" s="306"/>
      <c r="K729" s="307"/>
      <c r="L729" s="306"/>
      <c r="M729" s="306"/>
      <c r="N729" s="306"/>
      <c r="O729" s="306"/>
      <c r="P729" s="306"/>
      <c r="Q729" s="306"/>
      <c r="R729" s="306"/>
      <c r="S729" s="306"/>
      <c r="T729" s="306"/>
      <c r="U729" s="306"/>
      <c r="V729" s="305"/>
      <c r="W729" s="306"/>
      <c r="X729" s="306"/>
      <c r="Y729" s="306"/>
      <c r="Z729" s="307"/>
      <c r="AA729" s="306"/>
      <c r="AB729" s="306"/>
      <c r="AC729" s="306"/>
    </row>
    <row r="730">
      <c r="A730" s="306"/>
      <c r="B730" s="306"/>
      <c r="C730" s="306"/>
      <c r="D730" s="305"/>
      <c r="E730" s="306"/>
      <c r="F730" s="306"/>
      <c r="G730" s="306"/>
      <c r="H730" s="306"/>
      <c r="I730" s="306"/>
      <c r="J730" s="306"/>
      <c r="K730" s="307"/>
      <c r="L730" s="306"/>
      <c r="M730" s="306"/>
      <c r="N730" s="306"/>
      <c r="O730" s="306"/>
      <c r="P730" s="306"/>
      <c r="Q730" s="306"/>
      <c r="R730" s="306"/>
      <c r="S730" s="306"/>
      <c r="T730" s="306"/>
      <c r="U730" s="306"/>
      <c r="V730" s="305"/>
      <c r="W730" s="306"/>
      <c r="X730" s="306"/>
      <c r="Y730" s="306"/>
      <c r="Z730" s="307"/>
      <c r="AA730" s="306"/>
      <c r="AB730" s="306"/>
      <c r="AC730" s="306"/>
    </row>
    <row r="731">
      <c r="A731" s="306"/>
      <c r="B731" s="306"/>
      <c r="C731" s="306"/>
      <c r="D731" s="305"/>
      <c r="E731" s="306"/>
      <c r="F731" s="306"/>
      <c r="G731" s="306"/>
      <c r="H731" s="306"/>
      <c r="I731" s="306"/>
      <c r="J731" s="306"/>
      <c r="K731" s="307"/>
      <c r="L731" s="306"/>
      <c r="M731" s="306"/>
      <c r="N731" s="306"/>
      <c r="O731" s="306"/>
      <c r="P731" s="306"/>
      <c r="Q731" s="306"/>
      <c r="R731" s="306"/>
      <c r="S731" s="306"/>
      <c r="T731" s="306"/>
      <c r="U731" s="306"/>
      <c r="V731" s="305"/>
      <c r="W731" s="306"/>
      <c r="X731" s="306"/>
      <c r="Y731" s="306"/>
      <c r="Z731" s="307"/>
      <c r="AA731" s="306"/>
      <c r="AB731" s="306"/>
      <c r="AC731" s="306"/>
    </row>
    <row r="732">
      <c r="A732" s="306"/>
      <c r="B732" s="306"/>
      <c r="C732" s="306"/>
      <c r="D732" s="305"/>
      <c r="E732" s="306"/>
      <c r="F732" s="306"/>
      <c r="G732" s="306"/>
      <c r="H732" s="306"/>
      <c r="I732" s="306"/>
      <c r="J732" s="306"/>
      <c r="K732" s="307"/>
      <c r="L732" s="306"/>
      <c r="M732" s="306"/>
      <c r="N732" s="306"/>
      <c r="O732" s="306"/>
      <c r="P732" s="306"/>
      <c r="Q732" s="306"/>
      <c r="R732" s="306"/>
      <c r="S732" s="306"/>
      <c r="T732" s="306"/>
      <c r="U732" s="306"/>
      <c r="V732" s="305"/>
      <c r="W732" s="306"/>
      <c r="X732" s="306"/>
      <c r="Y732" s="306"/>
      <c r="Z732" s="307"/>
      <c r="AA732" s="306"/>
      <c r="AB732" s="306"/>
      <c r="AC732" s="306"/>
    </row>
    <row r="733">
      <c r="A733" s="306"/>
      <c r="B733" s="306"/>
      <c r="C733" s="306"/>
      <c r="D733" s="305"/>
      <c r="E733" s="306"/>
      <c r="F733" s="306"/>
      <c r="G733" s="306"/>
      <c r="H733" s="306"/>
      <c r="I733" s="306"/>
      <c r="J733" s="306"/>
      <c r="K733" s="307"/>
      <c r="L733" s="306"/>
      <c r="M733" s="306"/>
      <c r="N733" s="306"/>
      <c r="O733" s="306"/>
      <c r="P733" s="306"/>
      <c r="Q733" s="306"/>
      <c r="R733" s="306"/>
      <c r="S733" s="306"/>
      <c r="T733" s="306"/>
      <c r="U733" s="306"/>
      <c r="V733" s="305"/>
      <c r="W733" s="306"/>
      <c r="X733" s="306"/>
      <c r="Y733" s="306"/>
      <c r="Z733" s="307"/>
      <c r="AA733" s="306"/>
      <c r="AB733" s="306"/>
      <c r="AC733" s="306"/>
    </row>
    <row r="734">
      <c r="A734" s="306"/>
      <c r="B734" s="306"/>
      <c r="C734" s="306"/>
      <c r="D734" s="305"/>
      <c r="E734" s="306"/>
      <c r="F734" s="306"/>
      <c r="G734" s="306"/>
      <c r="H734" s="306"/>
      <c r="I734" s="306"/>
      <c r="J734" s="306"/>
      <c r="K734" s="307"/>
      <c r="L734" s="306"/>
      <c r="M734" s="306"/>
      <c r="N734" s="306"/>
      <c r="O734" s="306"/>
      <c r="P734" s="306"/>
      <c r="Q734" s="306"/>
      <c r="R734" s="306"/>
      <c r="S734" s="306"/>
      <c r="T734" s="306"/>
      <c r="U734" s="306"/>
      <c r="V734" s="305"/>
      <c r="W734" s="306"/>
      <c r="X734" s="306"/>
      <c r="Y734" s="306"/>
      <c r="Z734" s="307"/>
      <c r="AA734" s="306"/>
      <c r="AB734" s="306"/>
      <c r="AC734" s="306"/>
    </row>
    <row r="735">
      <c r="A735" s="306"/>
      <c r="B735" s="306"/>
      <c r="C735" s="306"/>
      <c r="D735" s="305"/>
      <c r="E735" s="306"/>
      <c r="F735" s="306"/>
      <c r="G735" s="306"/>
      <c r="H735" s="306"/>
      <c r="I735" s="306"/>
      <c r="J735" s="306"/>
      <c r="K735" s="307"/>
      <c r="L735" s="306"/>
      <c r="M735" s="306"/>
      <c r="N735" s="306"/>
      <c r="O735" s="306"/>
      <c r="P735" s="306"/>
      <c r="Q735" s="306"/>
      <c r="R735" s="306"/>
      <c r="S735" s="306"/>
      <c r="T735" s="306"/>
      <c r="U735" s="306"/>
      <c r="V735" s="305"/>
      <c r="W735" s="306"/>
      <c r="X735" s="306"/>
      <c r="Y735" s="306"/>
      <c r="Z735" s="307"/>
      <c r="AA735" s="306"/>
      <c r="AB735" s="306"/>
      <c r="AC735" s="306"/>
    </row>
    <row r="736">
      <c r="A736" s="306"/>
      <c r="B736" s="306"/>
      <c r="C736" s="306"/>
      <c r="D736" s="305"/>
      <c r="E736" s="306"/>
      <c r="F736" s="306"/>
      <c r="G736" s="306"/>
      <c r="H736" s="306"/>
      <c r="I736" s="306"/>
      <c r="J736" s="306"/>
      <c r="K736" s="307"/>
      <c r="L736" s="306"/>
      <c r="M736" s="306"/>
      <c r="N736" s="306"/>
      <c r="O736" s="306"/>
      <c r="P736" s="306"/>
      <c r="Q736" s="306"/>
      <c r="R736" s="306"/>
      <c r="S736" s="306"/>
      <c r="T736" s="306"/>
      <c r="U736" s="306"/>
      <c r="V736" s="305"/>
      <c r="W736" s="306"/>
      <c r="X736" s="306"/>
      <c r="Y736" s="306"/>
      <c r="Z736" s="307"/>
      <c r="AA736" s="306"/>
      <c r="AB736" s="306"/>
      <c r="AC736" s="306"/>
    </row>
    <row r="737">
      <c r="A737" s="306"/>
      <c r="B737" s="306"/>
      <c r="C737" s="306"/>
      <c r="D737" s="305"/>
      <c r="E737" s="306"/>
      <c r="F737" s="306"/>
      <c r="G737" s="306"/>
      <c r="H737" s="306"/>
      <c r="I737" s="306"/>
      <c r="J737" s="306"/>
      <c r="K737" s="307"/>
      <c r="L737" s="306"/>
      <c r="M737" s="306"/>
      <c r="N737" s="306"/>
      <c r="O737" s="306"/>
      <c r="P737" s="306"/>
      <c r="Q737" s="306"/>
      <c r="R737" s="306"/>
      <c r="S737" s="306"/>
      <c r="T737" s="306"/>
      <c r="U737" s="306"/>
      <c r="V737" s="305"/>
      <c r="W737" s="306"/>
      <c r="X737" s="306"/>
      <c r="Y737" s="306"/>
      <c r="Z737" s="307"/>
      <c r="AA737" s="306"/>
      <c r="AB737" s="306"/>
      <c r="AC737" s="306"/>
    </row>
    <row r="738">
      <c r="A738" s="306"/>
      <c r="B738" s="306"/>
      <c r="C738" s="306"/>
      <c r="D738" s="305"/>
      <c r="E738" s="306"/>
      <c r="F738" s="306"/>
      <c r="G738" s="306"/>
      <c r="H738" s="306"/>
      <c r="I738" s="306"/>
      <c r="J738" s="306"/>
      <c r="K738" s="307"/>
      <c r="L738" s="306"/>
      <c r="M738" s="306"/>
      <c r="N738" s="306"/>
      <c r="O738" s="306"/>
      <c r="P738" s="306"/>
      <c r="Q738" s="306"/>
      <c r="R738" s="306"/>
      <c r="S738" s="306"/>
      <c r="T738" s="306"/>
      <c r="U738" s="306"/>
      <c r="V738" s="305"/>
      <c r="W738" s="306"/>
      <c r="X738" s="306"/>
      <c r="Y738" s="306"/>
      <c r="Z738" s="307"/>
      <c r="AA738" s="306"/>
      <c r="AB738" s="306"/>
      <c r="AC738" s="306"/>
    </row>
    <row r="739">
      <c r="A739" s="306"/>
      <c r="B739" s="306"/>
      <c r="C739" s="306"/>
      <c r="D739" s="305"/>
      <c r="E739" s="306"/>
      <c r="F739" s="306"/>
      <c r="G739" s="306"/>
      <c r="H739" s="306"/>
      <c r="I739" s="306"/>
      <c r="J739" s="306"/>
      <c r="K739" s="307"/>
      <c r="L739" s="306"/>
      <c r="M739" s="306"/>
      <c r="N739" s="306"/>
      <c r="O739" s="306"/>
      <c r="P739" s="306"/>
      <c r="Q739" s="306"/>
      <c r="R739" s="306"/>
      <c r="S739" s="306"/>
      <c r="T739" s="306"/>
      <c r="U739" s="306"/>
      <c r="V739" s="305"/>
      <c r="W739" s="306"/>
      <c r="X739" s="306"/>
      <c r="Y739" s="306"/>
      <c r="Z739" s="307"/>
      <c r="AA739" s="306"/>
      <c r="AB739" s="306"/>
      <c r="AC739" s="306"/>
    </row>
    <row r="740">
      <c r="A740" s="306"/>
      <c r="B740" s="306"/>
      <c r="C740" s="306"/>
      <c r="D740" s="305"/>
      <c r="E740" s="306"/>
      <c r="F740" s="306"/>
      <c r="G740" s="306"/>
      <c r="H740" s="306"/>
      <c r="I740" s="306"/>
      <c r="J740" s="306"/>
      <c r="K740" s="307"/>
      <c r="L740" s="306"/>
      <c r="M740" s="306"/>
      <c r="N740" s="306"/>
      <c r="O740" s="306"/>
      <c r="P740" s="306"/>
      <c r="Q740" s="306"/>
      <c r="R740" s="306"/>
      <c r="S740" s="306"/>
      <c r="T740" s="306"/>
      <c r="U740" s="306"/>
      <c r="V740" s="305"/>
      <c r="W740" s="306"/>
      <c r="X740" s="306"/>
      <c r="Y740" s="306"/>
      <c r="Z740" s="307"/>
      <c r="AA740" s="306"/>
      <c r="AB740" s="306"/>
      <c r="AC740" s="306"/>
    </row>
    <row r="741">
      <c r="A741" s="306"/>
      <c r="B741" s="306"/>
      <c r="C741" s="306"/>
      <c r="D741" s="305"/>
      <c r="E741" s="306"/>
      <c r="F741" s="306"/>
      <c r="G741" s="306"/>
      <c r="H741" s="306"/>
      <c r="I741" s="306"/>
      <c r="J741" s="306"/>
      <c r="K741" s="307"/>
      <c r="L741" s="306"/>
      <c r="M741" s="306"/>
      <c r="N741" s="306"/>
      <c r="O741" s="306"/>
      <c r="P741" s="306"/>
      <c r="Q741" s="306"/>
      <c r="R741" s="306"/>
      <c r="S741" s="306"/>
      <c r="T741" s="306"/>
      <c r="U741" s="306"/>
      <c r="V741" s="305"/>
      <c r="W741" s="306"/>
      <c r="X741" s="306"/>
      <c r="Y741" s="306"/>
      <c r="Z741" s="307"/>
      <c r="AA741" s="306"/>
      <c r="AB741" s="306"/>
      <c r="AC741" s="306"/>
    </row>
    <row r="742">
      <c r="A742" s="306"/>
      <c r="B742" s="306"/>
      <c r="C742" s="306"/>
      <c r="D742" s="305"/>
      <c r="E742" s="306"/>
      <c r="F742" s="306"/>
      <c r="G742" s="306"/>
      <c r="H742" s="306"/>
      <c r="I742" s="306"/>
      <c r="J742" s="306"/>
      <c r="K742" s="307"/>
      <c r="L742" s="306"/>
      <c r="M742" s="306"/>
      <c r="N742" s="306"/>
      <c r="O742" s="306"/>
      <c r="P742" s="306"/>
      <c r="Q742" s="306"/>
      <c r="R742" s="306"/>
      <c r="S742" s="306"/>
      <c r="T742" s="306"/>
      <c r="U742" s="306"/>
      <c r="V742" s="305"/>
      <c r="W742" s="306"/>
      <c r="X742" s="306"/>
      <c r="Y742" s="306"/>
      <c r="Z742" s="307"/>
      <c r="AA742" s="306"/>
      <c r="AB742" s="306"/>
      <c r="AC742" s="306"/>
    </row>
    <row r="743">
      <c r="A743" s="306"/>
      <c r="B743" s="306"/>
      <c r="C743" s="306"/>
      <c r="D743" s="305"/>
      <c r="E743" s="306"/>
      <c r="F743" s="306"/>
      <c r="G743" s="306"/>
      <c r="H743" s="306"/>
      <c r="I743" s="306"/>
      <c r="J743" s="306"/>
      <c r="K743" s="307"/>
      <c r="L743" s="306"/>
      <c r="M743" s="306"/>
      <c r="N743" s="306"/>
      <c r="O743" s="306"/>
      <c r="P743" s="306"/>
      <c r="Q743" s="306"/>
      <c r="R743" s="306"/>
      <c r="S743" s="306"/>
      <c r="T743" s="306"/>
      <c r="U743" s="306"/>
      <c r="V743" s="305"/>
      <c r="W743" s="306"/>
      <c r="X743" s="306"/>
      <c r="Y743" s="306"/>
      <c r="Z743" s="307"/>
      <c r="AA743" s="306"/>
      <c r="AB743" s="306"/>
      <c r="AC743" s="306"/>
    </row>
    <row r="744">
      <c r="A744" s="306"/>
      <c r="B744" s="306"/>
      <c r="C744" s="306"/>
      <c r="D744" s="305"/>
      <c r="E744" s="306"/>
      <c r="F744" s="306"/>
      <c r="G744" s="306"/>
      <c r="H744" s="306"/>
      <c r="I744" s="306"/>
      <c r="J744" s="306"/>
      <c r="K744" s="307"/>
      <c r="L744" s="306"/>
      <c r="M744" s="306"/>
      <c r="N744" s="306"/>
      <c r="O744" s="306"/>
      <c r="P744" s="306"/>
      <c r="Q744" s="306"/>
      <c r="R744" s="306"/>
      <c r="S744" s="306"/>
      <c r="T744" s="306"/>
      <c r="U744" s="306"/>
      <c r="V744" s="305"/>
      <c r="W744" s="306"/>
      <c r="X744" s="306"/>
      <c r="Y744" s="306"/>
      <c r="Z744" s="307"/>
      <c r="AA744" s="306"/>
      <c r="AB744" s="306"/>
      <c r="AC744" s="306"/>
    </row>
    <row r="745">
      <c r="A745" s="306"/>
      <c r="B745" s="306"/>
      <c r="C745" s="306"/>
      <c r="D745" s="305"/>
      <c r="E745" s="306"/>
      <c r="F745" s="306"/>
      <c r="G745" s="306"/>
      <c r="H745" s="306"/>
      <c r="I745" s="306"/>
      <c r="J745" s="306"/>
      <c r="K745" s="307"/>
      <c r="L745" s="306"/>
      <c r="M745" s="306"/>
      <c r="N745" s="306"/>
      <c r="O745" s="306"/>
      <c r="P745" s="306"/>
      <c r="Q745" s="306"/>
      <c r="R745" s="306"/>
      <c r="S745" s="306"/>
      <c r="T745" s="306"/>
      <c r="U745" s="306"/>
      <c r="V745" s="305"/>
      <c r="W745" s="306"/>
      <c r="X745" s="306"/>
      <c r="Y745" s="306"/>
      <c r="Z745" s="307"/>
      <c r="AA745" s="306"/>
      <c r="AB745" s="306"/>
      <c r="AC745" s="306"/>
    </row>
    <row r="746">
      <c r="A746" s="306"/>
      <c r="B746" s="306"/>
      <c r="C746" s="306"/>
      <c r="D746" s="305"/>
      <c r="E746" s="306"/>
      <c r="F746" s="306"/>
      <c r="G746" s="306"/>
      <c r="H746" s="306"/>
      <c r="I746" s="306"/>
      <c r="J746" s="306"/>
      <c r="K746" s="307"/>
      <c r="L746" s="306"/>
      <c r="M746" s="306"/>
      <c r="N746" s="306"/>
      <c r="O746" s="306"/>
      <c r="P746" s="306"/>
      <c r="Q746" s="306"/>
      <c r="R746" s="306"/>
      <c r="S746" s="306"/>
      <c r="T746" s="306"/>
      <c r="U746" s="306"/>
      <c r="V746" s="305"/>
      <c r="W746" s="306"/>
      <c r="X746" s="306"/>
      <c r="Y746" s="306"/>
      <c r="Z746" s="307"/>
      <c r="AA746" s="306"/>
      <c r="AB746" s="306"/>
      <c r="AC746" s="306"/>
    </row>
    <row r="747">
      <c r="A747" s="306"/>
      <c r="B747" s="306"/>
      <c r="C747" s="306"/>
      <c r="D747" s="305"/>
      <c r="E747" s="306"/>
      <c r="F747" s="306"/>
      <c r="G747" s="306"/>
      <c r="H747" s="306"/>
      <c r="I747" s="306"/>
      <c r="J747" s="306"/>
      <c r="K747" s="307"/>
      <c r="L747" s="306"/>
      <c r="M747" s="306"/>
      <c r="N747" s="306"/>
      <c r="O747" s="306"/>
      <c r="P747" s="306"/>
      <c r="Q747" s="306"/>
      <c r="R747" s="306"/>
      <c r="S747" s="306"/>
      <c r="T747" s="306"/>
      <c r="U747" s="306"/>
      <c r="V747" s="305"/>
      <c r="W747" s="306"/>
      <c r="X747" s="306"/>
      <c r="Y747" s="306"/>
      <c r="Z747" s="307"/>
      <c r="AA747" s="306"/>
      <c r="AB747" s="306"/>
      <c r="AC747" s="306"/>
    </row>
    <row r="748">
      <c r="A748" s="306"/>
      <c r="B748" s="306"/>
      <c r="C748" s="306"/>
      <c r="D748" s="305"/>
      <c r="E748" s="306"/>
      <c r="F748" s="306"/>
      <c r="G748" s="306"/>
      <c r="H748" s="306"/>
      <c r="I748" s="306"/>
      <c r="J748" s="306"/>
      <c r="K748" s="307"/>
      <c r="L748" s="306"/>
      <c r="M748" s="306"/>
      <c r="N748" s="306"/>
      <c r="O748" s="306"/>
      <c r="P748" s="306"/>
      <c r="Q748" s="306"/>
      <c r="R748" s="306"/>
      <c r="S748" s="306"/>
      <c r="T748" s="306"/>
      <c r="U748" s="306"/>
      <c r="V748" s="305"/>
      <c r="W748" s="306"/>
      <c r="X748" s="306"/>
      <c r="Y748" s="306"/>
      <c r="Z748" s="307"/>
      <c r="AA748" s="306"/>
      <c r="AB748" s="306"/>
      <c r="AC748" s="306"/>
    </row>
    <row r="749">
      <c r="A749" s="306"/>
      <c r="B749" s="306"/>
      <c r="C749" s="306"/>
      <c r="D749" s="305"/>
      <c r="E749" s="306"/>
      <c r="F749" s="306"/>
      <c r="G749" s="306"/>
      <c r="H749" s="306"/>
      <c r="I749" s="306"/>
      <c r="J749" s="306"/>
      <c r="K749" s="307"/>
      <c r="L749" s="306"/>
      <c r="M749" s="306"/>
      <c r="N749" s="306"/>
      <c r="O749" s="306"/>
      <c r="P749" s="306"/>
      <c r="Q749" s="306"/>
      <c r="R749" s="306"/>
      <c r="S749" s="306"/>
      <c r="T749" s="306"/>
      <c r="U749" s="306"/>
      <c r="V749" s="305"/>
      <c r="W749" s="306"/>
      <c r="X749" s="306"/>
      <c r="Y749" s="306"/>
      <c r="Z749" s="307"/>
      <c r="AA749" s="306"/>
      <c r="AB749" s="306"/>
      <c r="AC749" s="306"/>
    </row>
    <row r="750">
      <c r="A750" s="306"/>
      <c r="B750" s="306"/>
      <c r="C750" s="306"/>
      <c r="D750" s="305"/>
      <c r="E750" s="306"/>
      <c r="F750" s="306"/>
      <c r="G750" s="306"/>
      <c r="H750" s="306"/>
      <c r="I750" s="306"/>
      <c r="J750" s="306"/>
      <c r="K750" s="307"/>
      <c r="L750" s="306"/>
      <c r="M750" s="306"/>
      <c r="N750" s="306"/>
      <c r="O750" s="306"/>
      <c r="P750" s="306"/>
      <c r="Q750" s="306"/>
      <c r="R750" s="306"/>
      <c r="S750" s="306"/>
      <c r="T750" s="306"/>
      <c r="U750" s="306"/>
      <c r="V750" s="305"/>
      <c r="W750" s="306"/>
      <c r="X750" s="306"/>
      <c r="Y750" s="306"/>
      <c r="Z750" s="307"/>
      <c r="AA750" s="306"/>
      <c r="AB750" s="306"/>
      <c r="AC750" s="306"/>
    </row>
    <row r="751">
      <c r="A751" s="306"/>
      <c r="B751" s="306"/>
      <c r="C751" s="306"/>
      <c r="D751" s="305"/>
      <c r="E751" s="306"/>
      <c r="F751" s="306"/>
      <c r="G751" s="306"/>
      <c r="H751" s="306"/>
      <c r="I751" s="306"/>
      <c r="J751" s="306"/>
      <c r="K751" s="307"/>
      <c r="L751" s="306"/>
      <c r="M751" s="306"/>
      <c r="N751" s="306"/>
      <c r="O751" s="306"/>
      <c r="P751" s="306"/>
      <c r="Q751" s="306"/>
      <c r="R751" s="306"/>
      <c r="S751" s="306"/>
      <c r="T751" s="306"/>
      <c r="U751" s="306"/>
      <c r="V751" s="305"/>
      <c r="W751" s="306"/>
      <c r="X751" s="306"/>
      <c r="Y751" s="306"/>
      <c r="Z751" s="307"/>
      <c r="AA751" s="306"/>
      <c r="AB751" s="306"/>
      <c r="AC751" s="306"/>
    </row>
    <row r="752">
      <c r="A752" s="306"/>
      <c r="B752" s="306"/>
      <c r="C752" s="306"/>
      <c r="D752" s="305"/>
      <c r="E752" s="306"/>
      <c r="F752" s="306"/>
      <c r="G752" s="306"/>
      <c r="H752" s="306"/>
      <c r="I752" s="306"/>
      <c r="J752" s="306"/>
      <c r="K752" s="307"/>
      <c r="L752" s="306"/>
      <c r="M752" s="306"/>
      <c r="N752" s="306"/>
      <c r="O752" s="306"/>
      <c r="P752" s="306"/>
      <c r="Q752" s="306"/>
      <c r="R752" s="306"/>
      <c r="S752" s="306"/>
      <c r="T752" s="306"/>
      <c r="U752" s="306"/>
      <c r="V752" s="305"/>
      <c r="W752" s="306"/>
      <c r="X752" s="306"/>
      <c r="Y752" s="306"/>
      <c r="Z752" s="307"/>
      <c r="AA752" s="306"/>
      <c r="AB752" s="306"/>
      <c r="AC752" s="306"/>
    </row>
    <row r="753">
      <c r="A753" s="306"/>
      <c r="B753" s="306"/>
      <c r="C753" s="306"/>
      <c r="D753" s="305"/>
      <c r="E753" s="306"/>
      <c r="F753" s="306"/>
      <c r="G753" s="306"/>
      <c r="H753" s="306"/>
      <c r="I753" s="306"/>
      <c r="J753" s="306"/>
      <c r="K753" s="307"/>
      <c r="L753" s="306"/>
      <c r="M753" s="306"/>
      <c r="N753" s="306"/>
      <c r="O753" s="306"/>
      <c r="P753" s="306"/>
      <c r="Q753" s="306"/>
      <c r="R753" s="306"/>
      <c r="S753" s="306"/>
      <c r="T753" s="306"/>
      <c r="U753" s="306"/>
      <c r="V753" s="305"/>
      <c r="W753" s="306"/>
      <c r="X753" s="306"/>
      <c r="Y753" s="306"/>
      <c r="Z753" s="307"/>
      <c r="AA753" s="306"/>
      <c r="AB753" s="306"/>
      <c r="AC753" s="306"/>
    </row>
    <row r="754">
      <c r="A754" s="306"/>
      <c r="B754" s="306"/>
      <c r="C754" s="306"/>
      <c r="D754" s="305"/>
      <c r="E754" s="306"/>
      <c r="F754" s="306"/>
      <c r="G754" s="306"/>
      <c r="H754" s="306"/>
      <c r="I754" s="306"/>
      <c r="J754" s="306"/>
      <c r="K754" s="307"/>
      <c r="L754" s="306"/>
      <c r="M754" s="306"/>
      <c r="N754" s="306"/>
      <c r="O754" s="306"/>
      <c r="P754" s="306"/>
      <c r="Q754" s="306"/>
      <c r="R754" s="306"/>
      <c r="S754" s="306"/>
      <c r="T754" s="306"/>
      <c r="U754" s="306"/>
      <c r="V754" s="305"/>
      <c r="W754" s="306"/>
      <c r="X754" s="306"/>
      <c r="Y754" s="306"/>
      <c r="Z754" s="307"/>
      <c r="AA754" s="306"/>
      <c r="AB754" s="306"/>
      <c r="AC754" s="306"/>
    </row>
    <row r="755">
      <c r="A755" s="306"/>
      <c r="B755" s="306"/>
      <c r="C755" s="306"/>
      <c r="D755" s="305"/>
      <c r="E755" s="306"/>
      <c r="F755" s="306"/>
      <c r="G755" s="306"/>
      <c r="H755" s="306"/>
      <c r="I755" s="306"/>
      <c r="J755" s="306"/>
      <c r="K755" s="307"/>
      <c r="L755" s="306"/>
      <c r="M755" s="306"/>
      <c r="N755" s="306"/>
      <c r="O755" s="306"/>
      <c r="P755" s="306"/>
      <c r="Q755" s="306"/>
      <c r="R755" s="306"/>
      <c r="S755" s="306"/>
      <c r="T755" s="306"/>
      <c r="U755" s="306"/>
      <c r="V755" s="305"/>
      <c r="W755" s="306"/>
      <c r="X755" s="306"/>
      <c r="Y755" s="306"/>
      <c r="Z755" s="307"/>
      <c r="AA755" s="306"/>
      <c r="AB755" s="306"/>
      <c r="AC755" s="306"/>
    </row>
    <row r="756">
      <c r="A756" s="306"/>
      <c r="B756" s="306"/>
      <c r="C756" s="306"/>
      <c r="D756" s="305"/>
      <c r="E756" s="306"/>
      <c r="F756" s="306"/>
      <c r="G756" s="306"/>
      <c r="H756" s="306"/>
      <c r="I756" s="306"/>
      <c r="J756" s="306"/>
      <c r="K756" s="307"/>
      <c r="L756" s="306"/>
      <c r="M756" s="306"/>
      <c r="N756" s="306"/>
      <c r="O756" s="306"/>
      <c r="P756" s="306"/>
      <c r="Q756" s="306"/>
      <c r="R756" s="306"/>
      <c r="S756" s="306"/>
      <c r="T756" s="306"/>
      <c r="U756" s="306"/>
      <c r="V756" s="305"/>
      <c r="W756" s="306"/>
      <c r="X756" s="306"/>
      <c r="Y756" s="306"/>
      <c r="Z756" s="307"/>
      <c r="AA756" s="306"/>
      <c r="AB756" s="306"/>
      <c r="AC756" s="306"/>
    </row>
    <row r="757">
      <c r="A757" s="306"/>
      <c r="B757" s="306"/>
      <c r="C757" s="306"/>
      <c r="D757" s="305"/>
      <c r="E757" s="306"/>
      <c r="F757" s="306"/>
      <c r="G757" s="306"/>
      <c r="H757" s="306"/>
      <c r="I757" s="306"/>
      <c r="J757" s="306"/>
      <c r="K757" s="307"/>
      <c r="L757" s="306"/>
      <c r="M757" s="306"/>
      <c r="N757" s="306"/>
      <c r="O757" s="306"/>
      <c r="P757" s="306"/>
      <c r="Q757" s="306"/>
      <c r="R757" s="306"/>
      <c r="S757" s="306"/>
      <c r="T757" s="306"/>
      <c r="U757" s="306"/>
      <c r="V757" s="305"/>
      <c r="W757" s="306"/>
      <c r="X757" s="306"/>
      <c r="Y757" s="306"/>
      <c r="Z757" s="307"/>
      <c r="AA757" s="306"/>
      <c r="AB757" s="306"/>
      <c r="AC757" s="306"/>
    </row>
    <row r="758">
      <c r="A758" s="306"/>
      <c r="B758" s="306"/>
      <c r="C758" s="306"/>
      <c r="D758" s="305"/>
      <c r="E758" s="306"/>
      <c r="F758" s="306"/>
      <c r="G758" s="306"/>
      <c r="H758" s="306"/>
      <c r="I758" s="306"/>
      <c r="J758" s="306"/>
      <c r="K758" s="307"/>
      <c r="L758" s="306"/>
      <c r="M758" s="306"/>
      <c r="N758" s="306"/>
      <c r="O758" s="306"/>
      <c r="P758" s="306"/>
      <c r="Q758" s="306"/>
      <c r="R758" s="306"/>
      <c r="S758" s="306"/>
      <c r="T758" s="306"/>
      <c r="U758" s="306"/>
      <c r="V758" s="305"/>
      <c r="W758" s="306"/>
      <c r="X758" s="306"/>
      <c r="Y758" s="306"/>
      <c r="Z758" s="307"/>
      <c r="AA758" s="306"/>
      <c r="AB758" s="306"/>
      <c r="AC758" s="306"/>
    </row>
    <row r="759">
      <c r="A759" s="306"/>
      <c r="B759" s="306"/>
      <c r="C759" s="306"/>
      <c r="D759" s="305"/>
      <c r="E759" s="306"/>
      <c r="F759" s="306"/>
      <c r="G759" s="306"/>
      <c r="H759" s="306"/>
      <c r="I759" s="306"/>
      <c r="J759" s="306"/>
      <c r="K759" s="307"/>
      <c r="L759" s="306"/>
      <c r="M759" s="306"/>
      <c r="N759" s="306"/>
      <c r="O759" s="306"/>
      <c r="P759" s="306"/>
      <c r="Q759" s="306"/>
      <c r="R759" s="306"/>
      <c r="S759" s="306"/>
      <c r="T759" s="306"/>
      <c r="U759" s="306"/>
      <c r="V759" s="305"/>
      <c r="W759" s="306"/>
      <c r="X759" s="306"/>
      <c r="Y759" s="306"/>
      <c r="Z759" s="307"/>
      <c r="AA759" s="306"/>
      <c r="AB759" s="306"/>
      <c r="AC759" s="306"/>
    </row>
    <row r="760">
      <c r="A760" s="306"/>
      <c r="B760" s="306"/>
      <c r="C760" s="306"/>
      <c r="D760" s="305"/>
      <c r="E760" s="306"/>
      <c r="F760" s="306"/>
      <c r="G760" s="306"/>
      <c r="H760" s="306"/>
      <c r="I760" s="306"/>
      <c r="J760" s="306"/>
      <c r="K760" s="307"/>
      <c r="L760" s="306"/>
      <c r="M760" s="306"/>
      <c r="N760" s="306"/>
      <c r="O760" s="306"/>
      <c r="P760" s="306"/>
      <c r="Q760" s="306"/>
      <c r="R760" s="306"/>
      <c r="S760" s="306"/>
      <c r="T760" s="306"/>
      <c r="U760" s="306"/>
      <c r="V760" s="305"/>
      <c r="W760" s="306"/>
      <c r="X760" s="306"/>
      <c r="Y760" s="306"/>
      <c r="Z760" s="307"/>
      <c r="AA760" s="306"/>
      <c r="AB760" s="306"/>
      <c r="AC760" s="306"/>
    </row>
    <row r="761">
      <c r="A761" s="306"/>
      <c r="B761" s="306"/>
      <c r="C761" s="306"/>
      <c r="D761" s="305"/>
      <c r="E761" s="306"/>
      <c r="F761" s="306"/>
      <c r="G761" s="306"/>
      <c r="H761" s="306"/>
      <c r="I761" s="306"/>
      <c r="J761" s="306"/>
      <c r="K761" s="307"/>
      <c r="L761" s="306"/>
      <c r="M761" s="306"/>
      <c r="N761" s="306"/>
      <c r="O761" s="306"/>
      <c r="P761" s="306"/>
      <c r="Q761" s="306"/>
      <c r="R761" s="306"/>
      <c r="S761" s="306"/>
      <c r="T761" s="306"/>
      <c r="U761" s="306"/>
      <c r="V761" s="305"/>
      <c r="W761" s="306"/>
      <c r="X761" s="306"/>
      <c r="Y761" s="306"/>
      <c r="Z761" s="307"/>
      <c r="AA761" s="306"/>
      <c r="AB761" s="306"/>
      <c r="AC761" s="306"/>
    </row>
    <row r="762">
      <c r="A762" s="306"/>
      <c r="B762" s="306"/>
      <c r="C762" s="306"/>
      <c r="D762" s="305"/>
      <c r="E762" s="306"/>
      <c r="F762" s="306"/>
      <c r="G762" s="306"/>
      <c r="H762" s="306"/>
      <c r="I762" s="306"/>
      <c r="J762" s="306"/>
      <c r="K762" s="307"/>
      <c r="L762" s="306"/>
      <c r="M762" s="306"/>
      <c r="N762" s="306"/>
      <c r="O762" s="306"/>
      <c r="P762" s="306"/>
      <c r="Q762" s="306"/>
      <c r="R762" s="306"/>
      <c r="S762" s="306"/>
      <c r="T762" s="306"/>
      <c r="U762" s="306"/>
      <c r="V762" s="305"/>
      <c r="W762" s="306"/>
      <c r="X762" s="306"/>
      <c r="Y762" s="306"/>
      <c r="Z762" s="307"/>
      <c r="AA762" s="306"/>
      <c r="AB762" s="306"/>
      <c r="AC762" s="306"/>
    </row>
    <row r="763">
      <c r="A763" s="306"/>
      <c r="B763" s="306"/>
      <c r="C763" s="306"/>
      <c r="D763" s="305"/>
      <c r="E763" s="306"/>
      <c r="F763" s="306"/>
      <c r="G763" s="306"/>
      <c r="H763" s="306"/>
      <c r="I763" s="306"/>
      <c r="J763" s="306"/>
      <c r="K763" s="307"/>
      <c r="L763" s="306"/>
      <c r="M763" s="306"/>
      <c r="N763" s="306"/>
      <c r="O763" s="306"/>
      <c r="P763" s="306"/>
      <c r="Q763" s="306"/>
      <c r="R763" s="306"/>
      <c r="S763" s="306"/>
      <c r="T763" s="306"/>
      <c r="U763" s="306"/>
      <c r="V763" s="305"/>
      <c r="W763" s="306"/>
      <c r="X763" s="306"/>
      <c r="Y763" s="306"/>
      <c r="Z763" s="307"/>
      <c r="AA763" s="306"/>
      <c r="AB763" s="306"/>
      <c r="AC763" s="306"/>
    </row>
    <row r="764">
      <c r="A764" s="306"/>
      <c r="B764" s="306"/>
      <c r="C764" s="306"/>
      <c r="D764" s="305"/>
      <c r="E764" s="306"/>
      <c r="F764" s="306"/>
      <c r="G764" s="306"/>
      <c r="H764" s="306"/>
      <c r="I764" s="306"/>
      <c r="J764" s="306"/>
      <c r="K764" s="307"/>
      <c r="L764" s="306"/>
      <c r="M764" s="306"/>
      <c r="N764" s="306"/>
      <c r="O764" s="306"/>
      <c r="P764" s="306"/>
      <c r="Q764" s="306"/>
      <c r="R764" s="306"/>
      <c r="S764" s="306"/>
      <c r="T764" s="306"/>
      <c r="U764" s="306"/>
      <c r="V764" s="305"/>
      <c r="W764" s="306"/>
      <c r="X764" s="306"/>
      <c r="Y764" s="306"/>
      <c r="Z764" s="307"/>
      <c r="AA764" s="306"/>
      <c r="AB764" s="306"/>
      <c r="AC764" s="306"/>
    </row>
    <row r="765">
      <c r="A765" s="306"/>
      <c r="B765" s="306"/>
      <c r="C765" s="306"/>
      <c r="D765" s="305"/>
      <c r="E765" s="306"/>
      <c r="F765" s="306"/>
      <c r="G765" s="306"/>
      <c r="H765" s="306"/>
      <c r="I765" s="306"/>
      <c r="J765" s="306"/>
      <c r="K765" s="307"/>
      <c r="L765" s="306"/>
      <c r="M765" s="306"/>
      <c r="N765" s="306"/>
      <c r="O765" s="306"/>
      <c r="P765" s="306"/>
      <c r="Q765" s="306"/>
      <c r="R765" s="306"/>
      <c r="S765" s="306"/>
      <c r="T765" s="306"/>
      <c r="U765" s="306"/>
      <c r="V765" s="305"/>
      <c r="W765" s="306"/>
      <c r="X765" s="306"/>
      <c r="Y765" s="306"/>
      <c r="Z765" s="307"/>
      <c r="AA765" s="306"/>
      <c r="AB765" s="306"/>
      <c r="AC765" s="306"/>
    </row>
    <row r="766">
      <c r="A766" s="306"/>
      <c r="B766" s="306"/>
      <c r="C766" s="306"/>
      <c r="D766" s="305"/>
      <c r="E766" s="306"/>
      <c r="F766" s="306"/>
      <c r="G766" s="306"/>
      <c r="H766" s="306"/>
      <c r="I766" s="306"/>
      <c r="J766" s="306"/>
      <c r="K766" s="307"/>
      <c r="L766" s="306"/>
      <c r="M766" s="306"/>
      <c r="N766" s="306"/>
      <c r="O766" s="306"/>
      <c r="P766" s="306"/>
      <c r="Q766" s="306"/>
      <c r="R766" s="306"/>
      <c r="S766" s="306"/>
      <c r="T766" s="306"/>
      <c r="U766" s="306"/>
      <c r="V766" s="305"/>
      <c r="W766" s="306"/>
      <c r="X766" s="306"/>
      <c r="Y766" s="306"/>
      <c r="Z766" s="307"/>
      <c r="AA766" s="306"/>
      <c r="AB766" s="306"/>
      <c r="AC766" s="306"/>
    </row>
    <row r="767">
      <c r="A767" s="306"/>
      <c r="B767" s="306"/>
      <c r="C767" s="306"/>
      <c r="D767" s="305"/>
      <c r="E767" s="306"/>
      <c r="F767" s="306"/>
      <c r="G767" s="306"/>
      <c r="H767" s="306"/>
      <c r="I767" s="306"/>
      <c r="J767" s="306"/>
      <c r="K767" s="307"/>
      <c r="L767" s="306"/>
      <c r="M767" s="306"/>
      <c r="N767" s="306"/>
      <c r="O767" s="306"/>
      <c r="P767" s="306"/>
      <c r="Q767" s="306"/>
      <c r="R767" s="306"/>
      <c r="S767" s="306"/>
      <c r="T767" s="306"/>
      <c r="U767" s="306"/>
      <c r="V767" s="305"/>
      <c r="W767" s="306"/>
      <c r="X767" s="306"/>
      <c r="Y767" s="306"/>
      <c r="Z767" s="307"/>
      <c r="AA767" s="306"/>
      <c r="AB767" s="306"/>
      <c r="AC767" s="306"/>
    </row>
    <row r="768">
      <c r="A768" s="306"/>
      <c r="B768" s="306"/>
      <c r="C768" s="306"/>
      <c r="D768" s="305"/>
      <c r="E768" s="306"/>
      <c r="F768" s="306"/>
      <c r="G768" s="306"/>
      <c r="H768" s="306"/>
      <c r="I768" s="306"/>
      <c r="J768" s="306"/>
      <c r="K768" s="307"/>
      <c r="L768" s="306"/>
      <c r="M768" s="306"/>
      <c r="N768" s="306"/>
      <c r="O768" s="306"/>
      <c r="P768" s="306"/>
      <c r="Q768" s="306"/>
      <c r="R768" s="306"/>
      <c r="S768" s="306"/>
      <c r="T768" s="306"/>
      <c r="U768" s="306"/>
      <c r="V768" s="305"/>
      <c r="W768" s="306"/>
      <c r="X768" s="306"/>
      <c r="Y768" s="306"/>
      <c r="Z768" s="307"/>
      <c r="AA768" s="306"/>
      <c r="AB768" s="306"/>
      <c r="AC768" s="306"/>
    </row>
    <row r="769">
      <c r="A769" s="306"/>
      <c r="B769" s="306"/>
      <c r="C769" s="306"/>
      <c r="D769" s="305"/>
      <c r="E769" s="306"/>
      <c r="F769" s="306"/>
      <c r="G769" s="306"/>
      <c r="H769" s="306"/>
      <c r="I769" s="306"/>
      <c r="J769" s="306"/>
      <c r="K769" s="307"/>
      <c r="L769" s="306"/>
      <c r="M769" s="306"/>
      <c r="N769" s="306"/>
      <c r="O769" s="306"/>
      <c r="P769" s="306"/>
      <c r="Q769" s="306"/>
      <c r="R769" s="306"/>
      <c r="S769" s="306"/>
      <c r="T769" s="306"/>
      <c r="U769" s="306"/>
      <c r="V769" s="305"/>
      <c r="W769" s="306"/>
      <c r="X769" s="306"/>
      <c r="Y769" s="306"/>
      <c r="Z769" s="307"/>
      <c r="AA769" s="306"/>
      <c r="AB769" s="306"/>
      <c r="AC769" s="306"/>
    </row>
    <row r="770">
      <c r="A770" s="306"/>
      <c r="B770" s="306"/>
      <c r="C770" s="306"/>
      <c r="D770" s="305"/>
      <c r="E770" s="306"/>
      <c r="F770" s="306"/>
      <c r="G770" s="306"/>
      <c r="H770" s="306"/>
      <c r="I770" s="306"/>
      <c r="J770" s="306"/>
      <c r="K770" s="307"/>
      <c r="L770" s="306"/>
      <c r="M770" s="306"/>
      <c r="N770" s="306"/>
      <c r="O770" s="306"/>
      <c r="P770" s="306"/>
      <c r="Q770" s="306"/>
      <c r="R770" s="306"/>
      <c r="S770" s="306"/>
      <c r="T770" s="306"/>
      <c r="U770" s="306"/>
      <c r="V770" s="305"/>
      <c r="W770" s="306"/>
      <c r="X770" s="306"/>
      <c r="Y770" s="306"/>
      <c r="Z770" s="307"/>
      <c r="AA770" s="306"/>
      <c r="AB770" s="306"/>
      <c r="AC770" s="306"/>
    </row>
    <row r="771">
      <c r="A771" s="306"/>
      <c r="B771" s="306"/>
      <c r="C771" s="306"/>
      <c r="D771" s="305"/>
      <c r="E771" s="306"/>
      <c r="F771" s="306"/>
      <c r="G771" s="306"/>
      <c r="H771" s="306"/>
      <c r="I771" s="306"/>
      <c r="J771" s="306"/>
      <c r="K771" s="307"/>
      <c r="L771" s="306"/>
      <c r="M771" s="306"/>
      <c r="N771" s="306"/>
      <c r="O771" s="306"/>
      <c r="P771" s="306"/>
      <c r="Q771" s="306"/>
      <c r="R771" s="306"/>
      <c r="S771" s="306"/>
      <c r="T771" s="306"/>
      <c r="U771" s="306"/>
      <c r="V771" s="305"/>
      <c r="W771" s="306"/>
      <c r="X771" s="306"/>
      <c r="Y771" s="306"/>
      <c r="Z771" s="307"/>
      <c r="AA771" s="306"/>
      <c r="AB771" s="306"/>
      <c r="AC771" s="306"/>
    </row>
    <row r="772">
      <c r="A772" s="306"/>
      <c r="B772" s="306"/>
      <c r="C772" s="306"/>
      <c r="D772" s="305"/>
      <c r="E772" s="306"/>
      <c r="F772" s="306"/>
      <c r="G772" s="306"/>
      <c r="H772" s="306"/>
      <c r="I772" s="306"/>
      <c r="J772" s="306"/>
      <c r="K772" s="307"/>
      <c r="L772" s="306"/>
      <c r="M772" s="306"/>
      <c r="N772" s="306"/>
      <c r="O772" s="306"/>
      <c r="P772" s="306"/>
      <c r="Q772" s="306"/>
      <c r="R772" s="306"/>
      <c r="S772" s="306"/>
      <c r="T772" s="306"/>
      <c r="U772" s="306"/>
      <c r="V772" s="305"/>
      <c r="W772" s="306"/>
      <c r="X772" s="306"/>
      <c r="Y772" s="306"/>
      <c r="Z772" s="307"/>
      <c r="AA772" s="306"/>
      <c r="AB772" s="306"/>
      <c r="AC772" s="306"/>
    </row>
    <row r="773">
      <c r="A773" s="306"/>
      <c r="B773" s="306"/>
      <c r="C773" s="306"/>
      <c r="D773" s="305"/>
      <c r="E773" s="306"/>
      <c r="F773" s="306"/>
      <c r="G773" s="306"/>
      <c r="H773" s="306"/>
      <c r="I773" s="306"/>
      <c r="J773" s="306"/>
      <c r="K773" s="307"/>
      <c r="L773" s="306"/>
      <c r="M773" s="306"/>
      <c r="N773" s="306"/>
      <c r="O773" s="306"/>
      <c r="P773" s="306"/>
      <c r="Q773" s="306"/>
      <c r="R773" s="306"/>
      <c r="S773" s="306"/>
      <c r="T773" s="306"/>
      <c r="U773" s="306"/>
      <c r="V773" s="305"/>
      <c r="W773" s="306"/>
      <c r="X773" s="306"/>
      <c r="Y773" s="306"/>
      <c r="Z773" s="307"/>
      <c r="AA773" s="306"/>
      <c r="AB773" s="306"/>
      <c r="AC773" s="306"/>
    </row>
    <row r="774">
      <c r="A774" s="306"/>
      <c r="B774" s="306"/>
      <c r="C774" s="306"/>
      <c r="D774" s="305"/>
      <c r="E774" s="306"/>
      <c r="F774" s="306"/>
      <c r="G774" s="306"/>
      <c r="H774" s="306"/>
      <c r="I774" s="306"/>
      <c r="J774" s="306"/>
      <c r="K774" s="307"/>
      <c r="L774" s="306"/>
      <c r="M774" s="306"/>
      <c r="N774" s="306"/>
      <c r="O774" s="306"/>
      <c r="P774" s="306"/>
      <c r="Q774" s="306"/>
      <c r="R774" s="306"/>
      <c r="S774" s="306"/>
      <c r="T774" s="306"/>
      <c r="U774" s="306"/>
      <c r="V774" s="305"/>
      <c r="W774" s="306"/>
      <c r="X774" s="306"/>
      <c r="Y774" s="306"/>
      <c r="Z774" s="307"/>
      <c r="AA774" s="306"/>
      <c r="AB774" s="306"/>
      <c r="AC774" s="306"/>
    </row>
    <row r="775">
      <c r="A775" s="306"/>
      <c r="B775" s="306"/>
      <c r="C775" s="306"/>
      <c r="D775" s="305"/>
      <c r="E775" s="306"/>
      <c r="F775" s="306"/>
      <c r="G775" s="306"/>
      <c r="H775" s="306"/>
      <c r="I775" s="306"/>
      <c r="J775" s="306"/>
      <c r="K775" s="307"/>
      <c r="L775" s="306"/>
      <c r="M775" s="306"/>
      <c r="N775" s="306"/>
      <c r="O775" s="306"/>
      <c r="P775" s="306"/>
      <c r="Q775" s="306"/>
      <c r="R775" s="306"/>
      <c r="S775" s="306"/>
      <c r="T775" s="306"/>
      <c r="U775" s="306"/>
      <c r="V775" s="305"/>
      <c r="W775" s="306"/>
      <c r="X775" s="306"/>
      <c r="Y775" s="306"/>
      <c r="Z775" s="307"/>
      <c r="AA775" s="306"/>
      <c r="AB775" s="306"/>
      <c r="AC775" s="306"/>
    </row>
    <row r="776">
      <c r="A776" s="306"/>
      <c r="B776" s="306"/>
      <c r="C776" s="306"/>
      <c r="D776" s="305"/>
      <c r="E776" s="306"/>
      <c r="F776" s="306"/>
      <c r="G776" s="306"/>
      <c r="H776" s="306"/>
      <c r="I776" s="306"/>
      <c r="J776" s="306"/>
      <c r="K776" s="307"/>
      <c r="L776" s="306"/>
      <c r="M776" s="306"/>
      <c r="N776" s="306"/>
      <c r="O776" s="306"/>
      <c r="P776" s="306"/>
      <c r="Q776" s="306"/>
      <c r="R776" s="306"/>
      <c r="S776" s="306"/>
      <c r="T776" s="306"/>
      <c r="U776" s="306"/>
      <c r="V776" s="305"/>
      <c r="W776" s="306"/>
      <c r="X776" s="306"/>
      <c r="Y776" s="306"/>
      <c r="Z776" s="307"/>
      <c r="AA776" s="306"/>
      <c r="AB776" s="306"/>
      <c r="AC776" s="306"/>
    </row>
    <row r="777">
      <c r="A777" s="306"/>
      <c r="B777" s="306"/>
      <c r="C777" s="306"/>
      <c r="D777" s="305"/>
      <c r="E777" s="306"/>
      <c r="F777" s="306"/>
      <c r="G777" s="306"/>
      <c r="H777" s="306"/>
      <c r="I777" s="306"/>
      <c r="J777" s="306"/>
      <c r="K777" s="307"/>
      <c r="L777" s="306"/>
      <c r="M777" s="306"/>
      <c r="N777" s="306"/>
      <c r="O777" s="306"/>
      <c r="P777" s="306"/>
      <c r="Q777" s="306"/>
      <c r="R777" s="306"/>
      <c r="S777" s="306"/>
      <c r="T777" s="306"/>
      <c r="U777" s="306"/>
      <c r="V777" s="305"/>
      <c r="W777" s="306"/>
      <c r="X777" s="306"/>
      <c r="Y777" s="306"/>
      <c r="Z777" s="307"/>
      <c r="AA777" s="306"/>
      <c r="AB777" s="306"/>
      <c r="AC777" s="306"/>
    </row>
    <row r="778">
      <c r="A778" s="306"/>
      <c r="B778" s="306"/>
      <c r="C778" s="306"/>
      <c r="D778" s="305"/>
      <c r="E778" s="306"/>
      <c r="F778" s="306"/>
      <c r="G778" s="306"/>
      <c r="H778" s="306"/>
      <c r="I778" s="306"/>
      <c r="J778" s="306"/>
      <c r="K778" s="307"/>
      <c r="L778" s="306"/>
      <c r="M778" s="306"/>
      <c r="N778" s="306"/>
      <c r="O778" s="306"/>
      <c r="P778" s="306"/>
      <c r="Q778" s="306"/>
      <c r="R778" s="306"/>
      <c r="S778" s="306"/>
      <c r="T778" s="306"/>
      <c r="U778" s="306"/>
      <c r="V778" s="305"/>
      <c r="W778" s="306"/>
      <c r="X778" s="306"/>
      <c r="Y778" s="306"/>
      <c r="Z778" s="307"/>
      <c r="AA778" s="306"/>
      <c r="AB778" s="306"/>
      <c r="AC778" s="306"/>
    </row>
    <row r="779">
      <c r="A779" s="306"/>
      <c r="B779" s="306"/>
      <c r="C779" s="306"/>
      <c r="D779" s="305"/>
      <c r="E779" s="306"/>
      <c r="F779" s="306"/>
      <c r="G779" s="306"/>
      <c r="H779" s="306"/>
      <c r="I779" s="306"/>
      <c r="J779" s="306"/>
      <c r="K779" s="307"/>
      <c r="L779" s="306"/>
      <c r="M779" s="306"/>
      <c r="N779" s="306"/>
      <c r="O779" s="306"/>
      <c r="P779" s="306"/>
      <c r="Q779" s="306"/>
      <c r="R779" s="306"/>
      <c r="S779" s="306"/>
      <c r="T779" s="306"/>
      <c r="U779" s="306"/>
      <c r="V779" s="305"/>
      <c r="W779" s="306"/>
      <c r="X779" s="306"/>
      <c r="Y779" s="306"/>
      <c r="Z779" s="307"/>
      <c r="AA779" s="306"/>
      <c r="AB779" s="306"/>
      <c r="AC779" s="306"/>
    </row>
    <row r="780">
      <c r="A780" s="306"/>
      <c r="B780" s="306"/>
      <c r="C780" s="306"/>
      <c r="D780" s="305"/>
      <c r="E780" s="306"/>
      <c r="F780" s="306"/>
      <c r="G780" s="306"/>
      <c r="H780" s="306"/>
      <c r="I780" s="306"/>
      <c r="J780" s="306"/>
      <c r="K780" s="307"/>
      <c r="L780" s="306"/>
      <c r="M780" s="306"/>
      <c r="N780" s="306"/>
      <c r="O780" s="306"/>
      <c r="P780" s="306"/>
      <c r="Q780" s="306"/>
      <c r="R780" s="306"/>
      <c r="S780" s="306"/>
      <c r="T780" s="306"/>
      <c r="U780" s="306"/>
      <c r="V780" s="305"/>
      <c r="W780" s="306"/>
      <c r="X780" s="306"/>
      <c r="Y780" s="306"/>
      <c r="Z780" s="307"/>
      <c r="AA780" s="306"/>
      <c r="AB780" s="306"/>
      <c r="AC780" s="306"/>
    </row>
    <row r="781">
      <c r="A781" s="306"/>
      <c r="B781" s="306"/>
      <c r="C781" s="306"/>
      <c r="D781" s="305"/>
      <c r="E781" s="306"/>
      <c r="F781" s="306"/>
      <c r="G781" s="306"/>
      <c r="H781" s="306"/>
      <c r="I781" s="306"/>
      <c r="J781" s="306"/>
      <c r="K781" s="307"/>
      <c r="L781" s="306"/>
      <c r="M781" s="306"/>
      <c r="N781" s="306"/>
      <c r="O781" s="306"/>
      <c r="P781" s="306"/>
      <c r="Q781" s="306"/>
      <c r="R781" s="306"/>
      <c r="S781" s="306"/>
      <c r="T781" s="306"/>
      <c r="U781" s="306"/>
      <c r="V781" s="305"/>
      <c r="W781" s="306"/>
      <c r="X781" s="306"/>
      <c r="Y781" s="306"/>
      <c r="Z781" s="307"/>
      <c r="AA781" s="306"/>
      <c r="AB781" s="306"/>
      <c r="AC781" s="306"/>
    </row>
    <row r="782">
      <c r="A782" s="306"/>
      <c r="B782" s="306"/>
      <c r="C782" s="306"/>
      <c r="D782" s="305"/>
      <c r="E782" s="306"/>
      <c r="F782" s="306"/>
      <c r="G782" s="306"/>
      <c r="H782" s="306"/>
      <c r="I782" s="306"/>
      <c r="J782" s="306"/>
      <c r="K782" s="307"/>
      <c r="L782" s="306"/>
      <c r="M782" s="306"/>
      <c r="N782" s="306"/>
      <c r="O782" s="306"/>
      <c r="P782" s="306"/>
      <c r="Q782" s="306"/>
      <c r="R782" s="306"/>
      <c r="S782" s="306"/>
      <c r="T782" s="306"/>
      <c r="U782" s="306"/>
      <c r="V782" s="305"/>
      <c r="W782" s="306"/>
      <c r="X782" s="306"/>
      <c r="Y782" s="306"/>
      <c r="Z782" s="307"/>
      <c r="AA782" s="306"/>
      <c r="AB782" s="306"/>
      <c r="AC782" s="306"/>
    </row>
    <row r="783">
      <c r="A783" s="306"/>
      <c r="B783" s="306"/>
      <c r="C783" s="306"/>
      <c r="D783" s="305"/>
      <c r="E783" s="306"/>
      <c r="F783" s="306"/>
      <c r="G783" s="306"/>
      <c r="H783" s="306"/>
      <c r="I783" s="306"/>
      <c r="J783" s="306"/>
      <c r="K783" s="307"/>
      <c r="L783" s="306"/>
      <c r="M783" s="306"/>
      <c r="N783" s="306"/>
      <c r="O783" s="306"/>
      <c r="P783" s="306"/>
      <c r="Q783" s="306"/>
      <c r="R783" s="306"/>
      <c r="S783" s="306"/>
      <c r="T783" s="306"/>
      <c r="U783" s="306"/>
      <c r="V783" s="305"/>
      <c r="W783" s="306"/>
      <c r="X783" s="306"/>
      <c r="Y783" s="306"/>
      <c r="Z783" s="307"/>
      <c r="AA783" s="306"/>
      <c r="AB783" s="306"/>
      <c r="AC783" s="306"/>
    </row>
    <row r="784">
      <c r="A784" s="306"/>
      <c r="B784" s="306"/>
      <c r="C784" s="306"/>
      <c r="D784" s="305"/>
      <c r="E784" s="306"/>
      <c r="F784" s="306"/>
      <c r="G784" s="306"/>
      <c r="H784" s="306"/>
      <c r="I784" s="306"/>
      <c r="J784" s="306"/>
      <c r="K784" s="307"/>
      <c r="L784" s="306"/>
      <c r="M784" s="306"/>
      <c r="N784" s="306"/>
      <c r="O784" s="306"/>
      <c r="P784" s="306"/>
      <c r="Q784" s="306"/>
      <c r="R784" s="306"/>
      <c r="S784" s="306"/>
      <c r="T784" s="306"/>
      <c r="U784" s="306"/>
      <c r="V784" s="305"/>
      <c r="W784" s="306"/>
      <c r="X784" s="306"/>
      <c r="Y784" s="306"/>
      <c r="Z784" s="307"/>
      <c r="AA784" s="306"/>
      <c r="AB784" s="306"/>
      <c r="AC784" s="306"/>
    </row>
    <row r="785">
      <c r="A785" s="306"/>
      <c r="B785" s="306"/>
      <c r="C785" s="306"/>
      <c r="D785" s="305"/>
      <c r="E785" s="306"/>
      <c r="F785" s="306"/>
      <c r="G785" s="306"/>
      <c r="H785" s="306"/>
      <c r="I785" s="306"/>
      <c r="J785" s="306"/>
      <c r="K785" s="307"/>
      <c r="L785" s="306"/>
      <c r="M785" s="306"/>
      <c r="N785" s="306"/>
      <c r="O785" s="306"/>
      <c r="P785" s="306"/>
      <c r="Q785" s="306"/>
      <c r="R785" s="306"/>
      <c r="S785" s="306"/>
      <c r="T785" s="306"/>
      <c r="U785" s="306"/>
      <c r="V785" s="305"/>
      <c r="W785" s="306"/>
      <c r="X785" s="306"/>
      <c r="Y785" s="306"/>
      <c r="Z785" s="307"/>
      <c r="AA785" s="306"/>
      <c r="AB785" s="306"/>
      <c r="AC785" s="306"/>
    </row>
    <row r="786">
      <c r="A786" s="306"/>
      <c r="B786" s="306"/>
      <c r="C786" s="306"/>
      <c r="D786" s="305"/>
      <c r="E786" s="306"/>
      <c r="F786" s="306"/>
      <c r="G786" s="306"/>
      <c r="H786" s="306"/>
      <c r="I786" s="306"/>
      <c r="J786" s="306"/>
      <c r="K786" s="307"/>
      <c r="L786" s="306"/>
      <c r="M786" s="306"/>
      <c r="N786" s="306"/>
      <c r="O786" s="306"/>
      <c r="P786" s="306"/>
      <c r="Q786" s="306"/>
      <c r="R786" s="306"/>
      <c r="S786" s="306"/>
      <c r="T786" s="306"/>
      <c r="U786" s="306"/>
      <c r="V786" s="305"/>
      <c r="W786" s="306"/>
      <c r="X786" s="306"/>
      <c r="Y786" s="306"/>
      <c r="Z786" s="307"/>
      <c r="AA786" s="306"/>
      <c r="AB786" s="306"/>
      <c r="AC786" s="306"/>
    </row>
    <row r="787">
      <c r="A787" s="306"/>
      <c r="B787" s="306"/>
      <c r="C787" s="306"/>
      <c r="D787" s="305"/>
      <c r="E787" s="306"/>
      <c r="F787" s="306"/>
      <c r="G787" s="306"/>
      <c r="H787" s="306"/>
      <c r="I787" s="306"/>
      <c r="J787" s="306"/>
      <c r="K787" s="307"/>
      <c r="L787" s="306"/>
      <c r="M787" s="306"/>
      <c r="N787" s="306"/>
      <c r="O787" s="306"/>
      <c r="P787" s="306"/>
      <c r="Q787" s="306"/>
      <c r="R787" s="306"/>
      <c r="S787" s="306"/>
      <c r="T787" s="306"/>
      <c r="U787" s="306"/>
      <c r="V787" s="305"/>
      <c r="W787" s="306"/>
      <c r="X787" s="306"/>
      <c r="Y787" s="306"/>
      <c r="Z787" s="307"/>
      <c r="AA787" s="306"/>
      <c r="AB787" s="306"/>
      <c r="AC787" s="306"/>
    </row>
    <row r="788">
      <c r="A788" s="306"/>
      <c r="B788" s="306"/>
      <c r="C788" s="306"/>
      <c r="D788" s="305"/>
      <c r="E788" s="306"/>
      <c r="F788" s="306"/>
      <c r="G788" s="306"/>
      <c r="H788" s="306"/>
      <c r="I788" s="306"/>
      <c r="J788" s="306"/>
      <c r="K788" s="307"/>
      <c r="L788" s="306"/>
      <c r="M788" s="306"/>
      <c r="N788" s="306"/>
      <c r="O788" s="306"/>
      <c r="P788" s="306"/>
      <c r="Q788" s="306"/>
      <c r="R788" s="306"/>
      <c r="S788" s="306"/>
      <c r="T788" s="306"/>
      <c r="U788" s="306"/>
      <c r="V788" s="305"/>
      <c r="W788" s="306"/>
      <c r="X788" s="306"/>
      <c r="Y788" s="306"/>
      <c r="Z788" s="307"/>
      <c r="AA788" s="306"/>
      <c r="AB788" s="306"/>
      <c r="AC788" s="306"/>
    </row>
    <row r="789">
      <c r="A789" s="306"/>
      <c r="B789" s="306"/>
      <c r="C789" s="306"/>
      <c r="D789" s="305"/>
      <c r="E789" s="306"/>
      <c r="F789" s="306"/>
      <c r="G789" s="306"/>
      <c r="H789" s="306"/>
      <c r="I789" s="306"/>
      <c r="J789" s="306"/>
      <c r="K789" s="307"/>
      <c r="L789" s="306"/>
      <c r="M789" s="306"/>
      <c r="N789" s="306"/>
      <c r="O789" s="306"/>
      <c r="P789" s="306"/>
      <c r="Q789" s="306"/>
      <c r="R789" s="306"/>
      <c r="S789" s="306"/>
      <c r="T789" s="306"/>
      <c r="U789" s="306"/>
      <c r="V789" s="305"/>
      <c r="W789" s="306"/>
      <c r="X789" s="306"/>
      <c r="Y789" s="306"/>
      <c r="Z789" s="307"/>
      <c r="AA789" s="306"/>
      <c r="AB789" s="306"/>
      <c r="AC789" s="306"/>
    </row>
    <row r="790">
      <c r="A790" s="306"/>
      <c r="B790" s="306"/>
      <c r="C790" s="306"/>
      <c r="D790" s="305"/>
      <c r="E790" s="306"/>
      <c r="F790" s="306"/>
      <c r="G790" s="306"/>
      <c r="H790" s="306"/>
      <c r="I790" s="306"/>
      <c r="J790" s="306"/>
      <c r="K790" s="307"/>
      <c r="L790" s="306"/>
      <c r="M790" s="306"/>
      <c r="N790" s="306"/>
      <c r="O790" s="306"/>
      <c r="P790" s="306"/>
      <c r="Q790" s="306"/>
      <c r="R790" s="306"/>
      <c r="S790" s="306"/>
      <c r="T790" s="306"/>
      <c r="U790" s="306"/>
      <c r="V790" s="305"/>
      <c r="W790" s="306"/>
      <c r="X790" s="306"/>
      <c r="Y790" s="306"/>
      <c r="Z790" s="307"/>
      <c r="AA790" s="306"/>
      <c r="AB790" s="306"/>
      <c r="AC790" s="306"/>
    </row>
    <row r="791">
      <c r="A791" s="306"/>
      <c r="B791" s="306"/>
      <c r="C791" s="306"/>
      <c r="D791" s="305"/>
      <c r="E791" s="306"/>
      <c r="F791" s="306"/>
      <c r="G791" s="306"/>
      <c r="H791" s="306"/>
      <c r="I791" s="306"/>
      <c r="J791" s="306"/>
      <c r="K791" s="307"/>
      <c r="L791" s="306"/>
      <c r="M791" s="306"/>
      <c r="N791" s="306"/>
      <c r="O791" s="306"/>
      <c r="P791" s="306"/>
      <c r="Q791" s="306"/>
      <c r="R791" s="306"/>
      <c r="S791" s="306"/>
      <c r="T791" s="306"/>
      <c r="U791" s="306"/>
      <c r="V791" s="305"/>
      <c r="W791" s="306"/>
      <c r="X791" s="306"/>
      <c r="Y791" s="306"/>
      <c r="Z791" s="307"/>
      <c r="AA791" s="306"/>
      <c r="AB791" s="306"/>
      <c r="AC791" s="306"/>
    </row>
    <row r="792">
      <c r="A792" s="306"/>
      <c r="B792" s="306"/>
      <c r="C792" s="306"/>
      <c r="D792" s="305"/>
      <c r="E792" s="306"/>
      <c r="F792" s="306"/>
      <c r="G792" s="306"/>
      <c r="H792" s="306"/>
      <c r="I792" s="306"/>
      <c r="J792" s="306"/>
      <c r="K792" s="307"/>
      <c r="L792" s="306"/>
      <c r="M792" s="306"/>
      <c r="N792" s="306"/>
      <c r="O792" s="306"/>
      <c r="P792" s="306"/>
      <c r="Q792" s="306"/>
      <c r="R792" s="306"/>
      <c r="S792" s="306"/>
      <c r="T792" s="306"/>
      <c r="U792" s="306"/>
      <c r="V792" s="305"/>
      <c r="W792" s="306"/>
      <c r="X792" s="306"/>
      <c r="Y792" s="306"/>
      <c r="Z792" s="307"/>
      <c r="AA792" s="306"/>
      <c r="AB792" s="306"/>
      <c r="AC792" s="306"/>
    </row>
    <row r="793">
      <c r="A793" s="306"/>
      <c r="B793" s="306"/>
      <c r="C793" s="306"/>
      <c r="D793" s="305"/>
      <c r="E793" s="306"/>
      <c r="F793" s="306"/>
      <c r="G793" s="306"/>
      <c r="H793" s="306"/>
      <c r="I793" s="306"/>
      <c r="J793" s="306"/>
      <c r="K793" s="307"/>
      <c r="L793" s="306"/>
      <c r="M793" s="306"/>
      <c r="N793" s="306"/>
      <c r="O793" s="306"/>
      <c r="P793" s="306"/>
      <c r="Q793" s="306"/>
      <c r="R793" s="306"/>
      <c r="S793" s="306"/>
      <c r="T793" s="306"/>
      <c r="U793" s="306"/>
      <c r="V793" s="305"/>
      <c r="W793" s="306"/>
      <c r="X793" s="306"/>
      <c r="Y793" s="306"/>
      <c r="Z793" s="307"/>
      <c r="AA793" s="306"/>
      <c r="AB793" s="306"/>
      <c r="AC793" s="306"/>
    </row>
    <row r="794">
      <c r="A794" s="306"/>
      <c r="B794" s="306"/>
      <c r="C794" s="306"/>
      <c r="D794" s="305"/>
      <c r="E794" s="306"/>
      <c r="F794" s="306"/>
      <c r="G794" s="306"/>
      <c r="H794" s="306"/>
      <c r="I794" s="306"/>
      <c r="J794" s="306"/>
      <c r="K794" s="307"/>
      <c r="L794" s="306"/>
      <c r="M794" s="306"/>
      <c r="N794" s="306"/>
      <c r="O794" s="306"/>
      <c r="P794" s="306"/>
      <c r="Q794" s="306"/>
      <c r="R794" s="306"/>
      <c r="S794" s="306"/>
      <c r="T794" s="306"/>
      <c r="U794" s="306"/>
      <c r="V794" s="305"/>
      <c r="W794" s="306"/>
      <c r="X794" s="306"/>
      <c r="Y794" s="306"/>
      <c r="Z794" s="307"/>
      <c r="AA794" s="306"/>
      <c r="AB794" s="306"/>
      <c r="AC794" s="306"/>
    </row>
    <row r="795">
      <c r="A795" s="306"/>
      <c r="B795" s="306"/>
      <c r="C795" s="306"/>
      <c r="D795" s="305"/>
      <c r="E795" s="306"/>
      <c r="F795" s="306"/>
      <c r="G795" s="306"/>
      <c r="H795" s="306"/>
      <c r="I795" s="306"/>
      <c r="J795" s="306"/>
      <c r="K795" s="307"/>
      <c r="L795" s="306"/>
      <c r="M795" s="306"/>
      <c r="N795" s="306"/>
      <c r="O795" s="306"/>
      <c r="P795" s="306"/>
      <c r="Q795" s="306"/>
      <c r="R795" s="306"/>
      <c r="S795" s="306"/>
      <c r="T795" s="306"/>
      <c r="U795" s="306"/>
      <c r="V795" s="305"/>
      <c r="W795" s="306"/>
      <c r="X795" s="306"/>
      <c r="Y795" s="306"/>
      <c r="Z795" s="307"/>
      <c r="AA795" s="306"/>
      <c r="AB795" s="306"/>
      <c r="AC795" s="306"/>
    </row>
    <row r="796">
      <c r="A796" s="306"/>
      <c r="B796" s="306"/>
      <c r="C796" s="306"/>
      <c r="D796" s="305"/>
      <c r="E796" s="306"/>
      <c r="F796" s="306"/>
      <c r="G796" s="306"/>
      <c r="H796" s="306"/>
      <c r="I796" s="306"/>
      <c r="J796" s="306"/>
      <c r="K796" s="307"/>
      <c r="L796" s="306"/>
      <c r="M796" s="306"/>
      <c r="N796" s="306"/>
      <c r="O796" s="306"/>
      <c r="P796" s="306"/>
      <c r="Q796" s="306"/>
      <c r="R796" s="306"/>
      <c r="S796" s="306"/>
      <c r="T796" s="306"/>
      <c r="U796" s="306"/>
      <c r="V796" s="305"/>
      <c r="W796" s="306"/>
      <c r="X796" s="306"/>
      <c r="Y796" s="306"/>
      <c r="Z796" s="307"/>
      <c r="AA796" s="306"/>
      <c r="AB796" s="306"/>
      <c r="AC796" s="306"/>
    </row>
    <row r="797">
      <c r="A797" s="306"/>
      <c r="B797" s="306"/>
      <c r="C797" s="306"/>
      <c r="D797" s="305"/>
      <c r="E797" s="306"/>
      <c r="F797" s="306"/>
      <c r="G797" s="306"/>
      <c r="H797" s="306"/>
      <c r="I797" s="306"/>
      <c r="J797" s="306"/>
      <c r="K797" s="307"/>
      <c r="L797" s="306"/>
      <c r="M797" s="306"/>
      <c r="N797" s="306"/>
      <c r="O797" s="306"/>
      <c r="P797" s="306"/>
      <c r="Q797" s="306"/>
      <c r="R797" s="306"/>
      <c r="S797" s="306"/>
      <c r="T797" s="306"/>
      <c r="U797" s="306"/>
      <c r="V797" s="305"/>
      <c r="W797" s="306"/>
      <c r="X797" s="306"/>
      <c r="Y797" s="306"/>
      <c r="Z797" s="307"/>
      <c r="AA797" s="306"/>
      <c r="AB797" s="306"/>
      <c r="AC797" s="306"/>
    </row>
    <row r="798">
      <c r="A798" s="306"/>
      <c r="B798" s="306"/>
      <c r="C798" s="306"/>
      <c r="D798" s="305"/>
      <c r="E798" s="306"/>
      <c r="F798" s="306"/>
      <c r="G798" s="306"/>
      <c r="H798" s="306"/>
      <c r="I798" s="306"/>
      <c r="J798" s="306"/>
      <c r="K798" s="307"/>
      <c r="L798" s="306"/>
      <c r="M798" s="306"/>
      <c r="N798" s="306"/>
      <c r="O798" s="306"/>
      <c r="P798" s="306"/>
      <c r="Q798" s="306"/>
      <c r="R798" s="306"/>
      <c r="S798" s="306"/>
      <c r="T798" s="306"/>
      <c r="U798" s="306"/>
      <c r="V798" s="305"/>
      <c r="W798" s="306"/>
      <c r="X798" s="306"/>
      <c r="Y798" s="306"/>
      <c r="Z798" s="307"/>
      <c r="AA798" s="306"/>
      <c r="AB798" s="306"/>
      <c r="AC798" s="306"/>
    </row>
    <row r="799">
      <c r="A799" s="306"/>
      <c r="B799" s="306"/>
      <c r="C799" s="306"/>
      <c r="D799" s="305"/>
      <c r="E799" s="306"/>
      <c r="F799" s="306"/>
      <c r="G799" s="306"/>
      <c r="H799" s="306"/>
      <c r="I799" s="306"/>
      <c r="J799" s="306"/>
      <c r="K799" s="307"/>
      <c r="L799" s="306"/>
      <c r="M799" s="306"/>
      <c r="N799" s="306"/>
      <c r="O799" s="306"/>
      <c r="P799" s="306"/>
      <c r="Q799" s="306"/>
      <c r="R799" s="306"/>
      <c r="S799" s="306"/>
      <c r="T799" s="306"/>
      <c r="U799" s="306"/>
      <c r="V799" s="305"/>
      <c r="W799" s="306"/>
      <c r="X799" s="306"/>
      <c r="Y799" s="306"/>
      <c r="Z799" s="307"/>
      <c r="AA799" s="306"/>
      <c r="AB799" s="306"/>
      <c r="AC799" s="306"/>
    </row>
    <row r="800">
      <c r="A800" s="306"/>
      <c r="B800" s="306"/>
      <c r="C800" s="306"/>
      <c r="D800" s="305"/>
      <c r="E800" s="306"/>
      <c r="F800" s="306"/>
      <c r="G800" s="306"/>
      <c r="H800" s="306"/>
      <c r="I800" s="306"/>
      <c r="J800" s="306"/>
      <c r="K800" s="307"/>
      <c r="L800" s="306"/>
      <c r="M800" s="306"/>
      <c r="N800" s="306"/>
      <c r="O800" s="306"/>
      <c r="P800" s="306"/>
      <c r="Q800" s="306"/>
      <c r="R800" s="306"/>
      <c r="S800" s="306"/>
      <c r="T800" s="306"/>
      <c r="U800" s="306"/>
      <c r="V800" s="305"/>
      <c r="W800" s="306"/>
      <c r="X800" s="306"/>
      <c r="Y800" s="306"/>
      <c r="Z800" s="307"/>
      <c r="AA800" s="306"/>
      <c r="AB800" s="306"/>
      <c r="AC800" s="306"/>
    </row>
    <row r="801">
      <c r="A801" s="306"/>
      <c r="B801" s="306"/>
      <c r="C801" s="306"/>
      <c r="D801" s="305"/>
      <c r="E801" s="306"/>
      <c r="F801" s="306"/>
      <c r="G801" s="306"/>
      <c r="H801" s="306"/>
      <c r="I801" s="306"/>
      <c r="J801" s="306"/>
      <c r="K801" s="307"/>
      <c r="L801" s="306"/>
      <c r="M801" s="306"/>
      <c r="N801" s="306"/>
      <c r="O801" s="306"/>
      <c r="P801" s="306"/>
      <c r="Q801" s="306"/>
      <c r="R801" s="306"/>
      <c r="S801" s="306"/>
      <c r="T801" s="306"/>
      <c r="U801" s="306"/>
      <c r="V801" s="305"/>
      <c r="W801" s="306"/>
      <c r="X801" s="306"/>
      <c r="Y801" s="306"/>
      <c r="Z801" s="307"/>
      <c r="AA801" s="306"/>
      <c r="AB801" s="306"/>
      <c r="AC801" s="306"/>
    </row>
    <row r="802">
      <c r="A802" s="306"/>
      <c r="B802" s="306"/>
      <c r="C802" s="306"/>
      <c r="D802" s="305"/>
      <c r="E802" s="306"/>
      <c r="F802" s="306"/>
      <c r="G802" s="306"/>
      <c r="H802" s="306"/>
      <c r="I802" s="306"/>
      <c r="J802" s="306"/>
      <c r="K802" s="307"/>
      <c r="L802" s="306"/>
      <c r="M802" s="306"/>
      <c r="N802" s="306"/>
      <c r="O802" s="306"/>
      <c r="P802" s="306"/>
      <c r="Q802" s="306"/>
      <c r="R802" s="306"/>
      <c r="S802" s="306"/>
      <c r="T802" s="306"/>
      <c r="U802" s="306"/>
      <c r="V802" s="305"/>
      <c r="W802" s="306"/>
      <c r="X802" s="306"/>
      <c r="Y802" s="306"/>
      <c r="Z802" s="307"/>
      <c r="AA802" s="306"/>
      <c r="AB802" s="306"/>
      <c r="AC802" s="306"/>
    </row>
    <row r="803">
      <c r="A803" s="306"/>
      <c r="B803" s="306"/>
      <c r="C803" s="306"/>
      <c r="D803" s="305"/>
      <c r="E803" s="306"/>
      <c r="F803" s="306"/>
      <c r="G803" s="306"/>
      <c r="H803" s="306"/>
      <c r="I803" s="306"/>
      <c r="J803" s="306"/>
      <c r="K803" s="307"/>
      <c r="L803" s="306"/>
      <c r="M803" s="306"/>
      <c r="N803" s="306"/>
      <c r="O803" s="306"/>
      <c r="P803" s="306"/>
      <c r="Q803" s="306"/>
      <c r="R803" s="306"/>
      <c r="S803" s="306"/>
      <c r="T803" s="306"/>
      <c r="U803" s="306"/>
      <c r="V803" s="305"/>
      <c r="W803" s="306"/>
      <c r="X803" s="306"/>
      <c r="Y803" s="306"/>
      <c r="Z803" s="307"/>
      <c r="AA803" s="306"/>
      <c r="AB803" s="306"/>
      <c r="AC803" s="306"/>
    </row>
    <row r="804">
      <c r="A804" s="306"/>
      <c r="B804" s="306"/>
      <c r="C804" s="306"/>
      <c r="D804" s="305"/>
      <c r="E804" s="306"/>
      <c r="F804" s="306"/>
      <c r="G804" s="306"/>
      <c r="H804" s="306"/>
      <c r="I804" s="306"/>
      <c r="J804" s="306"/>
      <c r="K804" s="307"/>
      <c r="L804" s="306"/>
      <c r="M804" s="306"/>
      <c r="N804" s="306"/>
      <c r="O804" s="306"/>
      <c r="P804" s="306"/>
      <c r="Q804" s="306"/>
      <c r="R804" s="306"/>
      <c r="S804" s="306"/>
      <c r="T804" s="306"/>
      <c r="U804" s="306"/>
      <c r="V804" s="305"/>
      <c r="W804" s="306"/>
      <c r="X804" s="306"/>
      <c r="Y804" s="306"/>
      <c r="Z804" s="307"/>
      <c r="AA804" s="306"/>
      <c r="AB804" s="306"/>
      <c r="AC804" s="306"/>
    </row>
    <row r="805">
      <c r="A805" s="306"/>
      <c r="B805" s="306"/>
      <c r="C805" s="306"/>
      <c r="D805" s="305"/>
      <c r="E805" s="306"/>
      <c r="F805" s="306"/>
      <c r="G805" s="306"/>
      <c r="H805" s="306"/>
      <c r="I805" s="306"/>
      <c r="J805" s="306"/>
      <c r="K805" s="307"/>
      <c r="L805" s="306"/>
      <c r="M805" s="306"/>
      <c r="N805" s="306"/>
      <c r="O805" s="306"/>
      <c r="P805" s="306"/>
      <c r="Q805" s="306"/>
      <c r="R805" s="306"/>
      <c r="S805" s="306"/>
      <c r="T805" s="306"/>
      <c r="U805" s="306"/>
      <c r="V805" s="305"/>
      <c r="W805" s="306"/>
      <c r="X805" s="306"/>
      <c r="Y805" s="306"/>
      <c r="Z805" s="307"/>
      <c r="AA805" s="306"/>
      <c r="AB805" s="306"/>
      <c r="AC805" s="306"/>
    </row>
    <row r="806">
      <c r="A806" s="306"/>
      <c r="B806" s="306"/>
      <c r="C806" s="306"/>
      <c r="D806" s="305"/>
      <c r="E806" s="306"/>
      <c r="F806" s="306"/>
      <c r="G806" s="306"/>
      <c r="H806" s="306"/>
      <c r="I806" s="306"/>
      <c r="J806" s="306"/>
      <c r="K806" s="307"/>
      <c r="L806" s="306"/>
      <c r="M806" s="306"/>
      <c r="N806" s="306"/>
      <c r="O806" s="306"/>
      <c r="P806" s="306"/>
      <c r="Q806" s="306"/>
      <c r="R806" s="306"/>
      <c r="S806" s="306"/>
      <c r="T806" s="306"/>
      <c r="U806" s="306"/>
      <c r="V806" s="305"/>
      <c r="W806" s="306"/>
      <c r="X806" s="306"/>
      <c r="Y806" s="306"/>
      <c r="Z806" s="307"/>
      <c r="AA806" s="306"/>
      <c r="AB806" s="306"/>
      <c r="AC806" s="306"/>
    </row>
    <row r="807">
      <c r="A807" s="306"/>
      <c r="B807" s="306"/>
      <c r="C807" s="306"/>
      <c r="D807" s="305"/>
      <c r="E807" s="306"/>
      <c r="F807" s="306"/>
      <c r="G807" s="306"/>
      <c r="H807" s="306"/>
      <c r="I807" s="306"/>
      <c r="J807" s="306"/>
      <c r="K807" s="307"/>
      <c r="L807" s="306"/>
      <c r="M807" s="306"/>
      <c r="N807" s="306"/>
      <c r="O807" s="306"/>
      <c r="P807" s="306"/>
      <c r="Q807" s="306"/>
      <c r="R807" s="306"/>
      <c r="S807" s="306"/>
      <c r="T807" s="306"/>
      <c r="U807" s="306"/>
      <c r="V807" s="305"/>
      <c r="W807" s="306"/>
      <c r="X807" s="306"/>
      <c r="Y807" s="306"/>
      <c r="Z807" s="307"/>
      <c r="AA807" s="306"/>
      <c r="AB807" s="306"/>
      <c r="AC807" s="306"/>
    </row>
    <row r="808">
      <c r="A808" s="306"/>
      <c r="B808" s="306"/>
      <c r="C808" s="306"/>
      <c r="D808" s="305"/>
      <c r="E808" s="306"/>
      <c r="F808" s="306"/>
      <c r="G808" s="306"/>
      <c r="H808" s="306"/>
      <c r="I808" s="306"/>
      <c r="J808" s="306"/>
      <c r="K808" s="307"/>
      <c r="L808" s="306"/>
      <c r="M808" s="306"/>
      <c r="N808" s="306"/>
      <c r="O808" s="306"/>
      <c r="P808" s="306"/>
      <c r="Q808" s="306"/>
      <c r="R808" s="306"/>
      <c r="S808" s="306"/>
      <c r="T808" s="306"/>
      <c r="U808" s="306"/>
      <c r="V808" s="305"/>
      <c r="W808" s="306"/>
      <c r="X808" s="306"/>
      <c r="Y808" s="306"/>
      <c r="Z808" s="307"/>
      <c r="AA808" s="306"/>
      <c r="AB808" s="306"/>
      <c r="AC808" s="306"/>
    </row>
    <row r="809">
      <c r="A809" s="306"/>
      <c r="B809" s="306"/>
      <c r="C809" s="306"/>
      <c r="D809" s="305"/>
      <c r="E809" s="306"/>
      <c r="F809" s="306"/>
      <c r="G809" s="306"/>
      <c r="H809" s="306"/>
      <c r="I809" s="306"/>
      <c r="J809" s="306"/>
      <c r="K809" s="307"/>
      <c r="L809" s="306"/>
      <c r="M809" s="306"/>
      <c r="N809" s="306"/>
      <c r="O809" s="306"/>
      <c r="P809" s="306"/>
      <c r="Q809" s="306"/>
      <c r="R809" s="306"/>
      <c r="S809" s="306"/>
      <c r="T809" s="306"/>
      <c r="U809" s="306"/>
      <c r="V809" s="305"/>
      <c r="W809" s="306"/>
      <c r="X809" s="306"/>
      <c r="Y809" s="306"/>
      <c r="Z809" s="307"/>
      <c r="AA809" s="306"/>
      <c r="AB809" s="306"/>
      <c r="AC809" s="306"/>
    </row>
    <row r="810">
      <c r="A810" s="306"/>
      <c r="B810" s="306"/>
      <c r="C810" s="306"/>
      <c r="D810" s="305"/>
      <c r="E810" s="306"/>
      <c r="F810" s="306"/>
      <c r="G810" s="306"/>
      <c r="H810" s="306"/>
      <c r="I810" s="306"/>
      <c r="J810" s="306"/>
      <c r="K810" s="307"/>
      <c r="L810" s="306"/>
      <c r="M810" s="306"/>
      <c r="N810" s="306"/>
      <c r="O810" s="306"/>
      <c r="P810" s="306"/>
      <c r="Q810" s="306"/>
      <c r="R810" s="306"/>
      <c r="S810" s="306"/>
      <c r="T810" s="306"/>
      <c r="U810" s="306"/>
      <c r="V810" s="305"/>
      <c r="W810" s="306"/>
      <c r="X810" s="306"/>
      <c r="Y810" s="306"/>
      <c r="Z810" s="307"/>
      <c r="AA810" s="306"/>
      <c r="AB810" s="306"/>
      <c r="AC810" s="306"/>
    </row>
    <row r="811">
      <c r="A811" s="306"/>
      <c r="B811" s="306"/>
      <c r="C811" s="306"/>
      <c r="D811" s="305"/>
      <c r="E811" s="306"/>
      <c r="F811" s="306"/>
      <c r="G811" s="306"/>
      <c r="H811" s="306"/>
      <c r="I811" s="306"/>
      <c r="J811" s="306"/>
      <c r="K811" s="307"/>
      <c r="L811" s="306"/>
      <c r="M811" s="306"/>
      <c r="N811" s="306"/>
      <c r="O811" s="306"/>
      <c r="P811" s="306"/>
      <c r="Q811" s="306"/>
      <c r="R811" s="306"/>
      <c r="S811" s="306"/>
      <c r="T811" s="306"/>
      <c r="U811" s="306"/>
      <c r="V811" s="305"/>
      <c r="W811" s="306"/>
      <c r="X811" s="306"/>
      <c r="Y811" s="306"/>
      <c r="Z811" s="307"/>
      <c r="AA811" s="306"/>
      <c r="AB811" s="306"/>
      <c r="AC811" s="306"/>
    </row>
    <row r="812">
      <c r="A812" s="306"/>
      <c r="B812" s="306"/>
      <c r="C812" s="306"/>
      <c r="D812" s="305"/>
      <c r="E812" s="306"/>
      <c r="F812" s="306"/>
      <c r="G812" s="306"/>
      <c r="H812" s="306"/>
      <c r="I812" s="306"/>
      <c r="J812" s="306"/>
      <c r="K812" s="307"/>
      <c r="L812" s="306"/>
      <c r="M812" s="306"/>
      <c r="N812" s="306"/>
      <c r="O812" s="306"/>
      <c r="P812" s="306"/>
      <c r="Q812" s="306"/>
      <c r="R812" s="306"/>
      <c r="S812" s="306"/>
      <c r="T812" s="306"/>
      <c r="U812" s="306"/>
      <c r="V812" s="305"/>
      <c r="W812" s="306"/>
      <c r="X812" s="306"/>
      <c r="Y812" s="306"/>
      <c r="Z812" s="307"/>
      <c r="AA812" s="306"/>
      <c r="AB812" s="306"/>
      <c r="AC812" s="306"/>
    </row>
    <row r="813">
      <c r="A813" s="306"/>
      <c r="B813" s="306"/>
      <c r="C813" s="306"/>
      <c r="D813" s="305"/>
      <c r="E813" s="306"/>
      <c r="F813" s="306"/>
      <c r="G813" s="306"/>
      <c r="H813" s="306"/>
      <c r="I813" s="306"/>
      <c r="J813" s="306"/>
      <c r="K813" s="307"/>
      <c r="L813" s="306"/>
      <c r="M813" s="306"/>
      <c r="N813" s="306"/>
      <c r="O813" s="306"/>
      <c r="P813" s="306"/>
      <c r="Q813" s="306"/>
      <c r="R813" s="306"/>
      <c r="S813" s="306"/>
      <c r="T813" s="306"/>
      <c r="U813" s="306"/>
      <c r="V813" s="305"/>
      <c r="W813" s="306"/>
      <c r="X813" s="306"/>
      <c r="Y813" s="306"/>
      <c r="Z813" s="307"/>
      <c r="AA813" s="306"/>
      <c r="AB813" s="306"/>
      <c r="AC813" s="306"/>
    </row>
    <row r="814">
      <c r="A814" s="306"/>
      <c r="B814" s="306"/>
      <c r="C814" s="306"/>
      <c r="D814" s="305"/>
      <c r="E814" s="306"/>
      <c r="F814" s="306"/>
      <c r="G814" s="306"/>
      <c r="H814" s="306"/>
      <c r="I814" s="306"/>
      <c r="J814" s="306"/>
      <c r="K814" s="307"/>
      <c r="L814" s="306"/>
      <c r="M814" s="306"/>
      <c r="N814" s="306"/>
      <c r="O814" s="306"/>
      <c r="P814" s="306"/>
      <c r="Q814" s="306"/>
      <c r="R814" s="306"/>
      <c r="S814" s="306"/>
      <c r="T814" s="306"/>
      <c r="U814" s="306"/>
      <c r="V814" s="305"/>
      <c r="W814" s="306"/>
      <c r="X814" s="306"/>
      <c r="Y814" s="306"/>
      <c r="Z814" s="307"/>
      <c r="AA814" s="306"/>
      <c r="AB814" s="306"/>
      <c r="AC814" s="306"/>
    </row>
    <row r="815">
      <c r="A815" s="306"/>
      <c r="B815" s="306"/>
      <c r="C815" s="306"/>
      <c r="D815" s="305"/>
      <c r="E815" s="306"/>
      <c r="F815" s="306"/>
      <c r="G815" s="306"/>
      <c r="H815" s="306"/>
      <c r="I815" s="306"/>
      <c r="J815" s="306"/>
      <c r="K815" s="307"/>
      <c r="L815" s="306"/>
      <c r="M815" s="306"/>
      <c r="N815" s="306"/>
      <c r="O815" s="306"/>
      <c r="P815" s="306"/>
      <c r="Q815" s="306"/>
      <c r="R815" s="306"/>
      <c r="S815" s="306"/>
      <c r="T815" s="306"/>
      <c r="U815" s="306"/>
      <c r="V815" s="305"/>
      <c r="W815" s="306"/>
      <c r="X815" s="306"/>
      <c r="Y815" s="306"/>
      <c r="Z815" s="307"/>
      <c r="AA815" s="306"/>
      <c r="AB815" s="306"/>
      <c r="AC815" s="306"/>
    </row>
    <row r="816">
      <c r="A816" s="306"/>
      <c r="B816" s="306"/>
      <c r="C816" s="306"/>
      <c r="D816" s="305"/>
      <c r="E816" s="306"/>
      <c r="F816" s="306"/>
      <c r="G816" s="306"/>
      <c r="H816" s="306"/>
      <c r="I816" s="306"/>
      <c r="J816" s="306"/>
      <c r="K816" s="307"/>
      <c r="L816" s="306"/>
      <c r="M816" s="306"/>
      <c r="N816" s="306"/>
      <c r="O816" s="306"/>
      <c r="P816" s="306"/>
      <c r="Q816" s="306"/>
      <c r="R816" s="306"/>
      <c r="S816" s="306"/>
      <c r="T816" s="306"/>
      <c r="U816" s="306"/>
      <c r="V816" s="305"/>
      <c r="W816" s="306"/>
      <c r="X816" s="306"/>
      <c r="Y816" s="306"/>
      <c r="Z816" s="307"/>
      <c r="AA816" s="306"/>
      <c r="AB816" s="306"/>
      <c r="AC816" s="306"/>
    </row>
    <row r="817">
      <c r="A817" s="306"/>
      <c r="B817" s="306"/>
      <c r="C817" s="306"/>
      <c r="D817" s="305"/>
      <c r="E817" s="306"/>
      <c r="F817" s="306"/>
      <c r="G817" s="306"/>
      <c r="H817" s="306"/>
      <c r="I817" s="306"/>
      <c r="J817" s="306"/>
      <c r="K817" s="307"/>
      <c r="L817" s="306"/>
      <c r="M817" s="306"/>
      <c r="N817" s="306"/>
      <c r="O817" s="306"/>
      <c r="P817" s="306"/>
      <c r="Q817" s="306"/>
      <c r="R817" s="306"/>
      <c r="S817" s="306"/>
      <c r="T817" s="306"/>
      <c r="U817" s="306"/>
      <c r="V817" s="305"/>
      <c r="W817" s="306"/>
      <c r="X817" s="306"/>
      <c r="Y817" s="306"/>
      <c r="Z817" s="307"/>
      <c r="AA817" s="306"/>
      <c r="AB817" s="306"/>
      <c r="AC817" s="306"/>
    </row>
    <row r="818">
      <c r="A818" s="306"/>
      <c r="B818" s="306"/>
      <c r="C818" s="306"/>
      <c r="D818" s="305"/>
      <c r="E818" s="306"/>
      <c r="F818" s="306"/>
      <c r="G818" s="306"/>
      <c r="H818" s="306"/>
      <c r="I818" s="306"/>
      <c r="J818" s="306"/>
      <c r="K818" s="307"/>
      <c r="L818" s="306"/>
      <c r="M818" s="306"/>
      <c r="N818" s="306"/>
      <c r="O818" s="306"/>
      <c r="P818" s="306"/>
      <c r="Q818" s="306"/>
      <c r="R818" s="306"/>
      <c r="S818" s="306"/>
      <c r="T818" s="306"/>
      <c r="U818" s="306"/>
      <c r="V818" s="305"/>
      <c r="W818" s="306"/>
      <c r="X818" s="306"/>
      <c r="Y818" s="306"/>
      <c r="Z818" s="307"/>
      <c r="AA818" s="306"/>
      <c r="AB818" s="306"/>
      <c r="AC818" s="306"/>
    </row>
    <row r="819">
      <c r="A819" s="306"/>
      <c r="B819" s="306"/>
      <c r="C819" s="306"/>
      <c r="D819" s="305"/>
      <c r="E819" s="306"/>
      <c r="F819" s="306"/>
      <c r="G819" s="306"/>
      <c r="H819" s="306"/>
      <c r="I819" s="306"/>
      <c r="J819" s="306"/>
      <c r="K819" s="307"/>
      <c r="L819" s="306"/>
      <c r="M819" s="306"/>
      <c r="N819" s="306"/>
      <c r="O819" s="306"/>
      <c r="P819" s="306"/>
      <c r="Q819" s="306"/>
      <c r="R819" s="306"/>
      <c r="S819" s="306"/>
      <c r="T819" s="306"/>
      <c r="U819" s="306"/>
      <c r="V819" s="305"/>
      <c r="W819" s="306"/>
      <c r="X819" s="306"/>
      <c r="Y819" s="306"/>
      <c r="Z819" s="307"/>
      <c r="AA819" s="306"/>
      <c r="AB819" s="306"/>
      <c r="AC819" s="306"/>
    </row>
    <row r="820">
      <c r="A820" s="306"/>
      <c r="B820" s="306"/>
      <c r="C820" s="306"/>
      <c r="D820" s="305"/>
      <c r="E820" s="306"/>
      <c r="F820" s="306"/>
      <c r="G820" s="306"/>
      <c r="H820" s="306"/>
      <c r="I820" s="306"/>
      <c r="J820" s="306"/>
      <c r="K820" s="307"/>
      <c r="L820" s="306"/>
      <c r="M820" s="306"/>
      <c r="N820" s="306"/>
      <c r="O820" s="306"/>
      <c r="P820" s="306"/>
      <c r="Q820" s="306"/>
      <c r="R820" s="306"/>
      <c r="S820" s="306"/>
      <c r="T820" s="306"/>
      <c r="U820" s="306"/>
      <c r="V820" s="305"/>
      <c r="W820" s="306"/>
      <c r="X820" s="306"/>
      <c r="Y820" s="306"/>
      <c r="Z820" s="307"/>
      <c r="AA820" s="306"/>
      <c r="AB820" s="306"/>
      <c r="AC820" s="306"/>
    </row>
    <row r="821">
      <c r="A821" s="306"/>
      <c r="B821" s="306"/>
      <c r="C821" s="306"/>
      <c r="D821" s="305"/>
      <c r="E821" s="306"/>
      <c r="F821" s="306"/>
      <c r="G821" s="306"/>
      <c r="H821" s="306"/>
      <c r="I821" s="306"/>
      <c r="J821" s="306"/>
      <c r="K821" s="307"/>
      <c r="L821" s="306"/>
      <c r="M821" s="306"/>
      <c r="N821" s="306"/>
      <c r="O821" s="306"/>
      <c r="P821" s="306"/>
      <c r="Q821" s="306"/>
      <c r="R821" s="306"/>
      <c r="S821" s="306"/>
      <c r="T821" s="306"/>
      <c r="U821" s="306"/>
      <c r="V821" s="305"/>
      <c r="W821" s="306"/>
      <c r="X821" s="306"/>
      <c r="Y821" s="306"/>
      <c r="Z821" s="307"/>
      <c r="AA821" s="306"/>
      <c r="AB821" s="306"/>
      <c r="AC821" s="306"/>
    </row>
    <row r="822">
      <c r="A822" s="306"/>
      <c r="B822" s="306"/>
      <c r="C822" s="306"/>
      <c r="D822" s="305"/>
      <c r="E822" s="306"/>
      <c r="F822" s="306"/>
      <c r="G822" s="306"/>
      <c r="H822" s="306"/>
      <c r="I822" s="306"/>
      <c r="J822" s="306"/>
      <c r="K822" s="307"/>
      <c r="L822" s="306"/>
      <c r="M822" s="306"/>
      <c r="N822" s="306"/>
      <c r="O822" s="306"/>
      <c r="P822" s="306"/>
      <c r="Q822" s="306"/>
      <c r="R822" s="306"/>
      <c r="S822" s="306"/>
      <c r="T822" s="306"/>
      <c r="U822" s="306"/>
      <c r="V822" s="305"/>
      <c r="W822" s="306"/>
      <c r="X822" s="306"/>
      <c r="Y822" s="306"/>
      <c r="Z822" s="307"/>
      <c r="AA822" s="306"/>
      <c r="AB822" s="306"/>
      <c r="AC822" s="306"/>
    </row>
    <row r="823">
      <c r="A823" s="306"/>
      <c r="B823" s="306"/>
      <c r="C823" s="306"/>
      <c r="D823" s="305"/>
      <c r="E823" s="306"/>
      <c r="F823" s="306"/>
      <c r="G823" s="306"/>
      <c r="H823" s="306"/>
      <c r="I823" s="306"/>
      <c r="J823" s="306"/>
      <c r="K823" s="307"/>
      <c r="L823" s="306"/>
      <c r="M823" s="306"/>
      <c r="N823" s="306"/>
      <c r="O823" s="306"/>
      <c r="P823" s="306"/>
      <c r="Q823" s="306"/>
      <c r="R823" s="306"/>
      <c r="S823" s="306"/>
      <c r="T823" s="306"/>
      <c r="U823" s="306"/>
      <c r="V823" s="305"/>
      <c r="W823" s="306"/>
      <c r="X823" s="306"/>
      <c r="Y823" s="306"/>
      <c r="Z823" s="307"/>
      <c r="AA823" s="306"/>
      <c r="AB823" s="306"/>
      <c r="AC823" s="306"/>
    </row>
    <row r="824">
      <c r="A824" s="306"/>
      <c r="B824" s="306"/>
      <c r="C824" s="306"/>
      <c r="D824" s="305"/>
      <c r="E824" s="306"/>
      <c r="F824" s="306"/>
      <c r="G824" s="306"/>
      <c r="H824" s="306"/>
      <c r="I824" s="306"/>
      <c r="J824" s="306"/>
      <c r="K824" s="307"/>
      <c r="L824" s="306"/>
      <c r="M824" s="306"/>
      <c r="N824" s="306"/>
      <c r="O824" s="306"/>
      <c r="P824" s="306"/>
      <c r="Q824" s="306"/>
      <c r="R824" s="306"/>
      <c r="S824" s="306"/>
      <c r="T824" s="306"/>
      <c r="U824" s="306"/>
      <c r="V824" s="305"/>
      <c r="W824" s="306"/>
      <c r="X824" s="306"/>
      <c r="Y824" s="306"/>
      <c r="Z824" s="307"/>
      <c r="AA824" s="306"/>
      <c r="AB824" s="306"/>
      <c r="AC824" s="306"/>
    </row>
    <row r="825">
      <c r="A825" s="306"/>
      <c r="B825" s="306"/>
      <c r="C825" s="306"/>
      <c r="D825" s="305"/>
      <c r="E825" s="306"/>
      <c r="F825" s="306"/>
      <c r="G825" s="306"/>
      <c r="H825" s="306"/>
      <c r="I825" s="306"/>
      <c r="J825" s="306"/>
      <c r="K825" s="307"/>
      <c r="L825" s="306"/>
      <c r="M825" s="306"/>
      <c r="N825" s="306"/>
      <c r="O825" s="306"/>
      <c r="P825" s="306"/>
      <c r="Q825" s="306"/>
      <c r="R825" s="306"/>
      <c r="S825" s="306"/>
      <c r="T825" s="306"/>
      <c r="U825" s="306"/>
      <c r="V825" s="305"/>
      <c r="W825" s="306"/>
      <c r="X825" s="306"/>
      <c r="Y825" s="306"/>
      <c r="Z825" s="307"/>
      <c r="AA825" s="306"/>
      <c r="AB825" s="306"/>
      <c r="AC825" s="306"/>
    </row>
    <row r="826">
      <c r="A826" s="306"/>
      <c r="B826" s="306"/>
      <c r="C826" s="306"/>
      <c r="D826" s="305"/>
      <c r="E826" s="306"/>
      <c r="F826" s="306"/>
      <c r="G826" s="306"/>
      <c r="H826" s="306"/>
      <c r="I826" s="306"/>
      <c r="J826" s="306"/>
      <c r="K826" s="307"/>
      <c r="L826" s="306"/>
      <c r="M826" s="306"/>
      <c r="N826" s="306"/>
      <c r="O826" s="306"/>
      <c r="P826" s="306"/>
      <c r="Q826" s="306"/>
      <c r="R826" s="306"/>
      <c r="S826" s="306"/>
      <c r="T826" s="306"/>
      <c r="U826" s="306"/>
      <c r="V826" s="305"/>
      <c r="W826" s="306"/>
      <c r="X826" s="306"/>
      <c r="Y826" s="306"/>
      <c r="Z826" s="307"/>
      <c r="AA826" s="306"/>
      <c r="AB826" s="306"/>
      <c r="AC826" s="306"/>
    </row>
    <row r="827">
      <c r="A827" s="306"/>
      <c r="B827" s="306"/>
      <c r="C827" s="306"/>
      <c r="D827" s="305"/>
      <c r="E827" s="306"/>
      <c r="F827" s="306"/>
      <c r="G827" s="306"/>
      <c r="H827" s="306"/>
      <c r="I827" s="306"/>
      <c r="J827" s="306"/>
      <c r="K827" s="307"/>
      <c r="L827" s="306"/>
      <c r="M827" s="306"/>
      <c r="N827" s="306"/>
      <c r="O827" s="306"/>
      <c r="P827" s="306"/>
      <c r="Q827" s="306"/>
      <c r="R827" s="306"/>
      <c r="S827" s="306"/>
      <c r="T827" s="306"/>
      <c r="U827" s="306"/>
      <c r="V827" s="305"/>
      <c r="W827" s="306"/>
      <c r="X827" s="306"/>
      <c r="Y827" s="306"/>
      <c r="Z827" s="307"/>
      <c r="AA827" s="306"/>
      <c r="AB827" s="306"/>
      <c r="AC827" s="306"/>
    </row>
    <row r="828">
      <c r="A828" s="306"/>
      <c r="B828" s="306"/>
      <c r="C828" s="306"/>
      <c r="D828" s="305"/>
      <c r="E828" s="306"/>
      <c r="F828" s="306"/>
      <c r="G828" s="306"/>
      <c r="H828" s="306"/>
      <c r="I828" s="306"/>
      <c r="J828" s="306"/>
      <c r="K828" s="307"/>
      <c r="L828" s="306"/>
      <c r="M828" s="306"/>
      <c r="N828" s="306"/>
      <c r="O828" s="306"/>
      <c r="P828" s="306"/>
      <c r="Q828" s="306"/>
      <c r="R828" s="306"/>
      <c r="S828" s="306"/>
      <c r="T828" s="306"/>
      <c r="U828" s="306"/>
      <c r="V828" s="305"/>
      <c r="W828" s="306"/>
      <c r="X828" s="306"/>
      <c r="Y828" s="306"/>
      <c r="Z828" s="307"/>
      <c r="AA828" s="306"/>
      <c r="AB828" s="306"/>
      <c r="AC828" s="306"/>
    </row>
    <row r="829">
      <c r="A829" s="306"/>
      <c r="B829" s="306"/>
      <c r="C829" s="306"/>
      <c r="D829" s="305"/>
      <c r="E829" s="306"/>
      <c r="F829" s="306"/>
      <c r="G829" s="306"/>
      <c r="H829" s="306"/>
      <c r="I829" s="306"/>
      <c r="J829" s="306"/>
      <c r="K829" s="307"/>
      <c r="L829" s="306"/>
      <c r="M829" s="306"/>
      <c r="N829" s="306"/>
      <c r="O829" s="306"/>
      <c r="P829" s="306"/>
      <c r="Q829" s="306"/>
      <c r="R829" s="306"/>
      <c r="S829" s="306"/>
      <c r="T829" s="306"/>
      <c r="U829" s="306"/>
      <c r="V829" s="305"/>
      <c r="W829" s="306"/>
      <c r="X829" s="306"/>
      <c r="Y829" s="306"/>
      <c r="Z829" s="307"/>
      <c r="AA829" s="306"/>
      <c r="AB829" s="306"/>
      <c r="AC829" s="306"/>
    </row>
    <row r="830">
      <c r="A830" s="306"/>
      <c r="B830" s="306"/>
      <c r="C830" s="306"/>
      <c r="D830" s="305"/>
      <c r="E830" s="306"/>
      <c r="F830" s="306"/>
      <c r="G830" s="306"/>
      <c r="H830" s="306"/>
      <c r="I830" s="306"/>
      <c r="J830" s="306"/>
      <c r="K830" s="307"/>
      <c r="L830" s="306"/>
      <c r="M830" s="306"/>
      <c r="N830" s="306"/>
      <c r="O830" s="306"/>
      <c r="P830" s="306"/>
      <c r="Q830" s="306"/>
      <c r="R830" s="306"/>
      <c r="S830" s="306"/>
      <c r="T830" s="306"/>
      <c r="U830" s="306"/>
      <c r="V830" s="305"/>
      <c r="W830" s="306"/>
      <c r="X830" s="306"/>
      <c r="Y830" s="306"/>
      <c r="Z830" s="307"/>
      <c r="AA830" s="306"/>
      <c r="AB830" s="306"/>
      <c r="AC830" s="306"/>
    </row>
    <row r="831">
      <c r="A831" s="306"/>
      <c r="B831" s="306"/>
      <c r="C831" s="306"/>
      <c r="D831" s="305"/>
      <c r="E831" s="306"/>
      <c r="F831" s="306"/>
      <c r="G831" s="306"/>
      <c r="H831" s="306"/>
      <c r="I831" s="306"/>
      <c r="J831" s="306"/>
      <c r="K831" s="307"/>
      <c r="L831" s="306"/>
      <c r="M831" s="306"/>
      <c r="N831" s="306"/>
      <c r="O831" s="306"/>
      <c r="P831" s="306"/>
      <c r="Q831" s="306"/>
      <c r="R831" s="306"/>
      <c r="S831" s="306"/>
      <c r="T831" s="306"/>
      <c r="U831" s="306"/>
      <c r="V831" s="305"/>
      <c r="W831" s="306"/>
      <c r="X831" s="306"/>
      <c r="Y831" s="306"/>
      <c r="Z831" s="307"/>
      <c r="AA831" s="306"/>
      <c r="AB831" s="306"/>
      <c r="AC831" s="306"/>
    </row>
    <row r="832">
      <c r="A832" s="306"/>
      <c r="B832" s="306"/>
      <c r="C832" s="306"/>
      <c r="D832" s="305"/>
      <c r="E832" s="306"/>
      <c r="F832" s="306"/>
      <c r="G832" s="306"/>
      <c r="H832" s="306"/>
      <c r="I832" s="306"/>
      <c r="J832" s="306"/>
      <c r="K832" s="307"/>
      <c r="L832" s="306"/>
      <c r="M832" s="306"/>
      <c r="N832" s="306"/>
      <c r="O832" s="306"/>
      <c r="P832" s="306"/>
      <c r="Q832" s="306"/>
      <c r="R832" s="306"/>
      <c r="S832" s="306"/>
      <c r="T832" s="306"/>
      <c r="U832" s="306"/>
      <c r="V832" s="305"/>
      <c r="W832" s="306"/>
      <c r="X832" s="306"/>
      <c r="Y832" s="306"/>
      <c r="Z832" s="307"/>
      <c r="AA832" s="306"/>
      <c r="AB832" s="306"/>
      <c r="AC832" s="306"/>
    </row>
    <row r="833">
      <c r="A833" s="306"/>
      <c r="B833" s="306"/>
      <c r="C833" s="306"/>
      <c r="D833" s="305"/>
      <c r="E833" s="306"/>
      <c r="F833" s="306"/>
      <c r="G833" s="306"/>
      <c r="H833" s="306"/>
      <c r="I833" s="306"/>
      <c r="J833" s="306"/>
      <c r="K833" s="307"/>
      <c r="L833" s="306"/>
      <c r="M833" s="306"/>
      <c r="N833" s="306"/>
      <c r="O833" s="306"/>
      <c r="P833" s="306"/>
      <c r="Q833" s="306"/>
      <c r="R833" s="306"/>
      <c r="S833" s="306"/>
      <c r="T833" s="306"/>
      <c r="U833" s="306"/>
      <c r="V833" s="305"/>
      <c r="W833" s="306"/>
      <c r="X833" s="306"/>
      <c r="Y833" s="306"/>
      <c r="Z833" s="307"/>
      <c r="AA833" s="306"/>
      <c r="AB833" s="306"/>
      <c r="AC833" s="306"/>
    </row>
    <row r="834">
      <c r="A834" s="306"/>
      <c r="B834" s="306"/>
      <c r="C834" s="306"/>
      <c r="D834" s="305"/>
      <c r="E834" s="306"/>
      <c r="F834" s="306"/>
      <c r="G834" s="306"/>
      <c r="H834" s="306"/>
      <c r="I834" s="306"/>
      <c r="J834" s="306"/>
      <c r="K834" s="307"/>
      <c r="L834" s="306"/>
      <c r="M834" s="306"/>
      <c r="N834" s="306"/>
      <c r="O834" s="306"/>
      <c r="P834" s="306"/>
      <c r="Q834" s="306"/>
      <c r="R834" s="306"/>
      <c r="S834" s="306"/>
      <c r="T834" s="306"/>
      <c r="U834" s="306"/>
      <c r="V834" s="305"/>
      <c r="W834" s="306"/>
      <c r="X834" s="306"/>
      <c r="Y834" s="306"/>
      <c r="Z834" s="307"/>
      <c r="AA834" s="306"/>
      <c r="AB834" s="306"/>
      <c r="AC834" s="306"/>
    </row>
    <row r="835">
      <c r="A835" s="306"/>
      <c r="B835" s="306"/>
      <c r="C835" s="306"/>
      <c r="D835" s="305"/>
      <c r="E835" s="306"/>
      <c r="F835" s="306"/>
      <c r="G835" s="306"/>
      <c r="H835" s="306"/>
      <c r="I835" s="306"/>
      <c r="J835" s="306"/>
      <c r="K835" s="307"/>
      <c r="L835" s="306"/>
      <c r="M835" s="306"/>
      <c r="N835" s="306"/>
      <c r="O835" s="306"/>
      <c r="P835" s="306"/>
      <c r="Q835" s="306"/>
      <c r="R835" s="306"/>
      <c r="S835" s="306"/>
      <c r="T835" s="306"/>
      <c r="U835" s="306"/>
      <c r="V835" s="305"/>
      <c r="W835" s="306"/>
      <c r="X835" s="306"/>
      <c r="Y835" s="306"/>
      <c r="Z835" s="307"/>
      <c r="AA835" s="306"/>
      <c r="AB835" s="306"/>
      <c r="AC835" s="306"/>
    </row>
    <row r="836">
      <c r="A836" s="306"/>
      <c r="B836" s="306"/>
      <c r="C836" s="306"/>
      <c r="D836" s="305"/>
      <c r="E836" s="306"/>
      <c r="F836" s="306"/>
      <c r="G836" s="306"/>
      <c r="H836" s="306"/>
      <c r="I836" s="306"/>
      <c r="J836" s="306"/>
      <c r="K836" s="307"/>
      <c r="L836" s="306"/>
      <c r="M836" s="306"/>
      <c r="N836" s="306"/>
      <c r="O836" s="306"/>
      <c r="P836" s="306"/>
      <c r="Q836" s="306"/>
      <c r="R836" s="306"/>
      <c r="S836" s="306"/>
      <c r="T836" s="306"/>
      <c r="U836" s="306"/>
      <c r="V836" s="305"/>
      <c r="W836" s="306"/>
      <c r="X836" s="306"/>
      <c r="Y836" s="306"/>
      <c r="Z836" s="307"/>
      <c r="AA836" s="306"/>
      <c r="AB836" s="306"/>
      <c r="AC836" s="306"/>
    </row>
    <row r="837">
      <c r="A837" s="306"/>
      <c r="B837" s="306"/>
      <c r="C837" s="306"/>
      <c r="D837" s="305"/>
      <c r="E837" s="306"/>
      <c r="F837" s="306"/>
      <c r="G837" s="306"/>
      <c r="H837" s="306"/>
      <c r="I837" s="306"/>
      <c r="J837" s="306"/>
      <c r="K837" s="307"/>
      <c r="L837" s="306"/>
      <c r="M837" s="306"/>
      <c r="N837" s="306"/>
      <c r="O837" s="306"/>
      <c r="P837" s="306"/>
      <c r="Q837" s="306"/>
      <c r="R837" s="306"/>
      <c r="S837" s="306"/>
      <c r="T837" s="306"/>
      <c r="U837" s="306"/>
      <c r="V837" s="305"/>
      <c r="W837" s="306"/>
      <c r="X837" s="306"/>
      <c r="Y837" s="306"/>
      <c r="Z837" s="307"/>
      <c r="AA837" s="306"/>
      <c r="AB837" s="306"/>
      <c r="AC837" s="306"/>
    </row>
    <row r="838">
      <c r="A838" s="306"/>
      <c r="B838" s="306"/>
      <c r="C838" s="306"/>
      <c r="D838" s="305"/>
      <c r="E838" s="306"/>
      <c r="F838" s="306"/>
      <c r="G838" s="306"/>
      <c r="H838" s="306"/>
      <c r="I838" s="306"/>
      <c r="J838" s="306"/>
      <c r="K838" s="307"/>
      <c r="L838" s="306"/>
      <c r="M838" s="306"/>
      <c r="N838" s="306"/>
      <c r="O838" s="306"/>
      <c r="P838" s="306"/>
      <c r="Q838" s="306"/>
      <c r="R838" s="306"/>
      <c r="S838" s="306"/>
      <c r="T838" s="306"/>
      <c r="U838" s="306"/>
      <c r="V838" s="305"/>
      <c r="W838" s="306"/>
      <c r="X838" s="306"/>
      <c r="Y838" s="306"/>
      <c r="Z838" s="307"/>
      <c r="AA838" s="306"/>
      <c r="AB838" s="306"/>
      <c r="AC838" s="306"/>
    </row>
    <row r="839">
      <c r="A839" s="306"/>
      <c r="B839" s="306"/>
      <c r="C839" s="306"/>
      <c r="D839" s="305"/>
      <c r="E839" s="306"/>
      <c r="F839" s="306"/>
      <c r="G839" s="306"/>
      <c r="H839" s="306"/>
      <c r="I839" s="306"/>
      <c r="J839" s="306"/>
      <c r="K839" s="307"/>
      <c r="L839" s="306"/>
      <c r="M839" s="306"/>
      <c r="N839" s="306"/>
      <c r="O839" s="306"/>
      <c r="P839" s="306"/>
      <c r="Q839" s="306"/>
      <c r="R839" s="306"/>
      <c r="S839" s="306"/>
      <c r="T839" s="306"/>
      <c r="U839" s="306"/>
      <c r="V839" s="305"/>
      <c r="W839" s="306"/>
      <c r="X839" s="306"/>
      <c r="Y839" s="306"/>
      <c r="Z839" s="307"/>
      <c r="AA839" s="306"/>
      <c r="AB839" s="306"/>
      <c r="AC839" s="306"/>
    </row>
    <row r="840">
      <c r="A840" s="306"/>
      <c r="B840" s="306"/>
      <c r="C840" s="306"/>
      <c r="D840" s="305"/>
      <c r="E840" s="306"/>
      <c r="F840" s="306"/>
      <c r="G840" s="306"/>
      <c r="H840" s="306"/>
      <c r="I840" s="306"/>
      <c r="J840" s="306"/>
      <c r="K840" s="307"/>
      <c r="L840" s="306"/>
      <c r="M840" s="306"/>
      <c r="N840" s="306"/>
      <c r="O840" s="306"/>
      <c r="P840" s="306"/>
      <c r="Q840" s="306"/>
      <c r="R840" s="306"/>
      <c r="S840" s="306"/>
      <c r="T840" s="306"/>
      <c r="U840" s="306"/>
      <c r="V840" s="305"/>
      <c r="W840" s="306"/>
      <c r="X840" s="306"/>
      <c r="Y840" s="306"/>
      <c r="Z840" s="307"/>
      <c r="AA840" s="306"/>
      <c r="AB840" s="306"/>
      <c r="AC840" s="306"/>
    </row>
    <row r="841">
      <c r="A841" s="306"/>
      <c r="B841" s="306"/>
      <c r="C841" s="306"/>
      <c r="D841" s="305"/>
      <c r="E841" s="306"/>
      <c r="F841" s="306"/>
      <c r="G841" s="306"/>
      <c r="H841" s="306"/>
      <c r="I841" s="306"/>
      <c r="J841" s="306"/>
      <c r="K841" s="307"/>
      <c r="L841" s="306"/>
      <c r="M841" s="306"/>
      <c r="N841" s="306"/>
      <c r="O841" s="306"/>
      <c r="P841" s="306"/>
      <c r="Q841" s="306"/>
      <c r="R841" s="306"/>
      <c r="S841" s="306"/>
      <c r="T841" s="306"/>
      <c r="U841" s="306"/>
      <c r="V841" s="305"/>
      <c r="W841" s="306"/>
      <c r="X841" s="306"/>
      <c r="Y841" s="306"/>
      <c r="Z841" s="307"/>
      <c r="AA841" s="306"/>
      <c r="AB841" s="306"/>
      <c r="AC841" s="306"/>
    </row>
    <row r="842">
      <c r="A842" s="306"/>
      <c r="B842" s="306"/>
      <c r="C842" s="306"/>
      <c r="D842" s="305"/>
      <c r="E842" s="306"/>
      <c r="F842" s="306"/>
      <c r="G842" s="306"/>
      <c r="H842" s="306"/>
      <c r="I842" s="306"/>
      <c r="J842" s="306"/>
      <c r="K842" s="307"/>
      <c r="L842" s="306"/>
      <c r="M842" s="306"/>
      <c r="N842" s="306"/>
      <c r="O842" s="306"/>
      <c r="P842" s="306"/>
      <c r="Q842" s="306"/>
      <c r="R842" s="306"/>
      <c r="S842" s="306"/>
      <c r="T842" s="306"/>
      <c r="U842" s="306"/>
      <c r="V842" s="305"/>
      <c r="W842" s="306"/>
      <c r="X842" s="306"/>
      <c r="Y842" s="306"/>
      <c r="Z842" s="307"/>
      <c r="AA842" s="306"/>
      <c r="AB842" s="306"/>
      <c r="AC842" s="306"/>
    </row>
    <row r="843">
      <c r="A843" s="306"/>
      <c r="B843" s="306"/>
      <c r="C843" s="306"/>
      <c r="D843" s="305"/>
      <c r="E843" s="306"/>
      <c r="F843" s="306"/>
      <c r="G843" s="306"/>
      <c r="H843" s="306"/>
      <c r="I843" s="306"/>
      <c r="J843" s="306"/>
      <c r="K843" s="307"/>
      <c r="L843" s="306"/>
      <c r="M843" s="306"/>
      <c r="N843" s="306"/>
      <c r="O843" s="306"/>
      <c r="P843" s="306"/>
      <c r="Q843" s="306"/>
      <c r="R843" s="306"/>
      <c r="S843" s="306"/>
      <c r="T843" s="306"/>
      <c r="U843" s="306"/>
      <c r="V843" s="305"/>
      <c r="W843" s="306"/>
      <c r="X843" s="306"/>
      <c r="Y843" s="306"/>
      <c r="Z843" s="307"/>
      <c r="AA843" s="306"/>
      <c r="AB843" s="306"/>
      <c r="AC843" s="306"/>
    </row>
    <row r="844">
      <c r="A844" s="306"/>
      <c r="B844" s="306"/>
      <c r="C844" s="306"/>
      <c r="D844" s="305"/>
      <c r="E844" s="306"/>
      <c r="F844" s="306"/>
      <c r="G844" s="306"/>
      <c r="H844" s="306"/>
      <c r="I844" s="306"/>
      <c r="J844" s="306"/>
      <c r="K844" s="307"/>
      <c r="L844" s="306"/>
      <c r="M844" s="306"/>
      <c r="N844" s="306"/>
      <c r="O844" s="306"/>
      <c r="P844" s="306"/>
      <c r="Q844" s="306"/>
      <c r="R844" s="306"/>
      <c r="S844" s="306"/>
      <c r="T844" s="306"/>
      <c r="U844" s="306"/>
      <c r="V844" s="305"/>
      <c r="W844" s="306"/>
      <c r="X844" s="306"/>
      <c r="Y844" s="306"/>
      <c r="Z844" s="307"/>
      <c r="AA844" s="306"/>
      <c r="AB844" s="306"/>
      <c r="AC844" s="306"/>
    </row>
    <row r="845">
      <c r="A845" s="306"/>
      <c r="B845" s="306"/>
      <c r="C845" s="306"/>
      <c r="D845" s="305"/>
      <c r="E845" s="306"/>
      <c r="F845" s="306"/>
      <c r="G845" s="306"/>
      <c r="H845" s="306"/>
      <c r="I845" s="306"/>
      <c r="J845" s="306"/>
      <c r="K845" s="307"/>
      <c r="L845" s="306"/>
      <c r="M845" s="306"/>
      <c r="N845" s="306"/>
      <c r="O845" s="306"/>
      <c r="P845" s="306"/>
      <c r="Q845" s="306"/>
      <c r="R845" s="306"/>
      <c r="S845" s="306"/>
      <c r="T845" s="306"/>
      <c r="U845" s="306"/>
      <c r="V845" s="305"/>
      <c r="W845" s="306"/>
      <c r="X845" s="306"/>
      <c r="Y845" s="306"/>
      <c r="Z845" s="307"/>
      <c r="AA845" s="306"/>
      <c r="AB845" s="306"/>
      <c r="AC845" s="306"/>
    </row>
    <row r="846">
      <c r="A846" s="306"/>
      <c r="B846" s="306"/>
      <c r="C846" s="306"/>
      <c r="D846" s="305"/>
      <c r="E846" s="306"/>
      <c r="F846" s="306"/>
      <c r="G846" s="306"/>
      <c r="H846" s="306"/>
      <c r="I846" s="306"/>
      <c r="J846" s="306"/>
      <c r="K846" s="307"/>
      <c r="L846" s="306"/>
      <c r="M846" s="306"/>
      <c r="N846" s="306"/>
      <c r="O846" s="306"/>
      <c r="P846" s="306"/>
      <c r="Q846" s="306"/>
      <c r="R846" s="306"/>
      <c r="S846" s="306"/>
      <c r="T846" s="306"/>
      <c r="U846" s="306"/>
      <c r="V846" s="305"/>
      <c r="W846" s="306"/>
      <c r="X846" s="306"/>
      <c r="Y846" s="306"/>
      <c r="Z846" s="307"/>
      <c r="AA846" s="306"/>
      <c r="AB846" s="306"/>
      <c r="AC846" s="306"/>
    </row>
    <row r="847">
      <c r="A847" s="306"/>
      <c r="B847" s="306"/>
      <c r="C847" s="306"/>
      <c r="D847" s="305"/>
      <c r="E847" s="306"/>
      <c r="F847" s="306"/>
      <c r="G847" s="306"/>
      <c r="H847" s="306"/>
      <c r="I847" s="306"/>
      <c r="J847" s="306"/>
      <c r="K847" s="307"/>
      <c r="L847" s="306"/>
      <c r="M847" s="306"/>
      <c r="N847" s="306"/>
      <c r="O847" s="306"/>
      <c r="P847" s="306"/>
      <c r="Q847" s="306"/>
      <c r="R847" s="306"/>
      <c r="S847" s="306"/>
      <c r="T847" s="306"/>
      <c r="U847" s="306"/>
      <c r="V847" s="305"/>
      <c r="W847" s="306"/>
      <c r="X847" s="306"/>
      <c r="Y847" s="306"/>
      <c r="Z847" s="307"/>
      <c r="AA847" s="306"/>
      <c r="AB847" s="306"/>
      <c r="AC847" s="306"/>
    </row>
    <row r="848">
      <c r="A848" s="306"/>
      <c r="B848" s="306"/>
      <c r="C848" s="306"/>
      <c r="D848" s="305"/>
      <c r="E848" s="306"/>
      <c r="F848" s="306"/>
      <c r="G848" s="306"/>
      <c r="H848" s="306"/>
      <c r="I848" s="306"/>
      <c r="J848" s="306"/>
      <c r="K848" s="307"/>
      <c r="L848" s="306"/>
      <c r="M848" s="306"/>
      <c r="N848" s="306"/>
      <c r="O848" s="306"/>
      <c r="P848" s="306"/>
      <c r="Q848" s="306"/>
      <c r="R848" s="306"/>
      <c r="S848" s="306"/>
      <c r="T848" s="306"/>
      <c r="U848" s="306"/>
      <c r="V848" s="305"/>
      <c r="W848" s="306"/>
      <c r="X848" s="306"/>
      <c r="Y848" s="306"/>
      <c r="Z848" s="307"/>
      <c r="AA848" s="306"/>
      <c r="AB848" s="306"/>
      <c r="AC848" s="306"/>
    </row>
    <row r="849">
      <c r="A849" s="306"/>
      <c r="B849" s="306"/>
      <c r="C849" s="306"/>
      <c r="D849" s="305"/>
      <c r="E849" s="306"/>
      <c r="F849" s="306"/>
      <c r="G849" s="306"/>
      <c r="H849" s="306"/>
      <c r="I849" s="306"/>
      <c r="J849" s="306"/>
      <c r="K849" s="307"/>
      <c r="L849" s="306"/>
      <c r="M849" s="306"/>
      <c r="N849" s="306"/>
      <c r="O849" s="306"/>
      <c r="P849" s="306"/>
      <c r="Q849" s="306"/>
      <c r="R849" s="306"/>
      <c r="S849" s="306"/>
      <c r="T849" s="306"/>
      <c r="U849" s="306"/>
      <c r="V849" s="305"/>
      <c r="W849" s="306"/>
      <c r="X849" s="306"/>
      <c r="Y849" s="306"/>
      <c r="Z849" s="307"/>
      <c r="AA849" s="306"/>
      <c r="AB849" s="306"/>
      <c r="AC849" s="306"/>
    </row>
    <row r="850">
      <c r="A850" s="306"/>
      <c r="B850" s="306"/>
      <c r="C850" s="306"/>
      <c r="D850" s="305"/>
      <c r="E850" s="306"/>
      <c r="F850" s="306"/>
      <c r="G850" s="306"/>
      <c r="H850" s="306"/>
      <c r="I850" s="306"/>
      <c r="J850" s="306"/>
      <c r="K850" s="307"/>
      <c r="L850" s="306"/>
      <c r="M850" s="306"/>
      <c r="N850" s="306"/>
      <c r="O850" s="306"/>
      <c r="P850" s="306"/>
      <c r="Q850" s="306"/>
      <c r="R850" s="306"/>
      <c r="S850" s="306"/>
      <c r="T850" s="306"/>
      <c r="U850" s="306"/>
      <c r="V850" s="305"/>
      <c r="W850" s="306"/>
      <c r="X850" s="306"/>
      <c r="Y850" s="306"/>
      <c r="Z850" s="307"/>
      <c r="AA850" s="306"/>
      <c r="AB850" s="306"/>
      <c r="AC850" s="306"/>
    </row>
    <row r="851">
      <c r="A851" s="306"/>
      <c r="B851" s="306"/>
      <c r="C851" s="306"/>
      <c r="D851" s="305"/>
      <c r="E851" s="306"/>
      <c r="F851" s="306"/>
      <c r="G851" s="306"/>
      <c r="H851" s="306"/>
      <c r="I851" s="306"/>
      <c r="J851" s="306"/>
      <c r="K851" s="307"/>
      <c r="L851" s="306"/>
      <c r="M851" s="306"/>
      <c r="N851" s="306"/>
      <c r="O851" s="306"/>
      <c r="P851" s="306"/>
      <c r="Q851" s="306"/>
      <c r="R851" s="306"/>
      <c r="S851" s="306"/>
      <c r="T851" s="306"/>
      <c r="U851" s="306"/>
      <c r="V851" s="305"/>
      <c r="W851" s="306"/>
      <c r="X851" s="306"/>
      <c r="Y851" s="306"/>
      <c r="Z851" s="307"/>
      <c r="AA851" s="306"/>
      <c r="AB851" s="306"/>
      <c r="AC851" s="306"/>
    </row>
    <row r="852">
      <c r="A852" s="306"/>
      <c r="B852" s="306"/>
      <c r="C852" s="306"/>
      <c r="D852" s="305"/>
      <c r="E852" s="306"/>
      <c r="F852" s="306"/>
      <c r="G852" s="306"/>
      <c r="H852" s="306"/>
      <c r="I852" s="306"/>
      <c r="J852" s="306"/>
      <c r="K852" s="307"/>
      <c r="L852" s="306"/>
      <c r="M852" s="306"/>
      <c r="N852" s="306"/>
      <c r="O852" s="306"/>
      <c r="P852" s="306"/>
      <c r="Q852" s="306"/>
      <c r="R852" s="306"/>
      <c r="S852" s="306"/>
      <c r="T852" s="306"/>
      <c r="U852" s="306"/>
      <c r="V852" s="305"/>
      <c r="W852" s="306"/>
      <c r="X852" s="306"/>
      <c r="Y852" s="306"/>
      <c r="Z852" s="307"/>
      <c r="AA852" s="306"/>
      <c r="AB852" s="306"/>
      <c r="AC852" s="306"/>
    </row>
    <row r="853">
      <c r="A853" s="306"/>
      <c r="B853" s="306"/>
      <c r="C853" s="306"/>
      <c r="D853" s="305"/>
      <c r="E853" s="306"/>
      <c r="F853" s="306"/>
      <c r="G853" s="306"/>
      <c r="H853" s="306"/>
      <c r="I853" s="306"/>
      <c r="J853" s="306"/>
      <c r="K853" s="307"/>
      <c r="L853" s="306"/>
      <c r="M853" s="306"/>
      <c r="N853" s="306"/>
      <c r="O853" s="306"/>
      <c r="P853" s="306"/>
      <c r="Q853" s="306"/>
      <c r="R853" s="306"/>
      <c r="S853" s="306"/>
      <c r="T853" s="306"/>
      <c r="U853" s="306"/>
      <c r="V853" s="305"/>
      <c r="W853" s="306"/>
      <c r="X853" s="306"/>
      <c r="Y853" s="306"/>
      <c r="Z853" s="307"/>
      <c r="AA853" s="306"/>
      <c r="AB853" s="306"/>
      <c r="AC853" s="306"/>
    </row>
    <row r="854">
      <c r="A854" s="306"/>
      <c r="B854" s="306"/>
      <c r="C854" s="306"/>
      <c r="D854" s="305"/>
      <c r="E854" s="306"/>
      <c r="F854" s="306"/>
      <c r="G854" s="306"/>
      <c r="H854" s="306"/>
      <c r="I854" s="306"/>
      <c r="J854" s="306"/>
      <c r="K854" s="307"/>
      <c r="L854" s="306"/>
      <c r="M854" s="306"/>
      <c r="N854" s="306"/>
      <c r="O854" s="306"/>
      <c r="P854" s="306"/>
      <c r="Q854" s="306"/>
      <c r="R854" s="306"/>
      <c r="S854" s="306"/>
      <c r="T854" s="306"/>
      <c r="U854" s="306"/>
      <c r="V854" s="305"/>
      <c r="W854" s="306"/>
      <c r="X854" s="306"/>
      <c r="Y854" s="306"/>
      <c r="Z854" s="307"/>
      <c r="AA854" s="306"/>
      <c r="AB854" s="306"/>
      <c r="AC854" s="306"/>
    </row>
    <row r="855">
      <c r="A855" s="306"/>
      <c r="B855" s="306"/>
      <c r="C855" s="306"/>
      <c r="D855" s="305"/>
      <c r="E855" s="306"/>
      <c r="F855" s="306"/>
      <c r="G855" s="306"/>
      <c r="H855" s="306"/>
      <c r="I855" s="306"/>
      <c r="J855" s="306"/>
      <c r="K855" s="307"/>
      <c r="L855" s="306"/>
      <c r="M855" s="306"/>
      <c r="N855" s="306"/>
      <c r="O855" s="306"/>
      <c r="P855" s="306"/>
      <c r="Q855" s="306"/>
      <c r="R855" s="306"/>
      <c r="S855" s="306"/>
      <c r="T855" s="306"/>
      <c r="U855" s="306"/>
      <c r="V855" s="305"/>
      <c r="W855" s="306"/>
      <c r="X855" s="306"/>
      <c r="Y855" s="306"/>
      <c r="Z855" s="307"/>
      <c r="AA855" s="306"/>
      <c r="AB855" s="306"/>
      <c r="AC855" s="306"/>
    </row>
    <row r="856">
      <c r="A856" s="306"/>
      <c r="B856" s="306"/>
      <c r="C856" s="306"/>
      <c r="D856" s="305"/>
      <c r="E856" s="306"/>
      <c r="F856" s="306"/>
      <c r="G856" s="306"/>
      <c r="H856" s="306"/>
      <c r="I856" s="306"/>
      <c r="J856" s="306"/>
      <c r="K856" s="307"/>
      <c r="L856" s="306"/>
      <c r="M856" s="306"/>
      <c r="N856" s="306"/>
      <c r="O856" s="306"/>
      <c r="P856" s="306"/>
      <c r="Q856" s="306"/>
      <c r="R856" s="306"/>
      <c r="S856" s="306"/>
      <c r="T856" s="306"/>
      <c r="U856" s="306"/>
      <c r="V856" s="305"/>
      <c r="W856" s="306"/>
      <c r="X856" s="306"/>
      <c r="Y856" s="306"/>
      <c r="Z856" s="307"/>
      <c r="AA856" s="306"/>
      <c r="AB856" s="306"/>
      <c r="AC856" s="306"/>
    </row>
    <row r="857">
      <c r="A857" s="306"/>
      <c r="B857" s="306"/>
      <c r="C857" s="306"/>
      <c r="D857" s="305"/>
      <c r="E857" s="306"/>
      <c r="F857" s="306"/>
      <c r="G857" s="306"/>
      <c r="H857" s="306"/>
      <c r="I857" s="306"/>
      <c r="J857" s="306"/>
      <c r="K857" s="307"/>
      <c r="L857" s="306"/>
      <c r="M857" s="306"/>
      <c r="N857" s="306"/>
      <c r="O857" s="306"/>
      <c r="P857" s="306"/>
      <c r="Q857" s="306"/>
      <c r="R857" s="306"/>
      <c r="S857" s="306"/>
      <c r="T857" s="306"/>
      <c r="U857" s="306"/>
      <c r="V857" s="305"/>
      <c r="W857" s="306"/>
      <c r="X857" s="306"/>
      <c r="Y857" s="306"/>
      <c r="Z857" s="307"/>
      <c r="AA857" s="306"/>
      <c r="AB857" s="306"/>
      <c r="AC857" s="306"/>
    </row>
    <row r="858">
      <c r="A858" s="306"/>
      <c r="B858" s="306"/>
      <c r="C858" s="306"/>
      <c r="D858" s="305"/>
      <c r="E858" s="306"/>
      <c r="F858" s="306"/>
      <c r="G858" s="306"/>
      <c r="H858" s="306"/>
      <c r="I858" s="306"/>
      <c r="J858" s="306"/>
      <c r="K858" s="307"/>
      <c r="L858" s="306"/>
      <c r="M858" s="306"/>
      <c r="N858" s="306"/>
      <c r="O858" s="306"/>
      <c r="P858" s="306"/>
      <c r="Q858" s="306"/>
      <c r="R858" s="306"/>
      <c r="S858" s="306"/>
      <c r="T858" s="306"/>
      <c r="U858" s="306"/>
      <c r="V858" s="305"/>
      <c r="W858" s="306"/>
      <c r="X858" s="306"/>
      <c r="Y858" s="306"/>
      <c r="Z858" s="307"/>
      <c r="AA858" s="306"/>
      <c r="AB858" s="306"/>
      <c r="AC858" s="306"/>
    </row>
    <row r="859">
      <c r="A859" s="306"/>
      <c r="B859" s="306"/>
      <c r="C859" s="306"/>
      <c r="D859" s="305"/>
      <c r="E859" s="306"/>
      <c r="F859" s="306"/>
      <c r="G859" s="306"/>
      <c r="H859" s="306"/>
      <c r="I859" s="306"/>
      <c r="J859" s="306"/>
      <c r="K859" s="307"/>
      <c r="L859" s="306"/>
      <c r="M859" s="306"/>
      <c r="N859" s="306"/>
      <c r="O859" s="306"/>
      <c r="P859" s="306"/>
      <c r="Q859" s="306"/>
      <c r="R859" s="306"/>
      <c r="S859" s="306"/>
      <c r="T859" s="306"/>
      <c r="U859" s="306"/>
      <c r="V859" s="305"/>
      <c r="W859" s="306"/>
      <c r="X859" s="306"/>
      <c r="Y859" s="306"/>
      <c r="Z859" s="307"/>
      <c r="AA859" s="306"/>
      <c r="AB859" s="306"/>
      <c r="AC859" s="306"/>
    </row>
    <row r="860">
      <c r="A860" s="306"/>
      <c r="B860" s="306"/>
      <c r="C860" s="306"/>
      <c r="D860" s="305"/>
      <c r="E860" s="306"/>
      <c r="F860" s="306"/>
      <c r="G860" s="306"/>
      <c r="H860" s="306"/>
      <c r="I860" s="306"/>
      <c r="J860" s="306"/>
      <c r="K860" s="307"/>
      <c r="L860" s="306"/>
      <c r="M860" s="306"/>
      <c r="N860" s="306"/>
      <c r="O860" s="306"/>
      <c r="P860" s="306"/>
      <c r="Q860" s="306"/>
      <c r="R860" s="306"/>
      <c r="S860" s="306"/>
      <c r="T860" s="306"/>
      <c r="U860" s="306"/>
      <c r="V860" s="305"/>
      <c r="W860" s="306"/>
      <c r="X860" s="306"/>
      <c r="Y860" s="306"/>
      <c r="Z860" s="307"/>
      <c r="AA860" s="306"/>
      <c r="AB860" s="306"/>
      <c r="AC860" s="306"/>
    </row>
    <row r="861">
      <c r="A861" s="306"/>
      <c r="B861" s="306"/>
      <c r="C861" s="306"/>
      <c r="D861" s="305"/>
      <c r="E861" s="306"/>
      <c r="F861" s="306"/>
      <c r="G861" s="306"/>
      <c r="H861" s="306"/>
      <c r="I861" s="306"/>
      <c r="J861" s="306"/>
      <c r="K861" s="307"/>
      <c r="L861" s="306"/>
      <c r="M861" s="306"/>
      <c r="N861" s="306"/>
      <c r="O861" s="306"/>
      <c r="P861" s="306"/>
      <c r="Q861" s="306"/>
      <c r="R861" s="306"/>
      <c r="S861" s="306"/>
      <c r="T861" s="306"/>
      <c r="U861" s="306"/>
      <c r="V861" s="305"/>
      <c r="W861" s="306"/>
      <c r="X861" s="306"/>
      <c r="Y861" s="306"/>
      <c r="Z861" s="307"/>
      <c r="AA861" s="306"/>
      <c r="AB861" s="306"/>
      <c r="AC861" s="306"/>
    </row>
    <row r="862">
      <c r="A862" s="306"/>
      <c r="B862" s="306"/>
      <c r="C862" s="306"/>
      <c r="D862" s="305"/>
      <c r="E862" s="306"/>
      <c r="F862" s="306"/>
      <c r="G862" s="306"/>
      <c r="H862" s="306"/>
      <c r="I862" s="306"/>
      <c r="J862" s="306"/>
      <c r="K862" s="307"/>
      <c r="L862" s="306"/>
      <c r="M862" s="306"/>
      <c r="N862" s="306"/>
      <c r="O862" s="306"/>
      <c r="P862" s="306"/>
      <c r="Q862" s="306"/>
      <c r="R862" s="306"/>
      <c r="S862" s="306"/>
      <c r="T862" s="306"/>
      <c r="U862" s="306"/>
      <c r="V862" s="305"/>
      <c r="W862" s="306"/>
      <c r="X862" s="306"/>
      <c r="Y862" s="306"/>
      <c r="Z862" s="307"/>
      <c r="AA862" s="306"/>
      <c r="AB862" s="306"/>
      <c r="AC862" s="306"/>
    </row>
    <row r="863">
      <c r="A863" s="306"/>
      <c r="B863" s="306"/>
      <c r="C863" s="306"/>
      <c r="D863" s="305"/>
      <c r="E863" s="306"/>
      <c r="F863" s="306"/>
      <c r="G863" s="306"/>
      <c r="H863" s="306"/>
      <c r="I863" s="306"/>
      <c r="J863" s="306"/>
      <c r="K863" s="307"/>
      <c r="L863" s="306"/>
      <c r="M863" s="306"/>
      <c r="N863" s="306"/>
      <c r="O863" s="306"/>
      <c r="P863" s="306"/>
      <c r="Q863" s="306"/>
      <c r="R863" s="306"/>
      <c r="S863" s="306"/>
      <c r="T863" s="306"/>
      <c r="U863" s="306"/>
      <c r="V863" s="305"/>
      <c r="W863" s="306"/>
      <c r="X863" s="306"/>
      <c r="Y863" s="306"/>
      <c r="Z863" s="307"/>
      <c r="AA863" s="306"/>
      <c r="AB863" s="306"/>
      <c r="AC863" s="306"/>
    </row>
    <row r="864">
      <c r="A864" s="306"/>
      <c r="B864" s="306"/>
      <c r="C864" s="306"/>
      <c r="D864" s="305"/>
      <c r="E864" s="306"/>
      <c r="F864" s="306"/>
      <c r="G864" s="306"/>
      <c r="H864" s="306"/>
      <c r="I864" s="306"/>
      <c r="J864" s="306"/>
      <c r="K864" s="307"/>
      <c r="L864" s="306"/>
      <c r="M864" s="306"/>
      <c r="N864" s="306"/>
      <c r="O864" s="306"/>
      <c r="P864" s="306"/>
      <c r="Q864" s="306"/>
      <c r="R864" s="306"/>
      <c r="S864" s="306"/>
      <c r="T864" s="306"/>
      <c r="U864" s="306"/>
      <c r="V864" s="305"/>
      <c r="W864" s="306"/>
      <c r="X864" s="306"/>
      <c r="Y864" s="306"/>
      <c r="Z864" s="307"/>
      <c r="AA864" s="306"/>
      <c r="AB864" s="306"/>
      <c r="AC864" s="306"/>
    </row>
    <row r="865">
      <c r="A865" s="306"/>
      <c r="B865" s="306"/>
      <c r="C865" s="306"/>
      <c r="D865" s="305"/>
      <c r="E865" s="306"/>
      <c r="F865" s="306"/>
      <c r="G865" s="306"/>
      <c r="H865" s="306"/>
      <c r="I865" s="306"/>
      <c r="J865" s="306"/>
      <c r="K865" s="307"/>
      <c r="L865" s="306"/>
      <c r="M865" s="306"/>
      <c r="N865" s="306"/>
      <c r="O865" s="306"/>
      <c r="P865" s="306"/>
      <c r="Q865" s="306"/>
      <c r="R865" s="306"/>
      <c r="S865" s="306"/>
      <c r="T865" s="306"/>
      <c r="U865" s="306"/>
      <c r="V865" s="305"/>
      <c r="W865" s="306"/>
      <c r="X865" s="306"/>
      <c r="Y865" s="306"/>
      <c r="Z865" s="307"/>
      <c r="AA865" s="306"/>
      <c r="AB865" s="306"/>
      <c r="AC865" s="306"/>
    </row>
    <row r="866">
      <c r="A866" s="306"/>
      <c r="B866" s="306"/>
      <c r="C866" s="306"/>
      <c r="D866" s="305"/>
      <c r="E866" s="306"/>
      <c r="F866" s="306"/>
      <c r="G866" s="306"/>
      <c r="H866" s="306"/>
      <c r="I866" s="306"/>
      <c r="J866" s="306"/>
      <c r="K866" s="307"/>
      <c r="L866" s="306"/>
      <c r="M866" s="306"/>
      <c r="N866" s="306"/>
      <c r="O866" s="306"/>
      <c r="P866" s="306"/>
      <c r="Q866" s="306"/>
      <c r="R866" s="306"/>
      <c r="S866" s="306"/>
      <c r="T866" s="306"/>
      <c r="U866" s="306"/>
      <c r="V866" s="305"/>
      <c r="W866" s="306"/>
      <c r="X866" s="306"/>
      <c r="Y866" s="306"/>
      <c r="Z866" s="307"/>
      <c r="AA866" s="306"/>
      <c r="AB866" s="306"/>
      <c r="AC866" s="306"/>
    </row>
    <row r="867">
      <c r="A867" s="306"/>
      <c r="B867" s="306"/>
      <c r="C867" s="306"/>
      <c r="D867" s="305"/>
      <c r="E867" s="306"/>
      <c r="F867" s="306"/>
      <c r="G867" s="306"/>
      <c r="H867" s="306"/>
      <c r="I867" s="306"/>
      <c r="J867" s="306"/>
      <c r="K867" s="307"/>
      <c r="L867" s="306"/>
      <c r="M867" s="306"/>
      <c r="N867" s="306"/>
      <c r="O867" s="306"/>
      <c r="P867" s="306"/>
      <c r="Q867" s="306"/>
      <c r="R867" s="306"/>
      <c r="S867" s="306"/>
      <c r="T867" s="306"/>
      <c r="U867" s="306"/>
      <c r="V867" s="305"/>
      <c r="W867" s="306"/>
      <c r="X867" s="306"/>
      <c r="Y867" s="306"/>
      <c r="Z867" s="307"/>
      <c r="AA867" s="306"/>
      <c r="AB867" s="306"/>
      <c r="AC867" s="306"/>
    </row>
    <row r="868">
      <c r="A868" s="306"/>
      <c r="B868" s="306"/>
      <c r="C868" s="306"/>
      <c r="D868" s="305"/>
      <c r="E868" s="306"/>
      <c r="F868" s="306"/>
      <c r="G868" s="306"/>
      <c r="H868" s="306"/>
      <c r="I868" s="306"/>
      <c r="J868" s="306"/>
      <c r="K868" s="307"/>
      <c r="L868" s="306"/>
      <c r="M868" s="306"/>
      <c r="N868" s="306"/>
      <c r="O868" s="306"/>
      <c r="P868" s="306"/>
      <c r="Q868" s="306"/>
      <c r="R868" s="306"/>
      <c r="S868" s="306"/>
      <c r="T868" s="306"/>
      <c r="U868" s="306"/>
      <c r="V868" s="305"/>
      <c r="W868" s="306"/>
      <c r="X868" s="306"/>
      <c r="Y868" s="306"/>
      <c r="Z868" s="307"/>
      <c r="AA868" s="306"/>
      <c r="AB868" s="306"/>
      <c r="AC868" s="306"/>
    </row>
    <row r="869">
      <c r="A869" s="306"/>
      <c r="B869" s="306"/>
      <c r="C869" s="306"/>
      <c r="D869" s="305"/>
      <c r="E869" s="306"/>
      <c r="F869" s="306"/>
      <c r="G869" s="306"/>
      <c r="H869" s="306"/>
      <c r="I869" s="306"/>
      <c r="J869" s="306"/>
      <c r="K869" s="307"/>
      <c r="L869" s="306"/>
      <c r="M869" s="306"/>
      <c r="N869" s="306"/>
      <c r="O869" s="306"/>
      <c r="P869" s="306"/>
      <c r="Q869" s="306"/>
      <c r="R869" s="306"/>
      <c r="S869" s="306"/>
      <c r="T869" s="306"/>
      <c r="U869" s="306"/>
      <c r="V869" s="305"/>
      <c r="W869" s="306"/>
      <c r="X869" s="306"/>
      <c r="Y869" s="306"/>
      <c r="Z869" s="307"/>
      <c r="AA869" s="306"/>
      <c r="AB869" s="306"/>
      <c r="AC869" s="306"/>
    </row>
    <row r="870">
      <c r="A870" s="306"/>
      <c r="B870" s="306"/>
      <c r="C870" s="306"/>
      <c r="D870" s="305"/>
      <c r="E870" s="306"/>
      <c r="F870" s="306"/>
      <c r="G870" s="306"/>
      <c r="H870" s="306"/>
      <c r="I870" s="306"/>
      <c r="J870" s="306"/>
      <c r="K870" s="307"/>
      <c r="L870" s="306"/>
      <c r="M870" s="306"/>
      <c r="N870" s="306"/>
      <c r="O870" s="306"/>
      <c r="P870" s="306"/>
      <c r="Q870" s="306"/>
      <c r="R870" s="306"/>
      <c r="S870" s="306"/>
      <c r="T870" s="306"/>
      <c r="U870" s="306"/>
      <c r="V870" s="305"/>
      <c r="W870" s="306"/>
      <c r="X870" s="306"/>
      <c r="Y870" s="306"/>
      <c r="Z870" s="307"/>
      <c r="AA870" s="306"/>
      <c r="AB870" s="306"/>
      <c r="AC870" s="306"/>
    </row>
    <row r="871">
      <c r="A871" s="306"/>
      <c r="B871" s="306"/>
      <c r="C871" s="306"/>
      <c r="D871" s="305"/>
      <c r="E871" s="306"/>
      <c r="F871" s="306"/>
      <c r="G871" s="306"/>
      <c r="H871" s="306"/>
      <c r="I871" s="306"/>
      <c r="J871" s="306"/>
      <c r="K871" s="307"/>
      <c r="L871" s="306"/>
      <c r="M871" s="306"/>
      <c r="N871" s="306"/>
      <c r="O871" s="306"/>
      <c r="P871" s="306"/>
      <c r="Q871" s="306"/>
      <c r="R871" s="306"/>
      <c r="S871" s="306"/>
      <c r="T871" s="306"/>
      <c r="U871" s="306"/>
      <c r="V871" s="305"/>
      <c r="W871" s="306"/>
      <c r="X871" s="306"/>
      <c r="Y871" s="306"/>
      <c r="Z871" s="307"/>
      <c r="AA871" s="306"/>
      <c r="AB871" s="306"/>
      <c r="AC871" s="306"/>
    </row>
    <row r="872">
      <c r="A872" s="306"/>
      <c r="B872" s="306"/>
      <c r="C872" s="306"/>
      <c r="D872" s="305"/>
      <c r="E872" s="306"/>
      <c r="F872" s="306"/>
      <c r="G872" s="306"/>
      <c r="H872" s="306"/>
      <c r="I872" s="306"/>
      <c r="J872" s="306"/>
      <c r="K872" s="307"/>
      <c r="L872" s="306"/>
      <c r="M872" s="306"/>
      <c r="N872" s="306"/>
      <c r="O872" s="306"/>
      <c r="P872" s="306"/>
      <c r="Q872" s="306"/>
      <c r="R872" s="306"/>
      <c r="S872" s="306"/>
      <c r="T872" s="306"/>
      <c r="U872" s="306"/>
      <c r="V872" s="305"/>
      <c r="W872" s="306"/>
      <c r="X872" s="306"/>
      <c r="Y872" s="306"/>
      <c r="Z872" s="307"/>
      <c r="AA872" s="306"/>
      <c r="AB872" s="306"/>
      <c r="AC872" s="306"/>
    </row>
    <row r="873">
      <c r="A873" s="306"/>
      <c r="B873" s="306"/>
      <c r="C873" s="306"/>
      <c r="D873" s="305"/>
      <c r="E873" s="306"/>
      <c r="F873" s="306"/>
      <c r="G873" s="306"/>
      <c r="H873" s="306"/>
      <c r="I873" s="306"/>
      <c r="J873" s="306"/>
      <c r="K873" s="307"/>
      <c r="L873" s="306"/>
      <c r="M873" s="306"/>
      <c r="N873" s="306"/>
      <c r="O873" s="306"/>
      <c r="P873" s="306"/>
      <c r="Q873" s="306"/>
      <c r="R873" s="306"/>
      <c r="S873" s="306"/>
      <c r="T873" s="306"/>
      <c r="U873" s="306"/>
      <c r="V873" s="305"/>
      <c r="W873" s="306"/>
      <c r="X873" s="306"/>
      <c r="Y873" s="306"/>
      <c r="Z873" s="307"/>
      <c r="AA873" s="306"/>
      <c r="AB873" s="306"/>
      <c r="AC873" s="306"/>
    </row>
    <row r="874">
      <c r="A874" s="306"/>
      <c r="B874" s="306"/>
      <c r="C874" s="306"/>
      <c r="D874" s="305"/>
      <c r="E874" s="306"/>
      <c r="F874" s="306"/>
      <c r="G874" s="306"/>
      <c r="H874" s="306"/>
      <c r="I874" s="306"/>
      <c r="J874" s="306"/>
      <c r="K874" s="307"/>
      <c r="L874" s="306"/>
      <c r="M874" s="306"/>
      <c r="N874" s="306"/>
      <c r="O874" s="306"/>
      <c r="P874" s="306"/>
      <c r="Q874" s="306"/>
      <c r="R874" s="306"/>
      <c r="S874" s="306"/>
      <c r="T874" s="306"/>
      <c r="U874" s="306"/>
      <c r="V874" s="305"/>
      <c r="W874" s="306"/>
      <c r="X874" s="306"/>
      <c r="Y874" s="306"/>
      <c r="Z874" s="307"/>
      <c r="AA874" s="306"/>
      <c r="AB874" s="306"/>
      <c r="AC874" s="306"/>
    </row>
    <row r="875">
      <c r="A875" s="306"/>
      <c r="B875" s="306"/>
      <c r="C875" s="306"/>
      <c r="D875" s="305"/>
      <c r="E875" s="306"/>
      <c r="F875" s="306"/>
      <c r="G875" s="306"/>
      <c r="H875" s="306"/>
      <c r="I875" s="306"/>
      <c r="J875" s="306"/>
      <c r="K875" s="307"/>
      <c r="L875" s="306"/>
      <c r="M875" s="306"/>
      <c r="N875" s="306"/>
      <c r="O875" s="306"/>
      <c r="P875" s="306"/>
      <c r="Q875" s="306"/>
      <c r="R875" s="306"/>
      <c r="S875" s="306"/>
      <c r="T875" s="306"/>
      <c r="U875" s="306"/>
      <c r="V875" s="305"/>
      <c r="W875" s="306"/>
      <c r="X875" s="306"/>
      <c r="Y875" s="306"/>
      <c r="Z875" s="307"/>
      <c r="AA875" s="306"/>
      <c r="AB875" s="306"/>
      <c r="AC875" s="306"/>
    </row>
    <row r="876">
      <c r="A876" s="306"/>
      <c r="B876" s="306"/>
      <c r="C876" s="306"/>
      <c r="D876" s="305"/>
      <c r="E876" s="306"/>
      <c r="F876" s="306"/>
      <c r="G876" s="306"/>
      <c r="H876" s="306"/>
      <c r="I876" s="306"/>
      <c r="J876" s="306"/>
      <c r="K876" s="307"/>
      <c r="L876" s="306"/>
      <c r="M876" s="306"/>
      <c r="N876" s="306"/>
      <c r="O876" s="306"/>
      <c r="P876" s="306"/>
      <c r="Q876" s="306"/>
      <c r="R876" s="306"/>
      <c r="S876" s="306"/>
      <c r="T876" s="306"/>
      <c r="U876" s="306"/>
      <c r="V876" s="305"/>
      <c r="W876" s="306"/>
      <c r="X876" s="306"/>
      <c r="Y876" s="306"/>
      <c r="Z876" s="307"/>
      <c r="AA876" s="306"/>
      <c r="AB876" s="306"/>
      <c r="AC876" s="306"/>
    </row>
    <row r="877">
      <c r="A877" s="306"/>
      <c r="B877" s="306"/>
      <c r="C877" s="306"/>
      <c r="D877" s="305"/>
      <c r="E877" s="306"/>
      <c r="F877" s="306"/>
      <c r="G877" s="306"/>
      <c r="H877" s="306"/>
      <c r="I877" s="306"/>
      <c r="J877" s="306"/>
      <c r="K877" s="307"/>
      <c r="L877" s="306"/>
      <c r="M877" s="306"/>
      <c r="N877" s="306"/>
      <c r="O877" s="306"/>
      <c r="P877" s="306"/>
      <c r="Q877" s="306"/>
      <c r="R877" s="306"/>
      <c r="S877" s="306"/>
      <c r="T877" s="306"/>
      <c r="U877" s="306"/>
      <c r="V877" s="305"/>
      <c r="W877" s="306"/>
      <c r="X877" s="306"/>
      <c r="Y877" s="306"/>
      <c r="Z877" s="307"/>
      <c r="AA877" s="306"/>
      <c r="AB877" s="306"/>
      <c r="AC877" s="306"/>
    </row>
    <row r="878">
      <c r="A878" s="306"/>
      <c r="B878" s="306"/>
      <c r="C878" s="306"/>
      <c r="D878" s="305"/>
      <c r="E878" s="306"/>
      <c r="F878" s="306"/>
      <c r="G878" s="306"/>
      <c r="H878" s="306"/>
      <c r="I878" s="306"/>
      <c r="J878" s="306"/>
      <c r="K878" s="307"/>
      <c r="L878" s="306"/>
      <c r="M878" s="306"/>
      <c r="N878" s="306"/>
      <c r="O878" s="306"/>
      <c r="P878" s="306"/>
      <c r="Q878" s="306"/>
      <c r="R878" s="306"/>
      <c r="S878" s="306"/>
      <c r="T878" s="306"/>
      <c r="U878" s="306"/>
      <c r="V878" s="305"/>
      <c r="W878" s="306"/>
      <c r="X878" s="306"/>
      <c r="Y878" s="306"/>
      <c r="Z878" s="307"/>
      <c r="AA878" s="306"/>
      <c r="AB878" s="306"/>
      <c r="AC878" s="306"/>
    </row>
    <row r="879">
      <c r="A879" s="306"/>
      <c r="B879" s="306"/>
      <c r="C879" s="306"/>
      <c r="D879" s="305"/>
      <c r="E879" s="306"/>
      <c r="F879" s="306"/>
      <c r="G879" s="306"/>
      <c r="H879" s="306"/>
      <c r="I879" s="306"/>
      <c r="J879" s="306"/>
      <c r="K879" s="307"/>
      <c r="L879" s="306"/>
      <c r="M879" s="306"/>
      <c r="N879" s="306"/>
      <c r="O879" s="306"/>
      <c r="P879" s="306"/>
      <c r="Q879" s="306"/>
      <c r="R879" s="306"/>
      <c r="S879" s="306"/>
      <c r="T879" s="306"/>
      <c r="U879" s="306"/>
      <c r="V879" s="305"/>
      <c r="W879" s="306"/>
      <c r="X879" s="306"/>
      <c r="Y879" s="306"/>
      <c r="Z879" s="307"/>
      <c r="AA879" s="306"/>
      <c r="AB879" s="306"/>
      <c r="AC879" s="306"/>
    </row>
    <row r="880">
      <c r="A880" s="306"/>
      <c r="B880" s="306"/>
      <c r="C880" s="306"/>
      <c r="D880" s="305"/>
      <c r="E880" s="306"/>
      <c r="F880" s="306"/>
      <c r="G880" s="306"/>
      <c r="H880" s="306"/>
      <c r="I880" s="306"/>
      <c r="J880" s="306"/>
      <c r="K880" s="307"/>
      <c r="L880" s="306"/>
      <c r="M880" s="306"/>
      <c r="N880" s="306"/>
      <c r="O880" s="306"/>
      <c r="P880" s="306"/>
      <c r="Q880" s="306"/>
      <c r="R880" s="306"/>
      <c r="S880" s="306"/>
      <c r="T880" s="306"/>
      <c r="U880" s="306"/>
      <c r="V880" s="305"/>
      <c r="W880" s="306"/>
      <c r="X880" s="306"/>
      <c r="Y880" s="306"/>
      <c r="Z880" s="307"/>
      <c r="AA880" s="306"/>
      <c r="AB880" s="306"/>
      <c r="AC880" s="306"/>
    </row>
    <row r="881">
      <c r="A881" s="306"/>
      <c r="B881" s="306"/>
      <c r="C881" s="306"/>
      <c r="D881" s="305"/>
      <c r="E881" s="306"/>
      <c r="F881" s="306"/>
      <c r="G881" s="306"/>
      <c r="H881" s="306"/>
      <c r="I881" s="306"/>
      <c r="J881" s="306"/>
      <c r="K881" s="307"/>
      <c r="L881" s="306"/>
      <c r="M881" s="306"/>
      <c r="N881" s="306"/>
      <c r="O881" s="306"/>
      <c r="P881" s="306"/>
      <c r="Q881" s="306"/>
      <c r="R881" s="306"/>
      <c r="S881" s="306"/>
      <c r="T881" s="306"/>
      <c r="U881" s="306"/>
      <c r="V881" s="305"/>
      <c r="W881" s="306"/>
      <c r="X881" s="306"/>
      <c r="Y881" s="306"/>
      <c r="Z881" s="307"/>
      <c r="AA881" s="306"/>
      <c r="AB881" s="306"/>
      <c r="AC881" s="306"/>
    </row>
    <row r="882">
      <c r="A882" s="306"/>
      <c r="B882" s="306"/>
      <c r="C882" s="306"/>
      <c r="D882" s="305"/>
      <c r="E882" s="306"/>
      <c r="F882" s="306"/>
      <c r="G882" s="306"/>
      <c r="H882" s="306"/>
      <c r="I882" s="306"/>
      <c r="J882" s="306"/>
      <c r="K882" s="307"/>
      <c r="L882" s="306"/>
      <c r="M882" s="306"/>
      <c r="N882" s="306"/>
      <c r="O882" s="306"/>
      <c r="P882" s="306"/>
      <c r="Q882" s="306"/>
      <c r="R882" s="306"/>
      <c r="S882" s="306"/>
      <c r="T882" s="306"/>
      <c r="U882" s="306"/>
      <c r="V882" s="305"/>
      <c r="W882" s="306"/>
      <c r="X882" s="306"/>
      <c r="Y882" s="306"/>
      <c r="Z882" s="307"/>
      <c r="AA882" s="306"/>
      <c r="AB882" s="306"/>
      <c r="AC882" s="306"/>
    </row>
    <row r="883">
      <c r="A883" s="306"/>
      <c r="B883" s="306"/>
      <c r="C883" s="306"/>
      <c r="D883" s="305"/>
      <c r="E883" s="306"/>
      <c r="F883" s="306"/>
      <c r="G883" s="306"/>
      <c r="H883" s="306"/>
      <c r="I883" s="306"/>
      <c r="J883" s="306"/>
      <c r="K883" s="307"/>
      <c r="L883" s="306"/>
      <c r="M883" s="306"/>
      <c r="N883" s="306"/>
      <c r="O883" s="306"/>
      <c r="P883" s="306"/>
      <c r="Q883" s="306"/>
      <c r="R883" s="306"/>
      <c r="S883" s="306"/>
      <c r="T883" s="306"/>
      <c r="U883" s="306"/>
      <c r="V883" s="305"/>
      <c r="W883" s="306"/>
      <c r="X883" s="306"/>
      <c r="Y883" s="306"/>
      <c r="Z883" s="307"/>
      <c r="AA883" s="306"/>
      <c r="AB883" s="306"/>
      <c r="AC883" s="306"/>
    </row>
    <row r="884">
      <c r="A884" s="306"/>
      <c r="B884" s="306"/>
      <c r="C884" s="306"/>
      <c r="D884" s="305"/>
      <c r="E884" s="306"/>
      <c r="F884" s="306"/>
      <c r="G884" s="306"/>
      <c r="H884" s="306"/>
      <c r="I884" s="306"/>
      <c r="J884" s="306"/>
      <c r="K884" s="307"/>
      <c r="L884" s="306"/>
      <c r="M884" s="306"/>
      <c r="N884" s="306"/>
      <c r="O884" s="306"/>
      <c r="P884" s="306"/>
      <c r="Q884" s="306"/>
      <c r="R884" s="306"/>
      <c r="S884" s="306"/>
      <c r="T884" s="306"/>
      <c r="U884" s="306"/>
      <c r="V884" s="305"/>
      <c r="W884" s="306"/>
      <c r="X884" s="306"/>
      <c r="Y884" s="306"/>
      <c r="Z884" s="307"/>
      <c r="AA884" s="306"/>
      <c r="AB884" s="306"/>
      <c r="AC884" s="306"/>
    </row>
    <row r="885">
      <c r="A885" s="306"/>
      <c r="B885" s="306"/>
      <c r="C885" s="306"/>
      <c r="D885" s="305"/>
      <c r="E885" s="306"/>
      <c r="F885" s="306"/>
      <c r="G885" s="306"/>
      <c r="H885" s="306"/>
      <c r="I885" s="306"/>
      <c r="J885" s="306"/>
      <c r="K885" s="307"/>
      <c r="L885" s="306"/>
      <c r="M885" s="306"/>
      <c r="N885" s="306"/>
      <c r="O885" s="306"/>
      <c r="P885" s="306"/>
      <c r="Q885" s="306"/>
      <c r="R885" s="306"/>
      <c r="S885" s="306"/>
      <c r="T885" s="306"/>
      <c r="U885" s="306"/>
      <c r="V885" s="305"/>
      <c r="W885" s="306"/>
      <c r="X885" s="306"/>
      <c r="Y885" s="306"/>
      <c r="Z885" s="307"/>
      <c r="AA885" s="306"/>
      <c r="AB885" s="306"/>
      <c r="AC885" s="306"/>
    </row>
    <row r="886">
      <c r="A886" s="306"/>
      <c r="B886" s="306"/>
      <c r="C886" s="306"/>
      <c r="D886" s="305"/>
      <c r="E886" s="306"/>
      <c r="F886" s="306"/>
      <c r="G886" s="306"/>
      <c r="H886" s="306"/>
      <c r="I886" s="306"/>
      <c r="J886" s="306"/>
      <c r="K886" s="307"/>
      <c r="L886" s="306"/>
      <c r="M886" s="306"/>
      <c r="N886" s="306"/>
      <c r="O886" s="306"/>
      <c r="P886" s="306"/>
      <c r="Q886" s="306"/>
      <c r="R886" s="306"/>
      <c r="S886" s="306"/>
      <c r="T886" s="306"/>
      <c r="U886" s="306"/>
      <c r="V886" s="305"/>
      <c r="W886" s="306"/>
      <c r="X886" s="306"/>
      <c r="Y886" s="306"/>
      <c r="Z886" s="307"/>
      <c r="AA886" s="306"/>
      <c r="AB886" s="306"/>
      <c r="AC886" s="306"/>
    </row>
    <row r="887">
      <c r="A887" s="306"/>
      <c r="B887" s="306"/>
      <c r="C887" s="306"/>
      <c r="D887" s="305"/>
      <c r="E887" s="306"/>
      <c r="F887" s="306"/>
      <c r="G887" s="306"/>
      <c r="H887" s="306"/>
      <c r="I887" s="306"/>
      <c r="J887" s="306"/>
      <c r="K887" s="307"/>
      <c r="L887" s="306"/>
      <c r="M887" s="306"/>
      <c r="N887" s="306"/>
      <c r="O887" s="306"/>
      <c r="P887" s="306"/>
      <c r="Q887" s="306"/>
      <c r="R887" s="306"/>
      <c r="S887" s="306"/>
      <c r="T887" s="306"/>
      <c r="U887" s="306"/>
      <c r="V887" s="305"/>
      <c r="W887" s="306"/>
      <c r="X887" s="306"/>
      <c r="Y887" s="306"/>
      <c r="Z887" s="307"/>
      <c r="AA887" s="306"/>
      <c r="AB887" s="306"/>
      <c r="AC887" s="306"/>
    </row>
    <row r="888">
      <c r="A888" s="306"/>
      <c r="B888" s="306"/>
      <c r="C888" s="306"/>
      <c r="D888" s="305"/>
      <c r="E888" s="306"/>
      <c r="F888" s="306"/>
      <c r="G888" s="306"/>
      <c r="H888" s="306"/>
      <c r="I888" s="306"/>
      <c r="J888" s="306"/>
      <c r="K888" s="307"/>
      <c r="L888" s="306"/>
      <c r="M888" s="306"/>
      <c r="N888" s="306"/>
      <c r="O888" s="306"/>
      <c r="P888" s="306"/>
      <c r="Q888" s="306"/>
      <c r="R888" s="306"/>
      <c r="S888" s="306"/>
      <c r="T888" s="306"/>
      <c r="U888" s="306"/>
      <c r="V888" s="305"/>
      <c r="W888" s="306"/>
      <c r="X888" s="306"/>
      <c r="Y888" s="306"/>
      <c r="Z888" s="307"/>
      <c r="AA888" s="306"/>
      <c r="AB888" s="306"/>
      <c r="AC888" s="306"/>
    </row>
    <row r="889">
      <c r="A889" s="306"/>
      <c r="B889" s="306"/>
      <c r="C889" s="306"/>
      <c r="D889" s="305"/>
      <c r="E889" s="306"/>
      <c r="F889" s="306"/>
      <c r="G889" s="306"/>
      <c r="H889" s="306"/>
      <c r="I889" s="306"/>
      <c r="J889" s="306"/>
      <c r="K889" s="307"/>
      <c r="L889" s="306"/>
      <c r="M889" s="306"/>
      <c r="N889" s="306"/>
      <c r="O889" s="306"/>
      <c r="P889" s="306"/>
      <c r="Q889" s="306"/>
      <c r="R889" s="306"/>
      <c r="S889" s="306"/>
      <c r="T889" s="306"/>
      <c r="U889" s="306"/>
      <c r="V889" s="305"/>
      <c r="W889" s="306"/>
      <c r="X889" s="306"/>
      <c r="Y889" s="306"/>
      <c r="Z889" s="307"/>
      <c r="AA889" s="306"/>
      <c r="AB889" s="306"/>
      <c r="AC889" s="306"/>
    </row>
    <row r="890">
      <c r="A890" s="306"/>
      <c r="B890" s="306"/>
      <c r="C890" s="306"/>
      <c r="D890" s="305"/>
      <c r="E890" s="306"/>
      <c r="F890" s="306"/>
      <c r="G890" s="306"/>
      <c r="H890" s="306"/>
      <c r="I890" s="306"/>
      <c r="J890" s="306"/>
      <c r="K890" s="307"/>
      <c r="L890" s="306"/>
      <c r="M890" s="306"/>
      <c r="N890" s="306"/>
      <c r="O890" s="306"/>
      <c r="P890" s="306"/>
      <c r="Q890" s="306"/>
      <c r="R890" s="306"/>
      <c r="S890" s="306"/>
      <c r="T890" s="306"/>
      <c r="U890" s="306"/>
      <c r="V890" s="305"/>
      <c r="W890" s="306"/>
      <c r="X890" s="306"/>
      <c r="Y890" s="306"/>
      <c r="Z890" s="307"/>
      <c r="AA890" s="306"/>
      <c r="AB890" s="306"/>
      <c r="AC890" s="306"/>
    </row>
    <row r="891">
      <c r="A891" s="306"/>
      <c r="B891" s="306"/>
      <c r="C891" s="306"/>
      <c r="D891" s="305"/>
      <c r="E891" s="306"/>
      <c r="F891" s="306"/>
      <c r="G891" s="306"/>
      <c r="H891" s="306"/>
      <c r="I891" s="306"/>
      <c r="J891" s="306"/>
      <c r="K891" s="307"/>
      <c r="L891" s="306"/>
      <c r="M891" s="306"/>
      <c r="N891" s="306"/>
      <c r="O891" s="306"/>
      <c r="P891" s="306"/>
      <c r="Q891" s="306"/>
      <c r="R891" s="306"/>
      <c r="S891" s="306"/>
      <c r="T891" s="306"/>
      <c r="U891" s="306"/>
      <c r="V891" s="305"/>
      <c r="W891" s="306"/>
      <c r="X891" s="306"/>
      <c r="Y891" s="306"/>
      <c r="Z891" s="307"/>
      <c r="AA891" s="306"/>
      <c r="AB891" s="306"/>
      <c r="AC891" s="306"/>
    </row>
    <row r="892">
      <c r="A892" s="306"/>
      <c r="B892" s="306"/>
      <c r="C892" s="306"/>
      <c r="D892" s="305"/>
      <c r="E892" s="306"/>
      <c r="F892" s="306"/>
      <c r="G892" s="306"/>
      <c r="H892" s="306"/>
      <c r="I892" s="306"/>
      <c r="J892" s="306"/>
      <c r="K892" s="307"/>
      <c r="L892" s="306"/>
      <c r="M892" s="306"/>
      <c r="N892" s="306"/>
      <c r="O892" s="306"/>
      <c r="P892" s="306"/>
      <c r="Q892" s="306"/>
      <c r="R892" s="306"/>
      <c r="S892" s="306"/>
      <c r="T892" s="306"/>
      <c r="U892" s="306"/>
      <c r="V892" s="305"/>
      <c r="W892" s="306"/>
      <c r="X892" s="306"/>
      <c r="Y892" s="306"/>
      <c r="Z892" s="307"/>
      <c r="AA892" s="306"/>
      <c r="AB892" s="306"/>
      <c r="AC892" s="306"/>
    </row>
    <row r="893">
      <c r="A893" s="306"/>
      <c r="B893" s="306"/>
      <c r="C893" s="306"/>
      <c r="D893" s="305"/>
      <c r="E893" s="306"/>
      <c r="F893" s="306"/>
      <c r="G893" s="306"/>
      <c r="H893" s="306"/>
      <c r="I893" s="306"/>
      <c r="J893" s="306"/>
      <c r="K893" s="307"/>
      <c r="L893" s="306"/>
      <c r="M893" s="306"/>
      <c r="N893" s="306"/>
      <c r="O893" s="306"/>
      <c r="P893" s="306"/>
      <c r="Q893" s="306"/>
      <c r="R893" s="306"/>
      <c r="S893" s="306"/>
      <c r="T893" s="306"/>
      <c r="U893" s="306"/>
      <c r="V893" s="305"/>
      <c r="W893" s="306"/>
      <c r="X893" s="306"/>
      <c r="Y893" s="306"/>
      <c r="Z893" s="307"/>
      <c r="AA893" s="306"/>
      <c r="AB893" s="306"/>
      <c r="AC893" s="306"/>
    </row>
    <row r="894">
      <c r="A894" s="306"/>
      <c r="B894" s="306"/>
      <c r="C894" s="306"/>
      <c r="D894" s="305"/>
      <c r="E894" s="306"/>
      <c r="F894" s="306"/>
      <c r="G894" s="306"/>
      <c r="H894" s="306"/>
      <c r="I894" s="306"/>
      <c r="J894" s="306"/>
      <c r="K894" s="307"/>
      <c r="L894" s="306"/>
      <c r="M894" s="306"/>
      <c r="N894" s="306"/>
      <c r="O894" s="306"/>
      <c r="P894" s="306"/>
      <c r="Q894" s="306"/>
      <c r="R894" s="306"/>
      <c r="S894" s="306"/>
      <c r="T894" s="306"/>
      <c r="U894" s="306"/>
      <c r="V894" s="305"/>
      <c r="W894" s="306"/>
      <c r="X894" s="306"/>
      <c r="Y894" s="306"/>
      <c r="Z894" s="307"/>
      <c r="AA894" s="306"/>
      <c r="AB894" s="306"/>
      <c r="AC894" s="306"/>
    </row>
    <row r="895">
      <c r="A895" s="306"/>
      <c r="B895" s="306"/>
      <c r="C895" s="306"/>
      <c r="D895" s="305"/>
      <c r="E895" s="306"/>
      <c r="F895" s="306"/>
      <c r="G895" s="306"/>
      <c r="H895" s="306"/>
      <c r="I895" s="306"/>
      <c r="J895" s="306"/>
      <c r="K895" s="307"/>
      <c r="L895" s="306"/>
      <c r="M895" s="306"/>
      <c r="N895" s="306"/>
      <c r="O895" s="306"/>
      <c r="P895" s="306"/>
      <c r="Q895" s="306"/>
      <c r="R895" s="306"/>
      <c r="S895" s="306"/>
      <c r="T895" s="306"/>
      <c r="U895" s="306"/>
      <c r="V895" s="305"/>
      <c r="W895" s="306"/>
      <c r="X895" s="306"/>
      <c r="Y895" s="306"/>
      <c r="Z895" s="307"/>
      <c r="AA895" s="306"/>
      <c r="AB895" s="306"/>
      <c r="AC895" s="306"/>
    </row>
    <row r="896">
      <c r="A896" s="306"/>
      <c r="B896" s="306"/>
      <c r="C896" s="306"/>
      <c r="D896" s="305"/>
      <c r="E896" s="306"/>
      <c r="F896" s="306"/>
      <c r="G896" s="306"/>
      <c r="H896" s="306"/>
      <c r="I896" s="306"/>
      <c r="J896" s="306"/>
      <c r="K896" s="307"/>
      <c r="L896" s="306"/>
      <c r="M896" s="306"/>
      <c r="N896" s="306"/>
      <c r="O896" s="306"/>
      <c r="P896" s="306"/>
      <c r="Q896" s="306"/>
      <c r="R896" s="306"/>
      <c r="S896" s="306"/>
      <c r="T896" s="306"/>
      <c r="U896" s="306"/>
      <c r="V896" s="305"/>
      <c r="W896" s="306"/>
      <c r="X896" s="306"/>
      <c r="Y896" s="306"/>
      <c r="Z896" s="307"/>
      <c r="AA896" s="306"/>
      <c r="AB896" s="306"/>
      <c r="AC896" s="306"/>
    </row>
    <row r="897">
      <c r="A897" s="306"/>
      <c r="B897" s="306"/>
      <c r="C897" s="306"/>
      <c r="D897" s="305"/>
      <c r="E897" s="306"/>
      <c r="F897" s="306"/>
      <c r="G897" s="306"/>
      <c r="H897" s="306"/>
      <c r="I897" s="306"/>
      <c r="J897" s="306"/>
      <c r="K897" s="307"/>
      <c r="L897" s="306"/>
      <c r="M897" s="306"/>
      <c r="N897" s="306"/>
      <c r="O897" s="306"/>
      <c r="P897" s="306"/>
      <c r="Q897" s="306"/>
      <c r="R897" s="306"/>
      <c r="S897" s="306"/>
      <c r="T897" s="306"/>
      <c r="U897" s="306"/>
      <c r="V897" s="305"/>
      <c r="W897" s="306"/>
      <c r="X897" s="306"/>
      <c r="Y897" s="306"/>
      <c r="Z897" s="307"/>
      <c r="AA897" s="306"/>
      <c r="AB897" s="306"/>
      <c r="AC897" s="306"/>
    </row>
    <row r="898">
      <c r="A898" s="306"/>
      <c r="B898" s="306"/>
      <c r="C898" s="306"/>
      <c r="D898" s="305"/>
      <c r="E898" s="306"/>
      <c r="F898" s="306"/>
      <c r="G898" s="306"/>
      <c r="H898" s="306"/>
      <c r="I898" s="306"/>
      <c r="J898" s="306"/>
      <c r="K898" s="307"/>
      <c r="L898" s="306"/>
      <c r="M898" s="306"/>
      <c r="N898" s="306"/>
      <c r="O898" s="306"/>
      <c r="P898" s="306"/>
      <c r="Q898" s="306"/>
      <c r="R898" s="306"/>
      <c r="S898" s="306"/>
      <c r="T898" s="306"/>
      <c r="U898" s="306"/>
      <c r="V898" s="305"/>
      <c r="W898" s="306"/>
      <c r="X898" s="306"/>
      <c r="Y898" s="306"/>
      <c r="Z898" s="307"/>
      <c r="AA898" s="306"/>
      <c r="AB898" s="306"/>
      <c r="AC898" s="306"/>
    </row>
    <row r="899">
      <c r="A899" s="306"/>
      <c r="B899" s="306"/>
      <c r="C899" s="306"/>
      <c r="D899" s="305"/>
      <c r="E899" s="306"/>
      <c r="F899" s="306"/>
      <c r="G899" s="306"/>
      <c r="H899" s="306"/>
      <c r="I899" s="306"/>
      <c r="J899" s="306"/>
      <c r="K899" s="307"/>
      <c r="L899" s="306"/>
      <c r="M899" s="306"/>
      <c r="N899" s="306"/>
      <c r="O899" s="306"/>
      <c r="P899" s="306"/>
      <c r="Q899" s="306"/>
      <c r="R899" s="306"/>
      <c r="S899" s="306"/>
      <c r="T899" s="306"/>
      <c r="U899" s="306"/>
      <c r="V899" s="305"/>
      <c r="W899" s="306"/>
      <c r="X899" s="306"/>
      <c r="Y899" s="306"/>
      <c r="Z899" s="307"/>
      <c r="AA899" s="306"/>
      <c r="AB899" s="306"/>
      <c r="AC899" s="306"/>
    </row>
    <row r="900">
      <c r="A900" s="306"/>
      <c r="B900" s="306"/>
      <c r="C900" s="306"/>
      <c r="D900" s="305"/>
      <c r="E900" s="306"/>
      <c r="F900" s="306"/>
      <c r="G900" s="306"/>
      <c r="H900" s="306"/>
      <c r="I900" s="306"/>
      <c r="J900" s="306"/>
      <c r="K900" s="307"/>
      <c r="L900" s="306"/>
      <c r="M900" s="306"/>
      <c r="N900" s="306"/>
      <c r="O900" s="306"/>
      <c r="P900" s="306"/>
      <c r="Q900" s="306"/>
      <c r="R900" s="306"/>
      <c r="S900" s="306"/>
      <c r="T900" s="306"/>
      <c r="U900" s="306"/>
      <c r="V900" s="305"/>
      <c r="W900" s="306"/>
      <c r="X900" s="306"/>
      <c r="Y900" s="306"/>
      <c r="Z900" s="307"/>
      <c r="AA900" s="306"/>
      <c r="AB900" s="306"/>
      <c r="AC900" s="306"/>
    </row>
    <row r="901">
      <c r="A901" s="306"/>
      <c r="B901" s="306"/>
      <c r="C901" s="306"/>
      <c r="D901" s="305"/>
      <c r="E901" s="306"/>
      <c r="F901" s="306"/>
      <c r="G901" s="306"/>
      <c r="H901" s="306"/>
      <c r="I901" s="306"/>
      <c r="J901" s="306"/>
      <c r="K901" s="307"/>
      <c r="L901" s="306"/>
      <c r="M901" s="306"/>
      <c r="N901" s="306"/>
      <c r="O901" s="306"/>
      <c r="P901" s="306"/>
      <c r="Q901" s="306"/>
      <c r="R901" s="306"/>
      <c r="S901" s="306"/>
      <c r="T901" s="306"/>
      <c r="U901" s="306"/>
      <c r="V901" s="305"/>
      <c r="W901" s="306"/>
      <c r="X901" s="306"/>
      <c r="Y901" s="306"/>
      <c r="Z901" s="307"/>
      <c r="AA901" s="306"/>
      <c r="AB901" s="306"/>
      <c r="AC901" s="306"/>
    </row>
    <row r="902">
      <c r="A902" s="306"/>
      <c r="B902" s="306"/>
      <c r="C902" s="306"/>
      <c r="D902" s="305"/>
      <c r="E902" s="306"/>
      <c r="F902" s="306"/>
      <c r="G902" s="306"/>
      <c r="H902" s="306"/>
      <c r="I902" s="306"/>
      <c r="J902" s="306"/>
      <c r="K902" s="307"/>
      <c r="L902" s="306"/>
      <c r="M902" s="306"/>
      <c r="N902" s="306"/>
      <c r="O902" s="306"/>
      <c r="P902" s="306"/>
      <c r="Q902" s="306"/>
      <c r="R902" s="306"/>
      <c r="S902" s="306"/>
      <c r="T902" s="306"/>
      <c r="U902" s="306"/>
      <c r="V902" s="305"/>
      <c r="W902" s="306"/>
      <c r="X902" s="306"/>
      <c r="Y902" s="306"/>
      <c r="Z902" s="307"/>
      <c r="AA902" s="306"/>
      <c r="AB902" s="306"/>
      <c r="AC902" s="306"/>
    </row>
    <row r="903">
      <c r="A903" s="306"/>
      <c r="B903" s="306"/>
      <c r="C903" s="306"/>
      <c r="D903" s="305"/>
      <c r="E903" s="306"/>
      <c r="F903" s="306"/>
      <c r="G903" s="306"/>
      <c r="H903" s="306"/>
      <c r="I903" s="306"/>
      <c r="J903" s="306"/>
      <c r="K903" s="307"/>
      <c r="L903" s="306"/>
      <c r="M903" s="306"/>
      <c r="N903" s="306"/>
      <c r="O903" s="306"/>
      <c r="P903" s="306"/>
      <c r="Q903" s="306"/>
      <c r="R903" s="306"/>
      <c r="S903" s="306"/>
      <c r="T903" s="306"/>
      <c r="U903" s="306"/>
      <c r="V903" s="305"/>
      <c r="W903" s="306"/>
      <c r="X903" s="306"/>
      <c r="Y903" s="306"/>
      <c r="Z903" s="307"/>
      <c r="AA903" s="306"/>
      <c r="AB903" s="306"/>
      <c r="AC903" s="306"/>
    </row>
    <row r="904">
      <c r="A904" s="306"/>
      <c r="B904" s="306"/>
      <c r="C904" s="306"/>
      <c r="D904" s="305"/>
      <c r="E904" s="306"/>
      <c r="F904" s="306"/>
      <c r="G904" s="306"/>
      <c r="H904" s="306"/>
      <c r="I904" s="306"/>
      <c r="J904" s="306"/>
      <c r="K904" s="307"/>
      <c r="L904" s="306"/>
      <c r="M904" s="306"/>
      <c r="N904" s="306"/>
      <c r="O904" s="306"/>
      <c r="P904" s="306"/>
      <c r="Q904" s="306"/>
      <c r="R904" s="306"/>
      <c r="S904" s="306"/>
      <c r="T904" s="306"/>
      <c r="U904" s="306"/>
      <c r="V904" s="305"/>
      <c r="W904" s="306"/>
      <c r="X904" s="306"/>
      <c r="Y904" s="306"/>
      <c r="Z904" s="307"/>
      <c r="AA904" s="306"/>
      <c r="AB904" s="306"/>
      <c r="AC904" s="306"/>
    </row>
    <row r="905">
      <c r="A905" s="306"/>
      <c r="B905" s="306"/>
      <c r="C905" s="306"/>
      <c r="D905" s="305"/>
      <c r="E905" s="306"/>
      <c r="F905" s="306"/>
      <c r="G905" s="306"/>
      <c r="H905" s="306"/>
      <c r="I905" s="306"/>
      <c r="J905" s="306"/>
      <c r="K905" s="307"/>
      <c r="L905" s="306"/>
      <c r="M905" s="306"/>
      <c r="N905" s="306"/>
      <c r="O905" s="306"/>
      <c r="P905" s="306"/>
      <c r="Q905" s="306"/>
      <c r="R905" s="306"/>
      <c r="S905" s="306"/>
      <c r="T905" s="306"/>
      <c r="U905" s="306"/>
      <c r="V905" s="305"/>
      <c r="W905" s="306"/>
      <c r="X905" s="306"/>
      <c r="Y905" s="306"/>
      <c r="Z905" s="307"/>
      <c r="AA905" s="306"/>
      <c r="AB905" s="306"/>
      <c r="AC905" s="306"/>
    </row>
    <row r="906">
      <c r="A906" s="306"/>
      <c r="B906" s="306"/>
      <c r="C906" s="306"/>
      <c r="D906" s="305"/>
      <c r="E906" s="306"/>
      <c r="F906" s="306"/>
      <c r="G906" s="306"/>
      <c r="H906" s="306"/>
      <c r="I906" s="306"/>
      <c r="J906" s="306"/>
      <c r="K906" s="307"/>
      <c r="L906" s="306"/>
      <c r="M906" s="306"/>
      <c r="N906" s="306"/>
      <c r="O906" s="306"/>
      <c r="P906" s="306"/>
      <c r="Q906" s="306"/>
      <c r="R906" s="306"/>
      <c r="S906" s="306"/>
      <c r="T906" s="306"/>
      <c r="U906" s="306"/>
      <c r="V906" s="305"/>
      <c r="W906" s="306"/>
      <c r="X906" s="306"/>
      <c r="Y906" s="306"/>
      <c r="Z906" s="307"/>
      <c r="AA906" s="306"/>
      <c r="AB906" s="306"/>
      <c r="AC906" s="306"/>
    </row>
    <row r="907">
      <c r="A907" s="306"/>
      <c r="B907" s="306"/>
      <c r="C907" s="306"/>
      <c r="D907" s="305"/>
      <c r="E907" s="306"/>
      <c r="F907" s="306"/>
      <c r="G907" s="306"/>
      <c r="H907" s="306"/>
      <c r="I907" s="306"/>
      <c r="J907" s="306"/>
      <c r="K907" s="307"/>
      <c r="L907" s="306"/>
      <c r="M907" s="306"/>
      <c r="N907" s="306"/>
      <c r="O907" s="306"/>
      <c r="P907" s="306"/>
      <c r="Q907" s="306"/>
      <c r="R907" s="306"/>
      <c r="S907" s="306"/>
      <c r="T907" s="306"/>
      <c r="U907" s="306"/>
      <c r="V907" s="305"/>
      <c r="W907" s="306"/>
      <c r="X907" s="306"/>
      <c r="Y907" s="306"/>
      <c r="Z907" s="307"/>
      <c r="AA907" s="306"/>
      <c r="AB907" s="306"/>
      <c r="AC907" s="306"/>
    </row>
    <row r="908">
      <c r="A908" s="306"/>
      <c r="B908" s="306"/>
      <c r="C908" s="306"/>
      <c r="D908" s="305"/>
      <c r="E908" s="306"/>
      <c r="F908" s="306"/>
      <c r="G908" s="306"/>
      <c r="H908" s="306"/>
      <c r="I908" s="306"/>
      <c r="J908" s="306"/>
      <c r="K908" s="307"/>
      <c r="L908" s="306"/>
      <c r="M908" s="306"/>
      <c r="N908" s="306"/>
      <c r="O908" s="306"/>
      <c r="P908" s="306"/>
      <c r="Q908" s="306"/>
      <c r="R908" s="306"/>
      <c r="S908" s="306"/>
      <c r="T908" s="306"/>
      <c r="U908" s="306"/>
      <c r="V908" s="305"/>
      <c r="W908" s="306"/>
      <c r="X908" s="306"/>
      <c r="Y908" s="306"/>
      <c r="Z908" s="307"/>
      <c r="AA908" s="306"/>
      <c r="AB908" s="306"/>
      <c r="AC908" s="306"/>
    </row>
    <row r="909">
      <c r="A909" s="306"/>
      <c r="B909" s="306"/>
      <c r="C909" s="306"/>
      <c r="D909" s="305"/>
      <c r="E909" s="306"/>
      <c r="F909" s="306"/>
      <c r="G909" s="306"/>
      <c r="H909" s="306"/>
      <c r="I909" s="306"/>
      <c r="J909" s="306"/>
      <c r="K909" s="307"/>
      <c r="L909" s="306"/>
      <c r="M909" s="306"/>
      <c r="N909" s="306"/>
      <c r="O909" s="306"/>
      <c r="P909" s="306"/>
      <c r="Q909" s="306"/>
      <c r="R909" s="306"/>
      <c r="S909" s="306"/>
      <c r="T909" s="306"/>
      <c r="U909" s="306"/>
      <c r="V909" s="305"/>
      <c r="W909" s="306"/>
      <c r="X909" s="306"/>
      <c r="Y909" s="306"/>
      <c r="Z909" s="307"/>
      <c r="AA909" s="306"/>
      <c r="AB909" s="306"/>
      <c r="AC909" s="306"/>
    </row>
    <row r="910">
      <c r="A910" s="306"/>
      <c r="B910" s="306"/>
      <c r="C910" s="306"/>
      <c r="D910" s="305"/>
      <c r="E910" s="306"/>
      <c r="F910" s="306"/>
      <c r="G910" s="306"/>
      <c r="H910" s="306"/>
      <c r="I910" s="306"/>
      <c r="J910" s="306"/>
      <c r="K910" s="307"/>
      <c r="L910" s="306"/>
      <c r="M910" s="306"/>
      <c r="N910" s="306"/>
      <c r="O910" s="306"/>
      <c r="P910" s="306"/>
      <c r="Q910" s="306"/>
      <c r="R910" s="306"/>
      <c r="S910" s="306"/>
      <c r="T910" s="306"/>
      <c r="U910" s="306"/>
      <c r="V910" s="305"/>
      <c r="W910" s="306"/>
      <c r="X910" s="306"/>
      <c r="Y910" s="306"/>
      <c r="Z910" s="307"/>
      <c r="AA910" s="306"/>
      <c r="AB910" s="306"/>
      <c r="AC910" s="306"/>
    </row>
    <row r="911">
      <c r="A911" s="306"/>
      <c r="B911" s="306"/>
      <c r="C911" s="306"/>
      <c r="D911" s="305"/>
      <c r="E911" s="306"/>
      <c r="F911" s="306"/>
      <c r="G911" s="306"/>
      <c r="H911" s="306"/>
      <c r="I911" s="306"/>
      <c r="J911" s="306"/>
      <c r="K911" s="307"/>
      <c r="L911" s="306"/>
      <c r="M911" s="306"/>
      <c r="N911" s="306"/>
      <c r="O911" s="306"/>
      <c r="P911" s="306"/>
      <c r="Q911" s="306"/>
      <c r="R911" s="306"/>
      <c r="S911" s="306"/>
      <c r="T911" s="306"/>
      <c r="U911" s="306"/>
      <c r="V911" s="305"/>
      <c r="W911" s="306"/>
      <c r="X911" s="306"/>
      <c r="Y911" s="306"/>
      <c r="Z911" s="307"/>
      <c r="AA911" s="306"/>
      <c r="AB911" s="306"/>
      <c r="AC911" s="306"/>
    </row>
    <row r="912">
      <c r="A912" s="306"/>
      <c r="B912" s="306"/>
      <c r="C912" s="306"/>
      <c r="D912" s="305"/>
      <c r="E912" s="306"/>
      <c r="F912" s="306"/>
      <c r="G912" s="306"/>
      <c r="H912" s="306"/>
      <c r="I912" s="306"/>
      <c r="J912" s="306"/>
      <c r="K912" s="307"/>
      <c r="L912" s="306"/>
      <c r="M912" s="306"/>
      <c r="N912" s="306"/>
      <c r="O912" s="306"/>
      <c r="P912" s="306"/>
      <c r="Q912" s="306"/>
      <c r="R912" s="306"/>
      <c r="S912" s="306"/>
      <c r="T912" s="306"/>
      <c r="U912" s="306"/>
      <c r="V912" s="305"/>
      <c r="W912" s="306"/>
      <c r="X912" s="306"/>
      <c r="Y912" s="306"/>
      <c r="Z912" s="307"/>
      <c r="AA912" s="306"/>
      <c r="AB912" s="306"/>
      <c r="AC912" s="306"/>
    </row>
    <row r="913">
      <c r="A913" s="306"/>
      <c r="B913" s="306"/>
      <c r="C913" s="306"/>
      <c r="D913" s="305"/>
      <c r="E913" s="306"/>
      <c r="F913" s="306"/>
      <c r="G913" s="306"/>
      <c r="H913" s="306"/>
      <c r="I913" s="306"/>
      <c r="J913" s="306"/>
      <c r="K913" s="307"/>
      <c r="L913" s="306"/>
      <c r="M913" s="306"/>
      <c r="N913" s="306"/>
      <c r="O913" s="306"/>
      <c r="P913" s="306"/>
      <c r="Q913" s="306"/>
      <c r="R913" s="306"/>
      <c r="S913" s="306"/>
      <c r="T913" s="306"/>
      <c r="U913" s="306"/>
      <c r="V913" s="305"/>
      <c r="W913" s="306"/>
      <c r="X913" s="306"/>
      <c r="Y913" s="306"/>
      <c r="Z913" s="307"/>
      <c r="AA913" s="306"/>
      <c r="AB913" s="306"/>
      <c r="AC913" s="306"/>
    </row>
    <row r="914">
      <c r="A914" s="306"/>
      <c r="B914" s="306"/>
      <c r="C914" s="306"/>
      <c r="D914" s="305"/>
      <c r="E914" s="306"/>
      <c r="F914" s="306"/>
      <c r="G914" s="306"/>
      <c r="H914" s="306"/>
      <c r="I914" s="306"/>
      <c r="J914" s="306"/>
      <c r="K914" s="307"/>
      <c r="L914" s="306"/>
      <c r="M914" s="306"/>
      <c r="N914" s="306"/>
      <c r="O914" s="306"/>
      <c r="P914" s="306"/>
      <c r="Q914" s="306"/>
      <c r="R914" s="306"/>
      <c r="S914" s="306"/>
      <c r="T914" s="306"/>
      <c r="U914" s="306"/>
      <c r="V914" s="305"/>
      <c r="W914" s="306"/>
      <c r="X914" s="306"/>
      <c r="Y914" s="306"/>
      <c r="Z914" s="307"/>
      <c r="AA914" s="306"/>
      <c r="AB914" s="306"/>
      <c r="AC914" s="306"/>
    </row>
    <row r="915">
      <c r="A915" s="306"/>
      <c r="B915" s="306"/>
      <c r="C915" s="306"/>
      <c r="D915" s="305"/>
      <c r="E915" s="306"/>
      <c r="F915" s="306"/>
      <c r="G915" s="306"/>
      <c r="H915" s="306"/>
      <c r="I915" s="306"/>
      <c r="J915" s="306"/>
      <c r="K915" s="307"/>
      <c r="L915" s="306"/>
      <c r="M915" s="306"/>
      <c r="N915" s="306"/>
      <c r="O915" s="306"/>
      <c r="P915" s="306"/>
      <c r="Q915" s="306"/>
      <c r="R915" s="306"/>
      <c r="S915" s="306"/>
      <c r="T915" s="306"/>
      <c r="U915" s="306"/>
      <c r="V915" s="305"/>
      <c r="W915" s="306"/>
      <c r="X915" s="306"/>
      <c r="Y915" s="306"/>
      <c r="Z915" s="307"/>
      <c r="AA915" s="306"/>
      <c r="AB915" s="306"/>
      <c r="AC915" s="306"/>
    </row>
    <row r="916">
      <c r="A916" s="306"/>
      <c r="B916" s="306"/>
      <c r="C916" s="306"/>
      <c r="D916" s="305"/>
      <c r="E916" s="306"/>
      <c r="F916" s="306"/>
      <c r="G916" s="306"/>
      <c r="H916" s="306"/>
      <c r="I916" s="306"/>
      <c r="J916" s="306"/>
      <c r="K916" s="307"/>
      <c r="L916" s="306"/>
      <c r="M916" s="306"/>
      <c r="N916" s="306"/>
      <c r="O916" s="306"/>
      <c r="P916" s="306"/>
      <c r="Q916" s="306"/>
      <c r="R916" s="306"/>
      <c r="S916" s="306"/>
      <c r="T916" s="306"/>
      <c r="U916" s="306"/>
      <c r="V916" s="305"/>
      <c r="W916" s="306"/>
      <c r="X916" s="306"/>
      <c r="Y916" s="306"/>
      <c r="Z916" s="307"/>
      <c r="AA916" s="306"/>
      <c r="AB916" s="306"/>
      <c r="AC916" s="306"/>
    </row>
    <row r="917">
      <c r="A917" s="306"/>
      <c r="B917" s="306"/>
      <c r="C917" s="306"/>
      <c r="D917" s="305"/>
      <c r="E917" s="306"/>
      <c r="F917" s="306"/>
      <c r="G917" s="306"/>
      <c r="H917" s="306"/>
      <c r="I917" s="306"/>
      <c r="J917" s="306"/>
      <c r="K917" s="307"/>
      <c r="L917" s="306"/>
      <c r="M917" s="306"/>
      <c r="N917" s="306"/>
      <c r="O917" s="306"/>
      <c r="P917" s="306"/>
      <c r="Q917" s="306"/>
      <c r="R917" s="306"/>
      <c r="S917" s="306"/>
      <c r="T917" s="306"/>
      <c r="U917" s="306"/>
      <c r="V917" s="305"/>
      <c r="W917" s="306"/>
      <c r="X917" s="306"/>
      <c r="Y917" s="306"/>
      <c r="Z917" s="307"/>
      <c r="AA917" s="306"/>
      <c r="AB917" s="306"/>
      <c r="AC917" s="306"/>
    </row>
    <row r="918">
      <c r="A918" s="306"/>
      <c r="B918" s="306"/>
      <c r="C918" s="306"/>
      <c r="D918" s="305"/>
      <c r="E918" s="306"/>
      <c r="F918" s="306"/>
      <c r="G918" s="306"/>
      <c r="H918" s="306"/>
      <c r="I918" s="306"/>
      <c r="J918" s="306"/>
      <c r="K918" s="307"/>
      <c r="L918" s="306"/>
      <c r="M918" s="306"/>
      <c r="N918" s="306"/>
      <c r="O918" s="306"/>
      <c r="P918" s="306"/>
      <c r="Q918" s="306"/>
      <c r="R918" s="306"/>
      <c r="S918" s="306"/>
      <c r="T918" s="306"/>
      <c r="U918" s="306"/>
      <c r="V918" s="305"/>
      <c r="W918" s="306"/>
      <c r="X918" s="306"/>
      <c r="Y918" s="306"/>
      <c r="Z918" s="307"/>
      <c r="AA918" s="306"/>
      <c r="AB918" s="306"/>
      <c r="AC918" s="306"/>
    </row>
    <row r="919">
      <c r="A919" s="306"/>
      <c r="B919" s="306"/>
      <c r="C919" s="306"/>
      <c r="D919" s="305"/>
      <c r="E919" s="306"/>
      <c r="F919" s="306"/>
      <c r="G919" s="306"/>
      <c r="H919" s="306"/>
      <c r="I919" s="306"/>
      <c r="J919" s="306"/>
      <c r="K919" s="307"/>
      <c r="L919" s="306"/>
      <c r="M919" s="306"/>
      <c r="N919" s="306"/>
      <c r="O919" s="306"/>
      <c r="P919" s="306"/>
      <c r="Q919" s="306"/>
      <c r="R919" s="306"/>
      <c r="S919" s="306"/>
      <c r="T919" s="306"/>
      <c r="U919" s="306"/>
      <c r="V919" s="305"/>
      <c r="W919" s="306"/>
      <c r="X919" s="306"/>
      <c r="Y919" s="306"/>
      <c r="Z919" s="307"/>
      <c r="AA919" s="306"/>
      <c r="AB919" s="306"/>
      <c r="AC919" s="306"/>
    </row>
    <row r="920">
      <c r="A920" s="306"/>
      <c r="B920" s="306"/>
      <c r="C920" s="306"/>
      <c r="D920" s="305"/>
      <c r="E920" s="306"/>
      <c r="F920" s="306"/>
      <c r="G920" s="306"/>
      <c r="H920" s="306"/>
      <c r="I920" s="306"/>
      <c r="J920" s="306"/>
      <c r="K920" s="307"/>
      <c r="L920" s="306"/>
      <c r="M920" s="306"/>
      <c r="N920" s="306"/>
      <c r="O920" s="306"/>
      <c r="P920" s="306"/>
      <c r="Q920" s="306"/>
      <c r="R920" s="306"/>
      <c r="S920" s="306"/>
      <c r="T920" s="306"/>
      <c r="U920" s="306"/>
      <c r="V920" s="305"/>
      <c r="W920" s="306"/>
      <c r="X920" s="306"/>
      <c r="Y920" s="306"/>
      <c r="Z920" s="307"/>
      <c r="AA920" s="306"/>
      <c r="AB920" s="306"/>
      <c r="AC920" s="306"/>
    </row>
    <row r="921">
      <c r="A921" s="306"/>
      <c r="B921" s="306"/>
      <c r="C921" s="306"/>
      <c r="D921" s="305"/>
      <c r="E921" s="306"/>
      <c r="F921" s="306"/>
      <c r="G921" s="306"/>
      <c r="H921" s="306"/>
      <c r="I921" s="306"/>
      <c r="J921" s="306"/>
      <c r="K921" s="307"/>
      <c r="L921" s="306"/>
      <c r="M921" s="306"/>
      <c r="N921" s="306"/>
      <c r="O921" s="306"/>
      <c r="P921" s="306"/>
      <c r="Q921" s="306"/>
      <c r="R921" s="306"/>
      <c r="S921" s="306"/>
      <c r="T921" s="306"/>
      <c r="U921" s="306"/>
      <c r="V921" s="305"/>
      <c r="W921" s="306"/>
      <c r="X921" s="306"/>
      <c r="Y921" s="306"/>
      <c r="Z921" s="307"/>
      <c r="AA921" s="306"/>
      <c r="AB921" s="306"/>
      <c r="AC921" s="306"/>
    </row>
    <row r="922">
      <c r="A922" s="306"/>
      <c r="B922" s="306"/>
      <c r="C922" s="306"/>
      <c r="D922" s="305"/>
      <c r="E922" s="306"/>
      <c r="F922" s="306"/>
      <c r="G922" s="306"/>
      <c r="H922" s="306"/>
      <c r="I922" s="306"/>
      <c r="J922" s="306"/>
      <c r="K922" s="307"/>
      <c r="L922" s="306"/>
      <c r="M922" s="306"/>
      <c r="N922" s="306"/>
      <c r="O922" s="306"/>
      <c r="P922" s="306"/>
      <c r="Q922" s="306"/>
      <c r="R922" s="306"/>
      <c r="S922" s="306"/>
      <c r="T922" s="306"/>
      <c r="U922" s="306"/>
      <c r="V922" s="305"/>
      <c r="W922" s="306"/>
      <c r="X922" s="306"/>
      <c r="Y922" s="306"/>
      <c r="Z922" s="307"/>
      <c r="AA922" s="306"/>
      <c r="AB922" s="306"/>
      <c r="AC922" s="306"/>
    </row>
    <row r="923">
      <c r="A923" s="306"/>
      <c r="B923" s="306"/>
      <c r="C923" s="306"/>
      <c r="D923" s="305"/>
      <c r="E923" s="306"/>
      <c r="F923" s="306"/>
      <c r="G923" s="306"/>
      <c r="H923" s="306"/>
      <c r="I923" s="306"/>
      <c r="J923" s="306"/>
      <c r="K923" s="307"/>
      <c r="L923" s="306"/>
      <c r="M923" s="306"/>
      <c r="N923" s="306"/>
      <c r="O923" s="306"/>
      <c r="P923" s="306"/>
      <c r="Q923" s="306"/>
      <c r="R923" s="306"/>
      <c r="S923" s="306"/>
      <c r="T923" s="306"/>
      <c r="U923" s="306"/>
      <c r="V923" s="305"/>
      <c r="W923" s="306"/>
      <c r="X923" s="306"/>
      <c r="Y923" s="306"/>
      <c r="Z923" s="307"/>
      <c r="AA923" s="306"/>
      <c r="AB923" s="306"/>
      <c r="AC923" s="306"/>
    </row>
    <row r="924">
      <c r="A924" s="306"/>
      <c r="B924" s="306"/>
      <c r="C924" s="306"/>
      <c r="D924" s="305"/>
      <c r="E924" s="306"/>
      <c r="F924" s="306"/>
      <c r="G924" s="306"/>
      <c r="H924" s="306"/>
      <c r="I924" s="306"/>
      <c r="J924" s="306"/>
      <c r="K924" s="307"/>
      <c r="L924" s="306"/>
      <c r="M924" s="306"/>
      <c r="N924" s="306"/>
      <c r="O924" s="306"/>
      <c r="P924" s="306"/>
      <c r="Q924" s="306"/>
      <c r="R924" s="306"/>
      <c r="S924" s="306"/>
      <c r="T924" s="306"/>
      <c r="U924" s="306"/>
      <c r="V924" s="305"/>
      <c r="W924" s="306"/>
      <c r="X924" s="306"/>
      <c r="Y924" s="306"/>
      <c r="Z924" s="307"/>
      <c r="AA924" s="306"/>
      <c r="AB924" s="306"/>
      <c r="AC924" s="306"/>
    </row>
    <row r="925">
      <c r="A925" s="306"/>
      <c r="B925" s="306"/>
      <c r="C925" s="306"/>
      <c r="D925" s="305"/>
      <c r="E925" s="306"/>
      <c r="F925" s="306"/>
      <c r="G925" s="306"/>
      <c r="H925" s="306"/>
      <c r="I925" s="306"/>
      <c r="J925" s="306"/>
      <c r="K925" s="307"/>
      <c r="L925" s="306"/>
      <c r="M925" s="306"/>
      <c r="N925" s="306"/>
      <c r="O925" s="306"/>
      <c r="P925" s="306"/>
      <c r="Q925" s="306"/>
      <c r="R925" s="306"/>
      <c r="S925" s="306"/>
      <c r="T925" s="306"/>
      <c r="U925" s="306"/>
      <c r="V925" s="305"/>
      <c r="W925" s="306"/>
      <c r="X925" s="306"/>
      <c r="Y925" s="306"/>
      <c r="Z925" s="307"/>
      <c r="AA925" s="306"/>
      <c r="AB925" s="306"/>
      <c r="AC925" s="306"/>
    </row>
    <row r="926">
      <c r="A926" s="306"/>
      <c r="B926" s="306"/>
      <c r="C926" s="306"/>
      <c r="D926" s="305"/>
      <c r="E926" s="306"/>
      <c r="F926" s="306"/>
      <c r="G926" s="306"/>
      <c r="H926" s="306"/>
      <c r="I926" s="306"/>
      <c r="J926" s="306"/>
      <c r="K926" s="307"/>
      <c r="L926" s="306"/>
      <c r="M926" s="306"/>
      <c r="N926" s="306"/>
      <c r="O926" s="306"/>
      <c r="P926" s="306"/>
      <c r="Q926" s="306"/>
      <c r="R926" s="306"/>
      <c r="S926" s="306"/>
      <c r="T926" s="306"/>
      <c r="U926" s="306"/>
      <c r="V926" s="305"/>
      <c r="W926" s="306"/>
      <c r="X926" s="306"/>
      <c r="Y926" s="306"/>
      <c r="Z926" s="307"/>
      <c r="AA926" s="306"/>
      <c r="AB926" s="306"/>
      <c r="AC926" s="306"/>
    </row>
    <row r="927">
      <c r="A927" s="306"/>
      <c r="B927" s="306"/>
      <c r="C927" s="306"/>
      <c r="D927" s="305"/>
      <c r="E927" s="306"/>
      <c r="F927" s="306"/>
      <c r="G927" s="306"/>
      <c r="H927" s="306"/>
      <c r="I927" s="306"/>
      <c r="J927" s="306"/>
      <c r="K927" s="307"/>
      <c r="L927" s="306"/>
      <c r="M927" s="306"/>
      <c r="N927" s="306"/>
      <c r="O927" s="306"/>
      <c r="P927" s="306"/>
      <c r="Q927" s="306"/>
      <c r="R927" s="306"/>
      <c r="S927" s="306"/>
      <c r="T927" s="306"/>
      <c r="U927" s="306"/>
      <c r="V927" s="305"/>
      <c r="W927" s="306"/>
      <c r="X927" s="306"/>
      <c r="Y927" s="306"/>
      <c r="Z927" s="307"/>
      <c r="AA927" s="306"/>
      <c r="AB927" s="306"/>
      <c r="AC927" s="306"/>
    </row>
    <row r="928">
      <c r="A928" s="306"/>
      <c r="B928" s="306"/>
      <c r="C928" s="306"/>
      <c r="D928" s="305"/>
      <c r="E928" s="306"/>
      <c r="F928" s="306"/>
      <c r="G928" s="306"/>
      <c r="H928" s="306"/>
      <c r="I928" s="306"/>
      <c r="J928" s="306"/>
      <c r="K928" s="307"/>
      <c r="L928" s="306"/>
      <c r="M928" s="306"/>
      <c r="N928" s="306"/>
      <c r="O928" s="306"/>
      <c r="P928" s="306"/>
      <c r="Q928" s="306"/>
      <c r="R928" s="306"/>
      <c r="S928" s="306"/>
      <c r="T928" s="306"/>
      <c r="U928" s="306"/>
      <c r="V928" s="305"/>
      <c r="W928" s="306"/>
      <c r="X928" s="306"/>
      <c r="Y928" s="306"/>
      <c r="Z928" s="307"/>
      <c r="AA928" s="306"/>
      <c r="AB928" s="306"/>
      <c r="AC928" s="306"/>
    </row>
    <row r="929">
      <c r="A929" s="306"/>
      <c r="B929" s="306"/>
      <c r="C929" s="306"/>
      <c r="D929" s="305"/>
      <c r="E929" s="306"/>
      <c r="F929" s="306"/>
      <c r="G929" s="306"/>
      <c r="H929" s="306"/>
      <c r="I929" s="306"/>
      <c r="J929" s="306"/>
      <c r="K929" s="307"/>
      <c r="L929" s="306"/>
      <c r="M929" s="306"/>
      <c r="N929" s="306"/>
      <c r="O929" s="306"/>
      <c r="P929" s="306"/>
      <c r="Q929" s="306"/>
      <c r="R929" s="306"/>
      <c r="S929" s="306"/>
      <c r="T929" s="306"/>
      <c r="U929" s="306"/>
      <c r="V929" s="305"/>
      <c r="W929" s="306"/>
      <c r="X929" s="306"/>
      <c r="Y929" s="306"/>
      <c r="Z929" s="307"/>
      <c r="AA929" s="306"/>
      <c r="AB929" s="306"/>
      <c r="AC929" s="306"/>
    </row>
    <row r="930">
      <c r="A930" s="306"/>
      <c r="B930" s="306"/>
      <c r="C930" s="306"/>
      <c r="D930" s="305"/>
      <c r="E930" s="306"/>
      <c r="F930" s="306"/>
      <c r="G930" s="306"/>
      <c r="H930" s="306"/>
      <c r="I930" s="306"/>
      <c r="J930" s="306"/>
      <c r="K930" s="307"/>
      <c r="L930" s="306"/>
      <c r="M930" s="306"/>
      <c r="N930" s="306"/>
      <c r="O930" s="306"/>
      <c r="P930" s="306"/>
      <c r="Q930" s="306"/>
      <c r="R930" s="306"/>
      <c r="S930" s="306"/>
      <c r="T930" s="306"/>
      <c r="U930" s="306"/>
      <c r="V930" s="305"/>
      <c r="W930" s="306"/>
      <c r="X930" s="306"/>
      <c r="Y930" s="306"/>
      <c r="Z930" s="307"/>
      <c r="AA930" s="306"/>
      <c r="AB930" s="306"/>
      <c r="AC930" s="306"/>
    </row>
    <row r="931">
      <c r="A931" s="306"/>
      <c r="B931" s="306"/>
      <c r="C931" s="306"/>
      <c r="D931" s="305"/>
      <c r="E931" s="306"/>
      <c r="F931" s="306"/>
      <c r="G931" s="306"/>
      <c r="H931" s="306"/>
      <c r="I931" s="306"/>
      <c r="J931" s="306"/>
      <c r="K931" s="307"/>
      <c r="L931" s="306"/>
      <c r="M931" s="306"/>
      <c r="N931" s="306"/>
      <c r="O931" s="306"/>
      <c r="P931" s="306"/>
      <c r="Q931" s="306"/>
      <c r="R931" s="306"/>
      <c r="S931" s="306"/>
      <c r="T931" s="306"/>
      <c r="U931" s="306"/>
      <c r="V931" s="305"/>
      <c r="W931" s="306"/>
      <c r="X931" s="306"/>
      <c r="Y931" s="306"/>
      <c r="Z931" s="307"/>
      <c r="AA931" s="306"/>
      <c r="AB931" s="306"/>
      <c r="AC931" s="306"/>
    </row>
    <row r="932">
      <c r="A932" s="306"/>
      <c r="B932" s="306"/>
      <c r="C932" s="306"/>
      <c r="D932" s="305"/>
      <c r="E932" s="306"/>
      <c r="F932" s="306"/>
      <c r="G932" s="306"/>
      <c r="H932" s="306"/>
      <c r="I932" s="306"/>
      <c r="J932" s="306"/>
      <c r="K932" s="307"/>
      <c r="L932" s="306"/>
      <c r="M932" s="306"/>
      <c r="N932" s="306"/>
      <c r="O932" s="306"/>
      <c r="P932" s="306"/>
      <c r="Q932" s="306"/>
      <c r="R932" s="306"/>
      <c r="S932" s="306"/>
      <c r="T932" s="306"/>
      <c r="U932" s="306"/>
      <c r="V932" s="305"/>
      <c r="W932" s="306"/>
      <c r="X932" s="306"/>
      <c r="Y932" s="306"/>
      <c r="Z932" s="307"/>
      <c r="AA932" s="306"/>
      <c r="AB932" s="306"/>
      <c r="AC932" s="306"/>
    </row>
    <row r="933">
      <c r="A933" s="306"/>
      <c r="B933" s="306"/>
      <c r="C933" s="306"/>
      <c r="D933" s="305"/>
      <c r="E933" s="306"/>
      <c r="F933" s="306"/>
      <c r="G933" s="306"/>
      <c r="H933" s="306"/>
      <c r="I933" s="306"/>
      <c r="J933" s="306"/>
      <c r="K933" s="307"/>
      <c r="L933" s="306"/>
      <c r="M933" s="306"/>
      <c r="N933" s="306"/>
      <c r="O933" s="306"/>
      <c r="P933" s="306"/>
      <c r="Q933" s="306"/>
      <c r="R933" s="306"/>
      <c r="S933" s="306"/>
      <c r="T933" s="306"/>
      <c r="U933" s="306"/>
      <c r="V933" s="305"/>
      <c r="W933" s="306"/>
      <c r="X933" s="306"/>
      <c r="Y933" s="306"/>
      <c r="Z933" s="307"/>
      <c r="AA933" s="306"/>
      <c r="AB933" s="306"/>
      <c r="AC933" s="306"/>
    </row>
    <row r="934">
      <c r="A934" s="306"/>
      <c r="B934" s="306"/>
      <c r="C934" s="306"/>
      <c r="D934" s="305"/>
      <c r="E934" s="306"/>
      <c r="F934" s="306"/>
      <c r="G934" s="306"/>
      <c r="H934" s="306"/>
      <c r="I934" s="306"/>
      <c r="J934" s="306"/>
      <c r="K934" s="307"/>
      <c r="L934" s="306"/>
      <c r="M934" s="306"/>
      <c r="N934" s="306"/>
      <c r="O934" s="306"/>
      <c r="P934" s="306"/>
      <c r="Q934" s="306"/>
      <c r="R934" s="306"/>
      <c r="S934" s="306"/>
      <c r="T934" s="306"/>
      <c r="U934" s="306"/>
      <c r="V934" s="305"/>
      <c r="W934" s="306"/>
      <c r="X934" s="306"/>
      <c r="Y934" s="306"/>
      <c r="Z934" s="307"/>
      <c r="AA934" s="306"/>
      <c r="AB934" s="306"/>
      <c r="AC934" s="306"/>
    </row>
    <row r="935">
      <c r="A935" s="306"/>
      <c r="B935" s="306"/>
      <c r="C935" s="306"/>
      <c r="D935" s="305"/>
      <c r="E935" s="306"/>
      <c r="F935" s="306"/>
      <c r="G935" s="306"/>
      <c r="H935" s="306"/>
      <c r="I935" s="306"/>
      <c r="J935" s="306"/>
      <c r="K935" s="307"/>
      <c r="L935" s="306"/>
      <c r="M935" s="306"/>
      <c r="N935" s="306"/>
      <c r="O935" s="306"/>
      <c r="P935" s="306"/>
      <c r="Q935" s="306"/>
      <c r="R935" s="306"/>
      <c r="S935" s="306"/>
      <c r="T935" s="306"/>
      <c r="U935" s="306"/>
      <c r="V935" s="305"/>
      <c r="W935" s="306"/>
      <c r="X935" s="306"/>
      <c r="Y935" s="306"/>
      <c r="Z935" s="307"/>
      <c r="AA935" s="306"/>
      <c r="AB935" s="306"/>
      <c r="AC935" s="306"/>
    </row>
    <row r="936">
      <c r="A936" s="306"/>
      <c r="B936" s="306"/>
      <c r="C936" s="306"/>
      <c r="D936" s="305"/>
      <c r="E936" s="306"/>
      <c r="F936" s="306"/>
      <c r="G936" s="306"/>
      <c r="H936" s="306"/>
      <c r="I936" s="306"/>
      <c r="J936" s="306"/>
      <c r="K936" s="307"/>
      <c r="L936" s="306"/>
      <c r="M936" s="306"/>
      <c r="N936" s="306"/>
      <c r="O936" s="306"/>
      <c r="P936" s="306"/>
      <c r="Q936" s="306"/>
      <c r="R936" s="306"/>
      <c r="S936" s="306"/>
      <c r="T936" s="306"/>
      <c r="U936" s="306"/>
      <c r="V936" s="305"/>
      <c r="W936" s="306"/>
      <c r="X936" s="306"/>
      <c r="Y936" s="306"/>
      <c r="Z936" s="307"/>
      <c r="AA936" s="306"/>
      <c r="AB936" s="306"/>
      <c r="AC936" s="306"/>
    </row>
    <row r="937">
      <c r="A937" s="306"/>
      <c r="B937" s="306"/>
      <c r="C937" s="306"/>
      <c r="D937" s="305"/>
      <c r="E937" s="306"/>
      <c r="F937" s="306"/>
      <c r="G937" s="306"/>
      <c r="H937" s="306"/>
      <c r="I937" s="306"/>
      <c r="J937" s="306"/>
      <c r="K937" s="307"/>
      <c r="L937" s="306"/>
      <c r="M937" s="306"/>
      <c r="N937" s="306"/>
      <c r="O937" s="306"/>
      <c r="P937" s="306"/>
      <c r="Q937" s="306"/>
      <c r="R937" s="306"/>
      <c r="S937" s="306"/>
      <c r="T937" s="306"/>
      <c r="U937" s="306"/>
      <c r="V937" s="305"/>
      <c r="W937" s="306"/>
      <c r="X937" s="306"/>
      <c r="Y937" s="306"/>
      <c r="Z937" s="307"/>
      <c r="AA937" s="306"/>
      <c r="AB937" s="306"/>
      <c r="AC937" s="306"/>
    </row>
    <row r="938">
      <c r="A938" s="306"/>
      <c r="B938" s="306"/>
      <c r="C938" s="306"/>
      <c r="D938" s="305"/>
      <c r="E938" s="306"/>
      <c r="F938" s="306"/>
      <c r="G938" s="306"/>
      <c r="H938" s="306"/>
      <c r="I938" s="306"/>
      <c r="J938" s="306"/>
      <c r="K938" s="307"/>
      <c r="L938" s="306"/>
      <c r="M938" s="306"/>
      <c r="N938" s="306"/>
      <c r="O938" s="306"/>
      <c r="P938" s="306"/>
      <c r="Q938" s="306"/>
      <c r="R938" s="306"/>
      <c r="S938" s="306"/>
      <c r="T938" s="306"/>
      <c r="U938" s="306"/>
      <c r="V938" s="305"/>
      <c r="W938" s="306"/>
      <c r="X938" s="306"/>
      <c r="Y938" s="306"/>
      <c r="Z938" s="307"/>
      <c r="AA938" s="306"/>
      <c r="AB938" s="306"/>
      <c r="AC938" s="306"/>
    </row>
    <row r="939">
      <c r="A939" s="306"/>
      <c r="B939" s="306"/>
      <c r="C939" s="306"/>
      <c r="D939" s="305"/>
      <c r="E939" s="306"/>
      <c r="F939" s="306"/>
      <c r="G939" s="306"/>
      <c r="H939" s="306"/>
      <c r="I939" s="306"/>
      <c r="J939" s="306"/>
      <c r="K939" s="307"/>
      <c r="L939" s="306"/>
      <c r="M939" s="306"/>
      <c r="N939" s="306"/>
      <c r="O939" s="306"/>
      <c r="P939" s="306"/>
      <c r="Q939" s="306"/>
      <c r="R939" s="306"/>
      <c r="S939" s="306"/>
      <c r="T939" s="306"/>
      <c r="U939" s="306"/>
      <c r="V939" s="305"/>
      <c r="W939" s="306"/>
      <c r="X939" s="306"/>
      <c r="Y939" s="306"/>
      <c r="Z939" s="307"/>
      <c r="AA939" s="306"/>
      <c r="AB939" s="306"/>
      <c r="AC939" s="306"/>
    </row>
    <row r="940">
      <c r="A940" s="306"/>
      <c r="B940" s="306"/>
      <c r="C940" s="306"/>
      <c r="D940" s="305"/>
      <c r="E940" s="306"/>
      <c r="F940" s="306"/>
      <c r="G940" s="306"/>
      <c r="H940" s="306"/>
      <c r="I940" s="306"/>
      <c r="J940" s="306"/>
      <c r="K940" s="307"/>
      <c r="L940" s="306"/>
      <c r="M940" s="306"/>
      <c r="N940" s="306"/>
      <c r="O940" s="306"/>
      <c r="P940" s="306"/>
      <c r="Q940" s="306"/>
      <c r="R940" s="306"/>
      <c r="S940" s="306"/>
      <c r="T940" s="306"/>
      <c r="U940" s="306"/>
      <c r="V940" s="305"/>
      <c r="W940" s="306"/>
      <c r="X940" s="306"/>
      <c r="Y940" s="306"/>
      <c r="Z940" s="307"/>
      <c r="AA940" s="306"/>
      <c r="AB940" s="306"/>
      <c r="AC940" s="306"/>
    </row>
    <row r="941">
      <c r="A941" s="306"/>
      <c r="B941" s="306"/>
      <c r="C941" s="306"/>
      <c r="D941" s="305"/>
      <c r="E941" s="306"/>
      <c r="F941" s="306"/>
      <c r="G941" s="306"/>
      <c r="H941" s="306"/>
      <c r="I941" s="306"/>
      <c r="J941" s="306"/>
      <c r="K941" s="307"/>
      <c r="L941" s="306"/>
      <c r="M941" s="306"/>
      <c r="N941" s="306"/>
      <c r="O941" s="306"/>
      <c r="P941" s="306"/>
      <c r="Q941" s="306"/>
      <c r="R941" s="306"/>
      <c r="S941" s="306"/>
      <c r="T941" s="306"/>
      <c r="U941" s="306"/>
      <c r="V941" s="305"/>
      <c r="W941" s="306"/>
      <c r="X941" s="306"/>
      <c r="Y941" s="306"/>
      <c r="Z941" s="307"/>
      <c r="AA941" s="306"/>
      <c r="AB941" s="306"/>
      <c r="AC941" s="306"/>
    </row>
    <row r="942">
      <c r="A942" s="306"/>
      <c r="B942" s="306"/>
      <c r="C942" s="306"/>
      <c r="D942" s="305"/>
      <c r="E942" s="306"/>
      <c r="F942" s="306"/>
      <c r="G942" s="306"/>
      <c r="H942" s="306"/>
      <c r="I942" s="306"/>
      <c r="J942" s="306"/>
      <c r="K942" s="307"/>
      <c r="L942" s="306"/>
      <c r="M942" s="306"/>
      <c r="N942" s="306"/>
      <c r="O942" s="306"/>
      <c r="P942" s="306"/>
      <c r="Q942" s="306"/>
      <c r="R942" s="306"/>
      <c r="S942" s="306"/>
      <c r="T942" s="306"/>
      <c r="U942" s="306"/>
      <c r="V942" s="305"/>
      <c r="W942" s="306"/>
      <c r="X942" s="306"/>
      <c r="Y942" s="306"/>
      <c r="Z942" s="307"/>
      <c r="AA942" s="306"/>
      <c r="AB942" s="306"/>
      <c r="AC942" s="306"/>
    </row>
    <row r="943">
      <c r="A943" s="306"/>
      <c r="B943" s="306"/>
      <c r="C943" s="306"/>
      <c r="D943" s="305"/>
      <c r="E943" s="306"/>
      <c r="F943" s="306"/>
      <c r="G943" s="306"/>
      <c r="H943" s="306"/>
      <c r="I943" s="306"/>
      <c r="J943" s="306"/>
      <c r="K943" s="307"/>
      <c r="L943" s="306"/>
      <c r="M943" s="306"/>
      <c r="N943" s="306"/>
      <c r="O943" s="306"/>
      <c r="P943" s="306"/>
      <c r="Q943" s="306"/>
      <c r="R943" s="306"/>
      <c r="S943" s="306"/>
      <c r="T943" s="306"/>
      <c r="U943" s="306"/>
      <c r="V943" s="305"/>
      <c r="W943" s="306"/>
      <c r="X943" s="306"/>
      <c r="Y943" s="306"/>
      <c r="Z943" s="307"/>
      <c r="AA943" s="306"/>
      <c r="AB943" s="306"/>
      <c r="AC943" s="306"/>
    </row>
    <row r="944">
      <c r="A944" s="306"/>
      <c r="B944" s="306"/>
      <c r="C944" s="306"/>
      <c r="D944" s="305"/>
      <c r="E944" s="306"/>
      <c r="F944" s="306"/>
      <c r="G944" s="306"/>
      <c r="H944" s="306"/>
      <c r="I944" s="306"/>
      <c r="J944" s="306"/>
      <c r="K944" s="307"/>
      <c r="L944" s="306"/>
      <c r="M944" s="306"/>
      <c r="N944" s="306"/>
      <c r="O944" s="306"/>
      <c r="P944" s="306"/>
      <c r="Q944" s="306"/>
      <c r="R944" s="306"/>
      <c r="S944" s="306"/>
      <c r="T944" s="306"/>
      <c r="U944" s="306"/>
      <c r="V944" s="305"/>
      <c r="W944" s="306"/>
      <c r="X944" s="306"/>
      <c r="Y944" s="306"/>
      <c r="Z944" s="307"/>
      <c r="AA944" s="306"/>
      <c r="AB944" s="306"/>
      <c r="AC944" s="306"/>
    </row>
    <row r="945">
      <c r="A945" s="306"/>
      <c r="B945" s="306"/>
      <c r="C945" s="306"/>
      <c r="D945" s="305"/>
      <c r="E945" s="306"/>
      <c r="F945" s="306"/>
      <c r="G945" s="306"/>
      <c r="H945" s="306"/>
      <c r="I945" s="306"/>
      <c r="J945" s="306"/>
      <c r="K945" s="307"/>
      <c r="L945" s="306"/>
      <c r="M945" s="306"/>
      <c r="N945" s="306"/>
      <c r="O945" s="306"/>
      <c r="P945" s="306"/>
      <c r="Q945" s="306"/>
      <c r="R945" s="306"/>
      <c r="S945" s="306"/>
      <c r="T945" s="306"/>
      <c r="U945" s="306"/>
      <c r="V945" s="305"/>
      <c r="W945" s="306"/>
      <c r="X945" s="306"/>
      <c r="Y945" s="306"/>
      <c r="Z945" s="307"/>
      <c r="AA945" s="306"/>
      <c r="AB945" s="306"/>
      <c r="AC945" s="306"/>
    </row>
    <row r="946">
      <c r="A946" s="306"/>
      <c r="B946" s="306"/>
      <c r="C946" s="306"/>
      <c r="D946" s="305"/>
      <c r="E946" s="306"/>
      <c r="F946" s="306"/>
      <c r="G946" s="306"/>
      <c r="H946" s="306"/>
      <c r="I946" s="306"/>
      <c r="J946" s="306"/>
      <c r="K946" s="307"/>
      <c r="L946" s="306"/>
      <c r="M946" s="306"/>
      <c r="N946" s="306"/>
      <c r="O946" s="306"/>
      <c r="P946" s="306"/>
      <c r="Q946" s="306"/>
      <c r="R946" s="306"/>
      <c r="S946" s="306"/>
      <c r="T946" s="306"/>
      <c r="U946" s="306"/>
      <c r="V946" s="305"/>
      <c r="W946" s="306"/>
      <c r="X946" s="306"/>
      <c r="Y946" s="306"/>
      <c r="Z946" s="307"/>
      <c r="AA946" s="306"/>
      <c r="AB946" s="306"/>
      <c r="AC946" s="306"/>
    </row>
    <row r="947">
      <c r="A947" s="306"/>
      <c r="B947" s="306"/>
      <c r="C947" s="306"/>
      <c r="D947" s="305"/>
      <c r="E947" s="306"/>
      <c r="F947" s="306"/>
      <c r="G947" s="306"/>
      <c r="H947" s="306"/>
      <c r="I947" s="306"/>
      <c r="J947" s="306"/>
      <c r="K947" s="307"/>
      <c r="L947" s="306"/>
      <c r="M947" s="306"/>
      <c r="N947" s="306"/>
      <c r="O947" s="306"/>
      <c r="P947" s="306"/>
      <c r="Q947" s="306"/>
      <c r="R947" s="306"/>
      <c r="S947" s="306"/>
      <c r="T947" s="306"/>
      <c r="U947" s="306"/>
      <c r="V947" s="305"/>
      <c r="W947" s="306"/>
      <c r="X947" s="306"/>
      <c r="Y947" s="306"/>
      <c r="Z947" s="307"/>
      <c r="AA947" s="306"/>
      <c r="AB947" s="306"/>
      <c r="AC947" s="306"/>
    </row>
    <row r="948">
      <c r="A948" s="306"/>
      <c r="B948" s="306"/>
      <c r="C948" s="306"/>
      <c r="D948" s="305"/>
      <c r="E948" s="306"/>
      <c r="F948" s="306"/>
      <c r="G948" s="306"/>
      <c r="H948" s="306"/>
      <c r="I948" s="306"/>
      <c r="J948" s="306"/>
      <c r="K948" s="307"/>
      <c r="L948" s="306"/>
      <c r="M948" s="306"/>
      <c r="N948" s="306"/>
      <c r="O948" s="306"/>
      <c r="P948" s="306"/>
      <c r="Q948" s="306"/>
      <c r="R948" s="306"/>
      <c r="S948" s="306"/>
      <c r="T948" s="306"/>
      <c r="U948" s="306"/>
      <c r="V948" s="305"/>
      <c r="W948" s="306"/>
      <c r="X948" s="306"/>
      <c r="Y948" s="306"/>
      <c r="Z948" s="307"/>
      <c r="AA948" s="306"/>
      <c r="AB948" s="306"/>
      <c r="AC948" s="306"/>
    </row>
    <row r="949">
      <c r="A949" s="306"/>
      <c r="B949" s="306"/>
      <c r="C949" s="306"/>
      <c r="D949" s="305"/>
      <c r="E949" s="306"/>
      <c r="F949" s="306"/>
      <c r="G949" s="306"/>
      <c r="H949" s="306"/>
      <c r="I949" s="306"/>
      <c r="J949" s="306"/>
      <c r="K949" s="307"/>
      <c r="L949" s="306"/>
      <c r="M949" s="306"/>
      <c r="N949" s="306"/>
      <c r="O949" s="306"/>
      <c r="P949" s="306"/>
      <c r="Q949" s="306"/>
      <c r="R949" s="306"/>
      <c r="S949" s="306"/>
      <c r="T949" s="306"/>
      <c r="U949" s="306"/>
      <c r="V949" s="305"/>
      <c r="W949" s="306"/>
      <c r="X949" s="306"/>
      <c r="Y949" s="306"/>
      <c r="Z949" s="307"/>
      <c r="AA949" s="306"/>
      <c r="AB949" s="306"/>
      <c r="AC949" s="306"/>
    </row>
    <row r="950">
      <c r="A950" s="306"/>
      <c r="B950" s="306"/>
      <c r="C950" s="306"/>
      <c r="D950" s="305"/>
      <c r="E950" s="306"/>
      <c r="F950" s="306"/>
      <c r="G950" s="306"/>
      <c r="H950" s="306"/>
      <c r="I950" s="306"/>
      <c r="J950" s="306"/>
      <c r="K950" s="307"/>
      <c r="L950" s="306"/>
      <c r="M950" s="306"/>
      <c r="N950" s="306"/>
      <c r="O950" s="306"/>
      <c r="P950" s="306"/>
      <c r="Q950" s="306"/>
      <c r="R950" s="306"/>
      <c r="S950" s="306"/>
      <c r="T950" s="306"/>
      <c r="U950" s="306"/>
      <c r="V950" s="305"/>
      <c r="W950" s="306"/>
      <c r="X950" s="306"/>
      <c r="Y950" s="306"/>
      <c r="Z950" s="307"/>
      <c r="AA950" s="306"/>
      <c r="AB950" s="306"/>
      <c r="AC950" s="306"/>
    </row>
    <row r="951">
      <c r="A951" s="306"/>
      <c r="B951" s="306"/>
      <c r="C951" s="306"/>
      <c r="D951" s="305"/>
      <c r="E951" s="306"/>
      <c r="F951" s="306"/>
      <c r="G951" s="306"/>
      <c r="H951" s="306"/>
      <c r="I951" s="306"/>
      <c r="J951" s="306"/>
      <c r="K951" s="307"/>
      <c r="L951" s="306"/>
      <c r="M951" s="306"/>
      <c r="N951" s="306"/>
      <c r="O951" s="306"/>
      <c r="P951" s="306"/>
      <c r="Q951" s="306"/>
      <c r="R951" s="306"/>
      <c r="S951" s="306"/>
      <c r="T951" s="306"/>
      <c r="U951" s="306"/>
      <c r="V951" s="305"/>
      <c r="W951" s="306"/>
      <c r="X951" s="306"/>
      <c r="Y951" s="306"/>
      <c r="Z951" s="307"/>
      <c r="AA951" s="306"/>
      <c r="AB951" s="306"/>
      <c r="AC951" s="306"/>
    </row>
    <row r="952">
      <c r="A952" s="306"/>
      <c r="B952" s="306"/>
      <c r="C952" s="306"/>
      <c r="D952" s="305"/>
      <c r="E952" s="306"/>
      <c r="F952" s="306"/>
      <c r="G952" s="306"/>
      <c r="H952" s="306"/>
      <c r="I952" s="306"/>
      <c r="J952" s="306"/>
      <c r="K952" s="307"/>
      <c r="L952" s="306"/>
      <c r="M952" s="306"/>
      <c r="N952" s="306"/>
      <c r="O952" s="306"/>
      <c r="P952" s="306"/>
      <c r="Q952" s="306"/>
      <c r="R952" s="306"/>
      <c r="S952" s="306"/>
      <c r="T952" s="306"/>
      <c r="U952" s="306"/>
      <c r="V952" s="305"/>
      <c r="W952" s="306"/>
      <c r="X952" s="306"/>
      <c r="Y952" s="306"/>
      <c r="Z952" s="307"/>
      <c r="AA952" s="306"/>
      <c r="AB952" s="306"/>
      <c r="AC952" s="306"/>
    </row>
    <row r="953">
      <c r="A953" s="306"/>
      <c r="B953" s="306"/>
      <c r="C953" s="306"/>
      <c r="D953" s="305"/>
      <c r="E953" s="306"/>
      <c r="F953" s="306"/>
      <c r="G953" s="306"/>
      <c r="H953" s="306"/>
      <c r="I953" s="306"/>
      <c r="J953" s="306"/>
      <c r="K953" s="307"/>
      <c r="L953" s="306"/>
      <c r="M953" s="306"/>
      <c r="N953" s="306"/>
      <c r="O953" s="306"/>
      <c r="P953" s="306"/>
      <c r="Q953" s="306"/>
      <c r="R953" s="306"/>
      <c r="S953" s="306"/>
      <c r="T953" s="306"/>
      <c r="U953" s="306"/>
      <c r="V953" s="305"/>
      <c r="W953" s="306"/>
      <c r="X953" s="306"/>
      <c r="Y953" s="306"/>
      <c r="Z953" s="307"/>
      <c r="AA953" s="306"/>
      <c r="AB953" s="306"/>
      <c r="AC953" s="306"/>
    </row>
    <row r="954">
      <c r="A954" s="306"/>
      <c r="B954" s="306"/>
      <c r="C954" s="306"/>
      <c r="D954" s="305"/>
      <c r="E954" s="306"/>
      <c r="F954" s="306"/>
      <c r="G954" s="306"/>
      <c r="H954" s="306"/>
      <c r="I954" s="306"/>
      <c r="J954" s="306"/>
      <c r="K954" s="307"/>
      <c r="L954" s="306"/>
      <c r="M954" s="306"/>
      <c r="N954" s="306"/>
      <c r="O954" s="306"/>
      <c r="P954" s="306"/>
      <c r="Q954" s="306"/>
      <c r="R954" s="306"/>
      <c r="S954" s="306"/>
      <c r="T954" s="306"/>
      <c r="U954" s="306"/>
      <c r="V954" s="305"/>
      <c r="W954" s="306"/>
      <c r="X954" s="306"/>
      <c r="Y954" s="306"/>
      <c r="Z954" s="307"/>
      <c r="AA954" s="306"/>
      <c r="AB954" s="306"/>
      <c r="AC954" s="306"/>
    </row>
    <row r="955">
      <c r="A955" s="306"/>
      <c r="B955" s="306"/>
      <c r="C955" s="306"/>
      <c r="D955" s="305"/>
      <c r="E955" s="306"/>
      <c r="F955" s="306"/>
      <c r="G955" s="306"/>
      <c r="H955" s="306"/>
      <c r="I955" s="306"/>
      <c r="J955" s="306"/>
      <c r="K955" s="307"/>
      <c r="L955" s="306"/>
      <c r="M955" s="306"/>
      <c r="N955" s="306"/>
      <c r="O955" s="306"/>
      <c r="P955" s="306"/>
      <c r="Q955" s="306"/>
      <c r="R955" s="306"/>
      <c r="S955" s="306"/>
      <c r="T955" s="306"/>
      <c r="U955" s="306"/>
      <c r="V955" s="305"/>
      <c r="W955" s="306"/>
      <c r="X955" s="306"/>
      <c r="Y955" s="306"/>
      <c r="Z955" s="307"/>
      <c r="AA955" s="306"/>
      <c r="AB955" s="306"/>
      <c r="AC955" s="306"/>
    </row>
    <row r="956">
      <c r="A956" s="306"/>
      <c r="B956" s="306"/>
      <c r="C956" s="306"/>
      <c r="D956" s="305"/>
      <c r="E956" s="306"/>
      <c r="F956" s="306"/>
      <c r="G956" s="306"/>
      <c r="H956" s="306"/>
      <c r="I956" s="306"/>
      <c r="J956" s="306"/>
      <c r="K956" s="307"/>
      <c r="L956" s="306"/>
      <c r="M956" s="306"/>
      <c r="N956" s="306"/>
      <c r="O956" s="306"/>
      <c r="P956" s="306"/>
      <c r="Q956" s="306"/>
      <c r="R956" s="306"/>
      <c r="S956" s="306"/>
      <c r="T956" s="306"/>
      <c r="U956" s="306"/>
      <c r="V956" s="305"/>
      <c r="W956" s="306"/>
      <c r="X956" s="306"/>
      <c r="Y956" s="306"/>
      <c r="Z956" s="307"/>
      <c r="AA956" s="306"/>
      <c r="AB956" s="306"/>
      <c r="AC956" s="306"/>
    </row>
    <row r="957">
      <c r="A957" s="306"/>
      <c r="B957" s="306"/>
      <c r="C957" s="306"/>
      <c r="D957" s="305"/>
      <c r="E957" s="306"/>
      <c r="F957" s="306"/>
      <c r="G957" s="306"/>
      <c r="H957" s="306"/>
      <c r="I957" s="306"/>
      <c r="J957" s="306"/>
      <c r="K957" s="307"/>
      <c r="L957" s="306"/>
      <c r="M957" s="306"/>
      <c r="N957" s="306"/>
      <c r="O957" s="306"/>
      <c r="P957" s="306"/>
      <c r="Q957" s="306"/>
      <c r="R957" s="306"/>
      <c r="S957" s="306"/>
      <c r="T957" s="306"/>
      <c r="U957" s="306"/>
      <c r="V957" s="305"/>
      <c r="W957" s="306"/>
      <c r="X957" s="306"/>
      <c r="Y957" s="306"/>
      <c r="Z957" s="307"/>
      <c r="AA957" s="306"/>
      <c r="AB957" s="306"/>
      <c r="AC957" s="306"/>
    </row>
    <row r="958">
      <c r="A958" s="306"/>
      <c r="B958" s="306"/>
      <c r="C958" s="306"/>
      <c r="D958" s="305"/>
      <c r="E958" s="306"/>
      <c r="F958" s="306"/>
      <c r="G958" s="306"/>
      <c r="H958" s="306"/>
      <c r="I958" s="306"/>
      <c r="J958" s="306"/>
      <c r="K958" s="307"/>
      <c r="L958" s="306"/>
      <c r="M958" s="306"/>
      <c r="N958" s="306"/>
      <c r="O958" s="306"/>
      <c r="P958" s="306"/>
      <c r="Q958" s="306"/>
      <c r="R958" s="306"/>
      <c r="S958" s="306"/>
      <c r="T958" s="306"/>
      <c r="U958" s="306"/>
      <c r="V958" s="305"/>
      <c r="W958" s="306"/>
      <c r="X958" s="306"/>
      <c r="Y958" s="306"/>
      <c r="Z958" s="307"/>
      <c r="AA958" s="306"/>
      <c r="AB958" s="306"/>
      <c r="AC958" s="306"/>
    </row>
    <row r="959">
      <c r="A959" s="306"/>
      <c r="B959" s="306"/>
      <c r="C959" s="306"/>
      <c r="D959" s="305"/>
      <c r="E959" s="306"/>
      <c r="F959" s="306"/>
      <c r="G959" s="306"/>
      <c r="H959" s="306"/>
      <c r="I959" s="306"/>
      <c r="J959" s="306"/>
      <c r="K959" s="307"/>
      <c r="L959" s="306"/>
      <c r="M959" s="306"/>
      <c r="N959" s="306"/>
      <c r="O959" s="306"/>
      <c r="P959" s="306"/>
      <c r="Q959" s="306"/>
      <c r="R959" s="306"/>
      <c r="S959" s="306"/>
      <c r="T959" s="306"/>
      <c r="U959" s="306"/>
      <c r="V959" s="305"/>
      <c r="W959" s="306"/>
      <c r="X959" s="306"/>
      <c r="Y959" s="306"/>
      <c r="Z959" s="307"/>
      <c r="AA959" s="306"/>
      <c r="AB959" s="306"/>
      <c r="AC959" s="306"/>
    </row>
    <row r="960">
      <c r="A960" s="306"/>
      <c r="B960" s="306"/>
      <c r="C960" s="306"/>
      <c r="D960" s="305"/>
      <c r="E960" s="306"/>
      <c r="F960" s="306"/>
      <c r="G960" s="306"/>
      <c r="H960" s="306"/>
      <c r="I960" s="306"/>
      <c r="J960" s="306"/>
      <c r="K960" s="307"/>
      <c r="L960" s="306"/>
      <c r="M960" s="306"/>
      <c r="N960" s="306"/>
      <c r="O960" s="306"/>
      <c r="P960" s="306"/>
      <c r="Q960" s="306"/>
      <c r="R960" s="306"/>
      <c r="S960" s="306"/>
      <c r="T960" s="306"/>
      <c r="U960" s="306"/>
      <c r="V960" s="305"/>
      <c r="W960" s="306"/>
      <c r="X960" s="306"/>
      <c r="Y960" s="306"/>
      <c r="Z960" s="307"/>
      <c r="AA960" s="306"/>
      <c r="AB960" s="306"/>
      <c r="AC960" s="306"/>
    </row>
    <row r="961">
      <c r="A961" s="306"/>
      <c r="B961" s="306"/>
      <c r="C961" s="306"/>
      <c r="D961" s="305"/>
      <c r="E961" s="306"/>
      <c r="F961" s="306"/>
      <c r="G961" s="306"/>
      <c r="H961" s="306"/>
      <c r="I961" s="306"/>
      <c r="J961" s="306"/>
      <c r="K961" s="307"/>
      <c r="L961" s="306"/>
      <c r="M961" s="306"/>
      <c r="N961" s="306"/>
      <c r="O961" s="306"/>
      <c r="P961" s="306"/>
      <c r="Q961" s="306"/>
      <c r="R961" s="306"/>
      <c r="S961" s="306"/>
      <c r="T961" s="306"/>
      <c r="U961" s="306"/>
      <c r="V961" s="305"/>
      <c r="W961" s="306"/>
      <c r="X961" s="306"/>
      <c r="Y961" s="306"/>
      <c r="Z961" s="307"/>
      <c r="AA961" s="306"/>
      <c r="AB961" s="306"/>
      <c r="AC961" s="306"/>
    </row>
    <row r="962">
      <c r="A962" s="306"/>
      <c r="B962" s="306"/>
      <c r="C962" s="306"/>
      <c r="D962" s="305"/>
      <c r="E962" s="306"/>
      <c r="F962" s="306"/>
      <c r="G962" s="306"/>
      <c r="H962" s="306"/>
      <c r="I962" s="306"/>
      <c r="J962" s="306"/>
      <c r="K962" s="307"/>
      <c r="L962" s="306"/>
      <c r="M962" s="306"/>
      <c r="N962" s="306"/>
      <c r="O962" s="306"/>
      <c r="P962" s="306"/>
      <c r="Q962" s="306"/>
      <c r="R962" s="306"/>
      <c r="S962" s="306"/>
      <c r="T962" s="306"/>
      <c r="U962" s="306"/>
      <c r="V962" s="305"/>
      <c r="W962" s="306"/>
      <c r="X962" s="306"/>
      <c r="Y962" s="306"/>
      <c r="Z962" s="307"/>
      <c r="AA962" s="306"/>
      <c r="AB962" s="306"/>
      <c r="AC962" s="306"/>
    </row>
    <row r="963">
      <c r="A963" s="306"/>
      <c r="B963" s="306"/>
      <c r="C963" s="306"/>
      <c r="D963" s="305"/>
      <c r="E963" s="306"/>
      <c r="F963" s="306"/>
      <c r="G963" s="306"/>
      <c r="H963" s="306"/>
      <c r="I963" s="306"/>
      <c r="J963" s="306"/>
      <c r="K963" s="307"/>
      <c r="L963" s="306"/>
      <c r="M963" s="306"/>
      <c r="N963" s="306"/>
      <c r="O963" s="306"/>
      <c r="P963" s="306"/>
      <c r="Q963" s="306"/>
      <c r="R963" s="306"/>
      <c r="S963" s="306"/>
      <c r="T963" s="306"/>
      <c r="U963" s="306"/>
      <c r="V963" s="305"/>
      <c r="W963" s="306"/>
      <c r="X963" s="306"/>
      <c r="Y963" s="306"/>
      <c r="Z963" s="307"/>
      <c r="AA963" s="306"/>
      <c r="AB963" s="306"/>
      <c r="AC963" s="306"/>
    </row>
    <row r="964">
      <c r="A964" s="306"/>
      <c r="B964" s="306"/>
      <c r="C964" s="306"/>
      <c r="D964" s="305"/>
      <c r="E964" s="306"/>
      <c r="F964" s="306"/>
      <c r="G964" s="306"/>
      <c r="H964" s="306"/>
      <c r="I964" s="306"/>
      <c r="J964" s="306"/>
      <c r="K964" s="307"/>
      <c r="L964" s="306"/>
      <c r="M964" s="306"/>
      <c r="N964" s="306"/>
      <c r="O964" s="306"/>
      <c r="P964" s="306"/>
      <c r="Q964" s="306"/>
      <c r="R964" s="306"/>
      <c r="S964" s="306"/>
      <c r="T964" s="306"/>
      <c r="U964" s="306"/>
      <c r="V964" s="305"/>
      <c r="W964" s="306"/>
      <c r="X964" s="306"/>
      <c r="Y964" s="306"/>
      <c r="Z964" s="307"/>
      <c r="AA964" s="306"/>
      <c r="AB964" s="306"/>
      <c r="AC964" s="306"/>
    </row>
    <row r="965">
      <c r="A965" s="306"/>
      <c r="B965" s="306"/>
      <c r="C965" s="306"/>
      <c r="D965" s="305"/>
      <c r="E965" s="306"/>
      <c r="F965" s="306"/>
      <c r="G965" s="306"/>
      <c r="H965" s="306"/>
      <c r="I965" s="306"/>
      <c r="J965" s="306"/>
      <c r="K965" s="307"/>
      <c r="L965" s="306"/>
      <c r="M965" s="306"/>
      <c r="N965" s="306"/>
      <c r="O965" s="306"/>
      <c r="P965" s="306"/>
      <c r="Q965" s="306"/>
      <c r="R965" s="306"/>
      <c r="S965" s="306"/>
      <c r="T965" s="306"/>
      <c r="U965" s="306"/>
      <c r="V965" s="305"/>
      <c r="W965" s="306"/>
      <c r="X965" s="306"/>
      <c r="Y965" s="306"/>
      <c r="Z965" s="307"/>
      <c r="AA965" s="306"/>
      <c r="AB965" s="306"/>
      <c r="AC965" s="306"/>
    </row>
    <row r="966">
      <c r="A966" s="306"/>
      <c r="B966" s="306"/>
      <c r="C966" s="306"/>
      <c r="D966" s="305"/>
      <c r="E966" s="306"/>
      <c r="F966" s="306"/>
      <c r="G966" s="306"/>
      <c r="H966" s="306"/>
      <c r="I966" s="306"/>
      <c r="J966" s="306"/>
      <c r="K966" s="307"/>
      <c r="L966" s="306"/>
      <c r="M966" s="306"/>
      <c r="N966" s="306"/>
      <c r="O966" s="306"/>
      <c r="P966" s="306"/>
      <c r="Q966" s="306"/>
      <c r="R966" s="306"/>
      <c r="S966" s="306"/>
      <c r="T966" s="306"/>
      <c r="U966" s="306"/>
      <c r="V966" s="305"/>
      <c r="W966" s="306"/>
      <c r="X966" s="306"/>
      <c r="Y966" s="306"/>
      <c r="Z966" s="307"/>
      <c r="AA966" s="306"/>
      <c r="AB966" s="306"/>
      <c r="AC966" s="306"/>
    </row>
    <row r="967">
      <c r="A967" s="306"/>
      <c r="B967" s="306"/>
      <c r="C967" s="306"/>
      <c r="D967" s="305"/>
      <c r="E967" s="306"/>
      <c r="F967" s="306"/>
      <c r="G967" s="306"/>
      <c r="H967" s="306"/>
      <c r="I967" s="306"/>
      <c r="J967" s="306"/>
      <c r="K967" s="307"/>
      <c r="L967" s="306"/>
      <c r="M967" s="306"/>
      <c r="N967" s="306"/>
      <c r="O967" s="306"/>
      <c r="P967" s="306"/>
      <c r="Q967" s="306"/>
      <c r="R967" s="306"/>
      <c r="S967" s="306"/>
      <c r="T967" s="306"/>
      <c r="U967" s="306"/>
      <c r="V967" s="305"/>
      <c r="W967" s="306"/>
      <c r="X967" s="306"/>
      <c r="Y967" s="306"/>
      <c r="Z967" s="307"/>
      <c r="AA967" s="306"/>
      <c r="AB967" s="306"/>
      <c r="AC967" s="306"/>
    </row>
    <row r="968">
      <c r="A968" s="306"/>
      <c r="B968" s="306"/>
      <c r="C968" s="306"/>
      <c r="D968" s="305"/>
      <c r="E968" s="306"/>
      <c r="F968" s="306"/>
      <c r="G968" s="306"/>
      <c r="H968" s="306"/>
      <c r="I968" s="306"/>
      <c r="J968" s="306"/>
      <c r="K968" s="307"/>
      <c r="L968" s="306"/>
      <c r="M968" s="306"/>
      <c r="N968" s="306"/>
      <c r="O968" s="306"/>
      <c r="P968" s="306"/>
      <c r="Q968" s="306"/>
      <c r="R968" s="306"/>
      <c r="S968" s="306"/>
      <c r="T968" s="306"/>
      <c r="U968" s="306"/>
      <c r="V968" s="305"/>
      <c r="W968" s="306"/>
      <c r="X968" s="306"/>
      <c r="Y968" s="306"/>
      <c r="Z968" s="307"/>
      <c r="AA968" s="306"/>
      <c r="AB968" s="306"/>
      <c r="AC968" s="306"/>
    </row>
    <row r="969">
      <c r="A969" s="306"/>
      <c r="B969" s="306"/>
      <c r="C969" s="306"/>
      <c r="D969" s="305"/>
      <c r="E969" s="306"/>
      <c r="F969" s="306"/>
      <c r="G969" s="306"/>
      <c r="H969" s="306"/>
      <c r="I969" s="306"/>
      <c r="J969" s="306"/>
      <c r="K969" s="307"/>
      <c r="L969" s="306"/>
      <c r="M969" s="306"/>
      <c r="N969" s="306"/>
      <c r="O969" s="306"/>
      <c r="P969" s="306"/>
      <c r="Q969" s="306"/>
      <c r="R969" s="306"/>
      <c r="S969" s="306"/>
      <c r="T969" s="306"/>
      <c r="U969" s="306"/>
      <c r="V969" s="305"/>
      <c r="W969" s="306"/>
      <c r="X969" s="306"/>
      <c r="Y969" s="306"/>
      <c r="Z969" s="307"/>
      <c r="AA969" s="306"/>
      <c r="AB969" s="306"/>
      <c r="AC969" s="306"/>
    </row>
    <row r="970">
      <c r="A970" s="306"/>
      <c r="B970" s="306"/>
      <c r="C970" s="306"/>
      <c r="D970" s="305"/>
      <c r="E970" s="306"/>
      <c r="F970" s="306"/>
      <c r="G970" s="306"/>
      <c r="H970" s="306"/>
      <c r="I970" s="306"/>
      <c r="J970" s="306"/>
      <c r="K970" s="307"/>
      <c r="L970" s="306"/>
      <c r="M970" s="306"/>
      <c r="N970" s="306"/>
      <c r="O970" s="306"/>
      <c r="P970" s="306"/>
      <c r="Q970" s="306"/>
      <c r="R970" s="306"/>
      <c r="S970" s="306"/>
      <c r="T970" s="306"/>
      <c r="U970" s="306"/>
      <c r="V970" s="305"/>
      <c r="W970" s="306"/>
      <c r="X970" s="306"/>
      <c r="Y970" s="306"/>
      <c r="Z970" s="307"/>
      <c r="AA970" s="306"/>
      <c r="AB970" s="306"/>
      <c r="AC970" s="306"/>
    </row>
    <row r="971">
      <c r="A971" s="306"/>
      <c r="B971" s="306"/>
      <c r="C971" s="306"/>
      <c r="D971" s="305"/>
      <c r="E971" s="306"/>
      <c r="F971" s="306"/>
      <c r="G971" s="306"/>
      <c r="H971" s="306"/>
      <c r="I971" s="306"/>
      <c r="J971" s="306"/>
      <c r="K971" s="307"/>
      <c r="L971" s="306"/>
      <c r="M971" s="306"/>
      <c r="N971" s="306"/>
      <c r="O971" s="306"/>
      <c r="P971" s="306"/>
      <c r="Q971" s="306"/>
      <c r="R971" s="306"/>
      <c r="S971" s="306"/>
      <c r="T971" s="306"/>
      <c r="U971" s="306"/>
      <c r="V971" s="305"/>
      <c r="W971" s="306"/>
      <c r="X971" s="306"/>
      <c r="Y971" s="306"/>
      <c r="Z971" s="307"/>
      <c r="AA971" s="306"/>
      <c r="AB971" s="306"/>
      <c r="AC971" s="306"/>
    </row>
    <row r="972">
      <c r="A972" s="306"/>
      <c r="B972" s="306"/>
      <c r="C972" s="306"/>
      <c r="D972" s="305"/>
      <c r="E972" s="306"/>
      <c r="F972" s="306"/>
      <c r="G972" s="306"/>
      <c r="H972" s="306"/>
      <c r="I972" s="306"/>
      <c r="J972" s="306"/>
      <c r="K972" s="307"/>
      <c r="L972" s="306"/>
      <c r="M972" s="306"/>
      <c r="N972" s="306"/>
      <c r="O972" s="306"/>
      <c r="P972" s="306"/>
      <c r="Q972" s="306"/>
      <c r="R972" s="306"/>
      <c r="S972" s="306"/>
      <c r="T972" s="306"/>
      <c r="U972" s="306"/>
      <c r="V972" s="305"/>
      <c r="W972" s="306"/>
      <c r="X972" s="306"/>
      <c r="Y972" s="306"/>
      <c r="Z972" s="307"/>
      <c r="AA972" s="306"/>
      <c r="AB972" s="306"/>
      <c r="AC972" s="306"/>
    </row>
    <row r="973">
      <c r="A973" s="306"/>
      <c r="B973" s="306"/>
      <c r="C973" s="306"/>
      <c r="D973" s="305"/>
      <c r="E973" s="306"/>
      <c r="F973" s="306"/>
      <c r="G973" s="306"/>
      <c r="H973" s="306"/>
      <c r="I973" s="306"/>
      <c r="J973" s="306"/>
      <c r="K973" s="307"/>
      <c r="L973" s="306"/>
      <c r="M973" s="306"/>
      <c r="N973" s="306"/>
      <c r="O973" s="306"/>
      <c r="P973" s="306"/>
      <c r="Q973" s="306"/>
      <c r="R973" s="306"/>
      <c r="S973" s="306"/>
      <c r="T973" s="306"/>
      <c r="U973" s="306"/>
      <c r="V973" s="305"/>
      <c r="W973" s="306"/>
      <c r="X973" s="306"/>
      <c r="Y973" s="306"/>
      <c r="Z973" s="307"/>
      <c r="AA973" s="306"/>
      <c r="AB973" s="306"/>
      <c r="AC973" s="306"/>
    </row>
    <row r="974">
      <c r="A974" s="306"/>
      <c r="B974" s="306"/>
      <c r="C974" s="306"/>
      <c r="D974" s="305"/>
      <c r="E974" s="306"/>
      <c r="F974" s="306"/>
      <c r="G974" s="306"/>
      <c r="H974" s="306"/>
      <c r="I974" s="306"/>
      <c r="J974" s="306"/>
      <c r="K974" s="307"/>
      <c r="L974" s="306"/>
      <c r="M974" s="306"/>
      <c r="N974" s="306"/>
      <c r="O974" s="306"/>
      <c r="P974" s="306"/>
      <c r="Q974" s="306"/>
      <c r="R974" s="306"/>
      <c r="S974" s="306"/>
      <c r="T974" s="306"/>
      <c r="U974" s="306"/>
      <c r="V974" s="305"/>
      <c r="W974" s="306"/>
      <c r="X974" s="306"/>
      <c r="Y974" s="306"/>
      <c r="Z974" s="307"/>
      <c r="AA974" s="306"/>
      <c r="AB974" s="306"/>
      <c r="AC974" s="306"/>
    </row>
    <row r="975">
      <c r="A975" s="306"/>
      <c r="B975" s="306"/>
      <c r="C975" s="306"/>
      <c r="D975" s="305"/>
      <c r="E975" s="306"/>
      <c r="F975" s="306"/>
      <c r="G975" s="306"/>
      <c r="H975" s="306"/>
      <c r="I975" s="306"/>
      <c r="J975" s="306"/>
      <c r="K975" s="307"/>
      <c r="L975" s="306"/>
      <c r="M975" s="306"/>
      <c r="N975" s="306"/>
      <c r="O975" s="306"/>
      <c r="P975" s="306"/>
      <c r="Q975" s="306"/>
      <c r="R975" s="306"/>
      <c r="S975" s="306"/>
      <c r="T975" s="306"/>
      <c r="U975" s="306"/>
      <c r="V975" s="305"/>
      <c r="W975" s="306"/>
      <c r="X975" s="306"/>
      <c r="Y975" s="306"/>
      <c r="Z975" s="307"/>
      <c r="AA975" s="306"/>
      <c r="AB975" s="306"/>
      <c r="AC975" s="306"/>
    </row>
    <row r="976">
      <c r="A976" s="306"/>
      <c r="B976" s="306"/>
      <c r="C976" s="306"/>
      <c r="D976" s="305"/>
      <c r="E976" s="306"/>
      <c r="F976" s="306"/>
      <c r="G976" s="306"/>
      <c r="H976" s="306"/>
      <c r="I976" s="306"/>
      <c r="J976" s="306"/>
      <c r="K976" s="307"/>
      <c r="L976" s="306"/>
      <c r="M976" s="306"/>
      <c r="N976" s="306"/>
      <c r="O976" s="306"/>
      <c r="P976" s="306"/>
      <c r="Q976" s="306"/>
      <c r="R976" s="306"/>
      <c r="S976" s="306"/>
      <c r="T976" s="306"/>
      <c r="U976" s="306"/>
      <c r="V976" s="305"/>
      <c r="W976" s="306"/>
      <c r="X976" s="306"/>
      <c r="Y976" s="306"/>
      <c r="Z976" s="307"/>
      <c r="AA976" s="306"/>
      <c r="AB976" s="306"/>
      <c r="AC976" s="306"/>
    </row>
    <row r="977">
      <c r="A977" s="306"/>
      <c r="B977" s="306"/>
      <c r="C977" s="306"/>
      <c r="D977" s="305"/>
      <c r="E977" s="306"/>
      <c r="F977" s="306"/>
      <c r="G977" s="306"/>
      <c r="H977" s="306"/>
      <c r="I977" s="306"/>
      <c r="J977" s="306"/>
      <c r="K977" s="307"/>
      <c r="L977" s="306"/>
      <c r="M977" s="306"/>
      <c r="N977" s="306"/>
      <c r="O977" s="306"/>
      <c r="P977" s="306"/>
      <c r="Q977" s="306"/>
      <c r="R977" s="306"/>
      <c r="S977" s="306"/>
      <c r="T977" s="306"/>
      <c r="U977" s="306"/>
      <c r="V977" s="305"/>
      <c r="W977" s="306"/>
      <c r="X977" s="306"/>
      <c r="Y977" s="306"/>
      <c r="Z977" s="307"/>
      <c r="AA977" s="306"/>
      <c r="AB977" s="306"/>
      <c r="AC977" s="306"/>
    </row>
    <row r="978">
      <c r="A978" s="306"/>
      <c r="B978" s="306"/>
      <c r="C978" s="306"/>
      <c r="D978" s="305"/>
      <c r="E978" s="306"/>
      <c r="F978" s="306"/>
      <c r="G978" s="306"/>
      <c r="H978" s="306"/>
      <c r="I978" s="306"/>
      <c r="J978" s="306"/>
      <c r="K978" s="307"/>
      <c r="L978" s="306"/>
      <c r="M978" s="306"/>
      <c r="N978" s="306"/>
      <c r="O978" s="306"/>
      <c r="P978" s="306"/>
      <c r="Q978" s="306"/>
      <c r="R978" s="306"/>
      <c r="S978" s="306"/>
      <c r="T978" s="306"/>
      <c r="U978" s="306"/>
      <c r="V978" s="305"/>
      <c r="W978" s="306"/>
      <c r="X978" s="306"/>
      <c r="Y978" s="306"/>
      <c r="Z978" s="307"/>
      <c r="AA978" s="306"/>
      <c r="AB978" s="306"/>
      <c r="AC978" s="306"/>
    </row>
    <row r="979">
      <c r="A979" s="306"/>
      <c r="B979" s="306"/>
      <c r="C979" s="306"/>
      <c r="D979" s="305"/>
      <c r="E979" s="306"/>
      <c r="F979" s="306"/>
      <c r="G979" s="306"/>
      <c r="H979" s="306"/>
      <c r="I979" s="306"/>
      <c r="J979" s="306"/>
      <c r="K979" s="307"/>
      <c r="L979" s="306"/>
      <c r="M979" s="306"/>
      <c r="N979" s="306"/>
      <c r="O979" s="306"/>
      <c r="P979" s="306"/>
      <c r="Q979" s="306"/>
      <c r="R979" s="306"/>
      <c r="S979" s="306"/>
      <c r="T979" s="306"/>
      <c r="U979" s="306"/>
      <c r="V979" s="305"/>
      <c r="W979" s="306"/>
      <c r="X979" s="306"/>
      <c r="Y979" s="306"/>
      <c r="Z979" s="307"/>
      <c r="AA979" s="306"/>
      <c r="AB979" s="306"/>
      <c r="AC979" s="306"/>
    </row>
    <row r="980">
      <c r="A980" s="306"/>
      <c r="B980" s="306"/>
      <c r="C980" s="306"/>
      <c r="D980" s="305"/>
      <c r="E980" s="306"/>
      <c r="F980" s="306"/>
      <c r="G980" s="306"/>
      <c r="H980" s="306"/>
      <c r="I980" s="306"/>
      <c r="J980" s="306"/>
      <c r="K980" s="307"/>
      <c r="L980" s="306"/>
      <c r="M980" s="306"/>
      <c r="N980" s="306"/>
      <c r="O980" s="306"/>
      <c r="P980" s="306"/>
      <c r="Q980" s="306"/>
      <c r="R980" s="306"/>
      <c r="S980" s="306"/>
      <c r="T980" s="306"/>
      <c r="U980" s="306"/>
      <c r="V980" s="305"/>
      <c r="W980" s="306"/>
      <c r="X980" s="306"/>
      <c r="Y980" s="306"/>
      <c r="Z980" s="307"/>
      <c r="AA980" s="306"/>
      <c r="AB980" s="306"/>
      <c r="AC980" s="306"/>
    </row>
    <row r="981">
      <c r="A981" s="306"/>
      <c r="B981" s="306"/>
      <c r="C981" s="306"/>
      <c r="D981" s="305"/>
      <c r="E981" s="306"/>
      <c r="F981" s="306"/>
      <c r="G981" s="306"/>
      <c r="H981" s="306"/>
      <c r="I981" s="306"/>
      <c r="J981" s="306"/>
      <c r="K981" s="307"/>
      <c r="L981" s="306"/>
      <c r="M981" s="306"/>
      <c r="N981" s="306"/>
      <c r="O981" s="306"/>
      <c r="P981" s="306"/>
      <c r="Q981" s="306"/>
      <c r="R981" s="306"/>
      <c r="S981" s="306"/>
      <c r="T981" s="306"/>
      <c r="U981" s="306"/>
      <c r="V981" s="305"/>
      <c r="W981" s="306"/>
      <c r="X981" s="306"/>
      <c r="Y981" s="306"/>
      <c r="Z981" s="307"/>
      <c r="AA981" s="306"/>
      <c r="AB981" s="306"/>
      <c r="AC981" s="306"/>
    </row>
    <row r="982">
      <c r="A982" s="306"/>
      <c r="B982" s="306"/>
      <c r="C982" s="306"/>
      <c r="D982" s="305"/>
      <c r="E982" s="306"/>
      <c r="F982" s="306"/>
      <c r="G982" s="306"/>
      <c r="H982" s="306"/>
      <c r="I982" s="306"/>
      <c r="J982" s="306"/>
      <c r="K982" s="307"/>
      <c r="L982" s="306"/>
      <c r="M982" s="306"/>
      <c r="N982" s="306"/>
      <c r="O982" s="306"/>
      <c r="P982" s="306"/>
      <c r="Q982" s="306"/>
      <c r="R982" s="306"/>
      <c r="S982" s="306"/>
      <c r="T982" s="306"/>
      <c r="U982" s="306"/>
      <c r="V982" s="305"/>
      <c r="W982" s="306"/>
      <c r="X982" s="306"/>
      <c r="Y982" s="306"/>
      <c r="Z982" s="307"/>
      <c r="AA982" s="306"/>
      <c r="AB982" s="306"/>
      <c r="AC982" s="306"/>
    </row>
    <row r="983">
      <c r="A983" s="306"/>
      <c r="B983" s="306"/>
      <c r="C983" s="306"/>
      <c r="D983" s="305"/>
      <c r="E983" s="306"/>
      <c r="F983" s="306"/>
      <c r="G983" s="306"/>
      <c r="H983" s="306"/>
      <c r="I983" s="306"/>
      <c r="J983" s="306"/>
      <c r="K983" s="307"/>
      <c r="L983" s="306"/>
      <c r="M983" s="306"/>
      <c r="N983" s="306"/>
      <c r="O983" s="306"/>
      <c r="P983" s="306"/>
      <c r="Q983" s="306"/>
      <c r="R983" s="306"/>
      <c r="S983" s="306"/>
      <c r="T983" s="306"/>
      <c r="U983" s="306"/>
      <c r="V983" s="305"/>
      <c r="W983" s="306"/>
      <c r="X983" s="306"/>
      <c r="Y983" s="306"/>
      <c r="Z983" s="307"/>
      <c r="AA983" s="306"/>
      <c r="AB983" s="306"/>
      <c r="AC983" s="306"/>
    </row>
    <row r="984">
      <c r="A984" s="306"/>
      <c r="B984" s="306"/>
      <c r="C984" s="306"/>
      <c r="D984" s="305"/>
      <c r="E984" s="306"/>
      <c r="F984" s="306"/>
      <c r="G984" s="306"/>
      <c r="H984" s="306"/>
      <c r="I984" s="306"/>
      <c r="J984" s="306"/>
      <c r="K984" s="307"/>
      <c r="L984" s="306"/>
      <c r="M984" s="306"/>
      <c r="N984" s="306"/>
      <c r="O984" s="306"/>
      <c r="P984" s="306"/>
      <c r="Q984" s="306"/>
      <c r="R984" s="306"/>
      <c r="S984" s="306"/>
      <c r="T984" s="306"/>
      <c r="U984" s="306"/>
      <c r="V984" s="305"/>
      <c r="W984" s="306"/>
      <c r="X984" s="306"/>
      <c r="Y984" s="306"/>
      <c r="Z984" s="307"/>
      <c r="AA984" s="306"/>
      <c r="AB984" s="306"/>
      <c r="AC984" s="306"/>
    </row>
    <row r="985">
      <c r="A985" s="306"/>
      <c r="B985" s="306"/>
      <c r="C985" s="306"/>
      <c r="D985" s="305"/>
      <c r="E985" s="306"/>
      <c r="F985" s="306"/>
      <c r="G985" s="306"/>
      <c r="H985" s="306"/>
      <c r="I985" s="306"/>
      <c r="J985" s="306"/>
      <c r="K985" s="307"/>
      <c r="L985" s="306"/>
      <c r="M985" s="306"/>
      <c r="N985" s="306"/>
      <c r="O985" s="306"/>
      <c r="P985" s="306"/>
      <c r="Q985" s="306"/>
      <c r="R985" s="306"/>
      <c r="S985" s="306"/>
      <c r="T985" s="306"/>
      <c r="U985" s="306"/>
      <c r="V985" s="305"/>
      <c r="W985" s="306"/>
      <c r="X985" s="306"/>
      <c r="Y985" s="306"/>
      <c r="Z985" s="307"/>
      <c r="AA985" s="306"/>
      <c r="AB985" s="306"/>
      <c r="AC985" s="306"/>
    </row>
    <row r="986">
      <c r="A986" s="306"/>
      <c r="B986" s="306"/>
      <c r="C986" s="306"/>
      <c r="D986" s="305"/>
      <c r="E986" s="306"/>
      <c r="F986" s="306"/>
      <c r="G986" s="306"/>
      <c r="H986" s="306"/>
      <c r="I986" s="306"/>
      <c r="J986" s="306"/>
      <c r="K986" s="307"/>
      <c r="L986" s="306"/>
      <c r="M986" s="306"/>
      <c r="N986" s="306"/>
      <c r="O986" s="306"/>
      <c r="P986" s="306"/>
      <c r="Q986" s="306"/>
      <c r="R986" s="306"/>
      <c r="S986" s="306"/>
      <c r="T986" s="306"/>
      <c r="U986" s="306"/>
      <c r="V986" s="305"/>
      <c r="W986" s="306"/>
      <c r="X986" s="306"/>
      <c r="Y986" s="306"/>
      <c r="Z986" s="307"/>
      <c r="AA986" s="306"/>
      <c r="AB986" s="306"/>
      <c r="AC986" s="306"/>
    </row>
    <row r="987">
      <c r="A987" s="306"/>
      <c r="B987" s="306"/>
      <c r="C987" s="306"/>
      <c r="D987" s="305"/>
      <c r="E987" s="306"/>
      <c r="F987" s="306"/>
      <c r="G987" s="306"/>
      <c r="H987" s="306"/>
      <c r="I987" s="306"/>
      <c r="J987" s="306"/>
      <c r="K987" s="307"/>
      <c r="L987" s="306"/>
      <c r="M987" s="306"/>
      <c r="N987" s="306"/>
      <c r="O987" s="306"/>
      <c r="P987" s="306"/>
      <c r="Q987" s="306"/>
      <c r="R987" s="306"/>
      <c r="S987" s="306"/>
      <c r="T987" s="306"/>
      <c r="U987" s="306"/>
      <c r="V987" s="305"/>
      <c r="W987" s="306"/>
      <c r="X987" s="306"/>
      <c r="Y987" s="306"/>
      <c r="Z987" s="307"/>
      <c r="AA987" s="306"/>
      <c r="AB987" s="306"/>
      <c r="AC987" s="306"/>
    </row>
    <row r="988">
      <c r="A988" s="306"/>
      <c r="B988" s="306"/>
      <c r="C988" s="306"/>
      <c r="D988" s="305"/>
      <c r="E988" s="306"/>
      <c r="F988" s="306"/>
      <c r="G988" s="306"/>
      <c r="H988" s="306"/>
      <c r="I988" s="306"/>
      <c r="J988" s="306"/>
      <c r="K988" s="307"/>
      <c r="L988" s="306"/>
      <c r="M988" s="306"/>
      <c r="N988" s="306"/>
      <c r="O988" s="306"/>
      <c r="P988" s="306"/>
      <c r="Q988" s="306"/>
      <c r="R988" s="306"/>
      <c r="S988" s="306"/>
      <c r="T988" s="306"/>
      <c r="U988" s="306"/>
      <c r="V988" s="305"/>
      <c r="W988" s="306"/>
      <c r="X988" s="306"/>
      <c r="Y988" s="306"/>
      <c r="Z988" s="307"/>
      <c r="AA988" s="306"/>
      <c r="AB988" s="306"/>
      <c r="AC988" s="306"/>
    </row>
    <row r="989">
      <c r="A989" s="306"/>
      <c r="B989" s="306"/>
      <c r="C989" s="306"/>
      <c r="D989" s="305"/>
      <c r="E989" s="306"/>
      <c r="F989" s="306"/>
      <c r="G989" s="306"/>
      <c r="H989" s="306"/>
      <c r="I989" s="306"/>
      <c r="J989" s="306"/>
      <c r="K989" s="307"/>
      <c r="L989" s="306"/>
      <c r="M989" s="306"/>
      <c r="N989" s="306"/>
      <c r="O989" s="306"/>
      <c r="P989" s="306"/>
      <c r="Q989" s="306"/>
      <c r="R989" s="306"/>
      <c r="S989" s="306"/>
      <c r="T989" s="306"/>
      <c r="U989" s="306"/>
      <c r="V989" s="305"/>
      <c r="W989" s="306"/>
      <c r="X989" s="306"/>
      <c r="Y989" s="306"/>
      <c r="Z989" s="307"/>
      <c r="AA989" s="306"/>
      <c r="AB989" s="306"/>
      <c r="AC989" s="306"/>
    </row>
    <row r="990">
      <c r="A990" s="306"/>
      <c r="B990" s="306"/>
      <c r="C990" s="306"/>
      <c r="D990" s="305"/>
      <c r="E990" s="306"/>
      <c r="F990" s="306"/>
      <c r="G990" s="306"/>
      <c r="H990" s="306"/>
      <c r="I990" s="306"/>
      <c r="J990" s="306"/>
      <c r="K990" s="307"/>
      <c r="L990" s="306"/>
      <c r="M990" s="306"/>
      <c r="N990" s="306"/>
      <c r="O990" s="306"/>
      <c r="P990" s="306"/>
      <c r="Q990" s="306"/>
      <c r="R990" s="306"/>
      <c r="S990" s="306"/>
      <c r="T990" s="306"/>
      <c r="U990" s="306"/>
      <c r="V990" s="305"/>
      <c r="W990" s="306"/>
      <c r="X990" s="306"/>
      <c r="Y990" s="306"/>
      <c r="Z990" s="307"/>
      <c r="AA990" s="306"/>
      <c r="AB990" s="306"/>
      <c r="AC990" s="306"/>
    </row>
    <row r="991">
      <c r="A991" s="306"/>
      <c r="B991" s="306"/>
      <c r="C991" s="306"/>
      <c r="D991" s="305"/>
      <c r="E991" s="306"/>
      <c r="F991" s="306"/>
      <c r="G991" s="306"/>
      <c r="H991" s="306"/>
      <c r="I991" s="306"/>
      <c r="J991" s="306"/>
      <c r="K991" s="307"/>
      <c r="L991" s="306"/>
      <c r="M991" s="306"/>
      <c r="N991" s="306"/>
      <c r="O991" s="306"/>
      <c r="P991" s="306"/>
      <c r="Q991" s="306"/>
      <c r="R991" s="306"/>
      <c r="S991" s="306"/>
      <c r="T991" s="306"/>
      <c r="U991" s="306"/>
      <c r="V991" s="305"/>
      <c r="W991" s="306"/>
      <c r="X991" s="306"/>
      <c r="Y991" s="306"/>
      <c r="Z991" s="307"/>
      <c r="AA991" s="306"/>
      <c r="AB991" s="306"/>
      <c r="AC991" s="306"/>
    </row>
    <row r="992">
      <c r="A992" s="306"/>
      <c r="B992" s="306"/>
      <c r="C992" s="306"/>
      <c r="D992" s="305"/>
      <c r="E992" s="306"/>
      <c r="F992" s="306"/>
      <c r="G992" s="306"/>
      <c r="H992" s="306"/>
      <c r="I992" s="306"/>
      <c r="J992" s="306"/>
      <c r="K992" s="307"/>
      <c r="L992" s="306"/>
      <c r="M992" s="306"/>
      <c r="N992" s="306"/>
      <c r="O992" s="306"/>
      <c r="P992" s="306"/>
      <c r="Q992" s="306"/>
      <c r="R992" s="306"/>
      <c r="S992" s="306"/>
      <c r="T992" s="306"/>
      <c r="U992" s="306"/>
      <c r="V992" s="305"/>
      <c r="W992" s="306"/>
      <c r="X992" s="306"/>
      <c r="Y992" s="306"/>
      <c r="Z992" s="307"/>
      <c r="AA992" s="306"/>
      <c r="AB992" s="306"/>
      <c r="AC992" s="306"/>
    </row>
    <row r="993">
      <c r="A993" s="306"/>
      <c r="B993" s="306"/>
      <c r="C993" s="306"/>
      <c r="D993" s="305"/>
      <c r="E993" s="306"/>
      <c r="F993" s="306"/>
      <c r="G993" s="306"/>
      <c r="H993" s="306"/>
      <c r="I993" s="306"/>
      <c r="J993" s="306"/>
      <c r="K993" s="307"/>
      <c r="L993" s="306"/>
      <c r="M993" s="306"/>
      <c r="N993" s="306"/>
      <c r="O993" s="306"/>
      <c r="P993" s="306"/>
      <c r="Q993" s="306"/>
      <c r="R993" s="306"/>
      <c r="S993" s="306"/>
      <c r="T993" s="306"/>
      <c r="U993" s="306"/>
      <c r="V993" s="305"/>
      <c r="W993" s="306"/>
      <c r="X993" s="306"/>
      <c r="Y993" s="306"/>
      <c r="Z993" s="307"/>
      <c r="AA993" s="306"/>
      <c r="AB993" s="306"/>
      <c r="AC993" s="306"/>
    </row>
    <row r="994">
      <c r="A994" s="306"/>
      <c r="B994" s="306"/>
      <c r="C994" s="306"/>
      <c r="D994" s="305"/>
      <c r="E994" s="306"/>
      <c r="F994" s="306"/>
      <c r="G994" s="306"/>
      <c r="H994" s="306"/>
      <c r="I994" s="306"/>
      <c r="J994" s="306"/>
      <c r="K994" s="307"/>
      <c r="L994" s="306"/>
      <c r="M994" s="306"/>
      <c r="N994" s="306"/>
      <c r="O994" s="306"/>
      <c r="P994" s="306"/>
      <c r="Q994" s="306"/>
      <c r="R994" s="306"/>
      <c r="S994" s="306"/>
      <c r="T994" s="306"/>
      <c r="U994" s="306"/>
      <c r="V994" s="305"/>
      <c r="W994" s="306"/>
      <c r="X994" s="306"/>
      <c r="Y994" s="306"/>
      <c r="Z994" s="307"/>
      <c r="AA994" s="306"/>
      <c r="AB994" s="306"/>
      <c r="AC994" s="306"/>
    </row>
    <row r="995">
      <c r="A995" s="306"/>
      <c r="B995" s="306"/>
      <c r="C995" s="306"/>
      <c r="D995" s="305"/>
      <c r="E995" s="306"/>
      <c r="F995" s="306"/>
      <c r="G995" s="306"/>
      <c r="H995" s="306"/>
      <c r="I995" s="306"/>
      <c r="J995" s="306"/>
      <c r="K995" s="307"/>
      <c r="L995" s="306"/>
      <c r="M995" s="306"/>
      <c r="N995" s="306"/>
      <c r="O995" s="306"/>
      <c r="P995" s="306"/>
      <c r="Q995" s="306"/>
      <c r="R995" s="306"/>
      <c r="S995" s="306"/>
      <c r="T995" s="306"/>
      <c r="U995" s="306"/>
      <c r="V995" s="305"/>
      <c r="W995" s="306"/>
      <c r="X995" s="306"/>
      <c r="Y995" s="306"/>
      <c r="Z995" s="307"/>
      <c r="AA995" s="306"/>
      <c r="AB995" s="306"/>
      <c r="AC995" s="306"/>
    </row>
    <row r="996">
      <c r="A996" s="306"/>
      <c r="B996" s="306"/>
      <c r="C996" s="306"/>
      <c r="D996" s="305"/>
      <c r="E996" s="306"/>
      <c r="F996" s="306"/>
      <c r="G996" s="306"/>
      <c r="H996" s="306"/>
      <c r="I996" s="306"/>
      <c r="J996" s="306"/>
      <c r="K996" s="307"/>
      <c r="L996" s="306"/>
      <c r="M996" s="306"/>
      <c r="N996" s="306"/>
      <c r="O996" s="306"/>
      <c r="P996" s="306"/>
      <c r="Q996" s="306"/>
      <c r="R996" s="306"/>
      <c r="S996" s="306"/>
      <c r="T996" s="306"/>
      <c r="U996" s="306"/>
      <c r="V996" s="305"/>
      <c r="W996" s="306"/>
      <c r="X996" s="306"/>
      <c r="Y996" s="306"/>
      <c r="Z996" s="307"/>
      <c r="AA996" s="306"/>
      <c r="AB996" s="306"/>
      <c r="AC996" s="306"/>
    </row>
    <row r="997">
      <c r="A997" s="306"/>
      <c r="B997" s="306"/>
      <c r="C997" s="306"/>
      <c r="D997" s="305"/>
      <c r="E997" s="306"/>
      <c r="F997" s="306"/>
      <c r="G997" s="306"/>
      <c r="H997" s="306"/>
      <c r="I997" s="306"/>
      <c r="J997" s="306"/>
      <c r="K997" s="307"/>
      <c r="L997" s="306"/>
      <c r="M997" s="306"/>
      <c r="N997" s="306"/>
      <c r="O997" s="306"/>
      <c r="P997" s="306"/>
      <c r="Q997" s="306"/>
      <c r="R997" s="306"/>
      <c r="S997" s="306"/>
      <c r="T997" s="306"/>
      <c r="U997" s="306"/>
      <c r="V997" s="305"/>
      <c r="W997" s="306"/>
      <c r="X997" s="306"/>
      <c r="Y997" s="306"/>
      <c r="Z997" s="307"/>
      <c r="AA997" s="306"/>
      <c r="AB997" s="306"/>
      <c r="AC997" s="306"/>
    </row>
    <row r="998">
      <c r="A998" s="306"/>
      <c r="B998" s="306"/>
      <c r="C998" s="306"/>
      <c r="D998" s="305"/>
      <c r="E998" s="306"/>
      <c r="F998" s="306"/>
      <c r="G998" s="306"/>
      <c r="H998" s="306"/>
      <c r="I998" s="306"/>
      <c r="J998" s="306"/>
      <c r="K998" s="307"/>
      <c r="L998" s="306"/>
      <c r="M998" s="306"/>
      <c r="N998" s="306"/>
      <c r="O998" s="306"/>
      <c r="P998" s="306"/>
      <c r="Q998" s="306"/>
      <c r="R998" s="306"/>
      <c r="S998" s="306"/>
      <c r="T998" s="306"/>
      <c r="U998" s="306"/>
      <c r="V998" s="305"/>
      <c r="W998" s="306"/>
      <c r="X998" s="306"/>
      <c r="Y998" s="306"/>
      <c r="Z998" s="307"/>
      <c r="AA998" s="306"/>
      <c r="AB998" s="306"/>
      <c r="AC998" s="306"/>
    </row>
    <row r="999">
      <c r="A999" s="306"/>
      <c r="B999" s="306"/>
      <c r="C999" s="306"/>
      <c r="D999" s="305"/>
      <c r="E999" s="306"/>
      <c r="F999" s="306"/>
      <c r="G999" s="306"/>
      <c r="H999" s="306"/>
      <c r="I999" s="306"/>
      <c r="J999" s="306"/>
      <c r="K999" s="307"/>
      <c r="L999" s="306"/>
      <c r="M999" s="306"/>
      <c r="N999" s="306"/>
      <c r="O999" s="306"/>
      <c r="P999" s="306"/>
      <c r="Q999" s="306"/>
      <c r="R999" s="306"/>
      <c r="S999" s="306"/>
      <c r="T999" s="306"/>
      <c r="U999" s="306"/>
      <c r="V999" s="305"/>
      <c r="W999" s="306"/>
      <c r="X999" s="306"/>
      <c r="Y999" s="306"/>
      <c r="Z999" s="307"/>
      <c r="AA999" s="306"/>
      <c r="AB999" s="306"/>
      <c r="AC999" s="306"/>
    </row>
    <row r="1000">
      <c r="A1000" s="306"/>
      <c r="B1000" s="306"/>
      <c r="C1000" s="306"/>
      <c r="D1000" s="305"/>
      <c r="E1000" s="306"/>
      <c r="F1000" s="306"/>
      <c r="G1000" s="306"/>
      <c r="H1000" s="306"/>
      <c r="I1000" s="306"/>
      <c r="J1000" s="306"/>
      <c r="K1000" s="307"/>
      <c r="L1000" s="306"/>
      <c r="M1000" s="306"/>
      <c r="N1000" s="306"/>
      <c r="O1000" s="306"/>
      <c r="P1000" s="306"/>
      <c r="Q1000" s="306"/>
      <c r="R1000" s="306"/>
      <c r="S1000" s="306"/>
      <c r="T1000" s="306"/>
      <c r="U1000" s="306"/>
      <c r="V1000" s="305"/>
      <c r="W1000" s="306"/>
      <c r="X1000" s="306"/>
      <c r="Y1000" s="306"/>
      <c r="Z1000" s="307"/>
      <c r="AA1000" s="306"/>
      <c r="AB1000" s="306"/>
      <c r="AC1000" s="306"/>
    </row>
    <row r="1001">
      <c r="A1001" s="306"/>
      <c r="B1001" s="306"/>
      <c r="C1001" s="306"/>
      <c r="D1001" s="305"/>
      <c r="E1001" s="306"/>
      <c r="F1001" s="306"/>
      <c r="G1001" s="306"/>
      <c r="H1001" s="306"/>
      <c r="I1001" s="306"/>
      <c r="J1001" s="306"/>
      <c r="K1001" s="307"/>
      <c r="L1001" s="306"/>
      <c r="M1001" s="306"/>
      <c r="N1001" s="306"/>
      <c r="O1001" s="306"/>
      <c r="P1001" s="306"/>
      <c r="Q1001" s="306"/>
      <c r="R1001" s="306"/>
      <c r="S1001" s="306"/>
      <c r="T1001" s="306"/>
      <c r="U1001" s="306"/>
      <c r="V1001" s="305"/>
      <c r="W1001" s="306"/>
      <c r="X1001" s="306"/>
      <c r="Y1001" s="306"/>
      <c r="Z1001" s="307"/>
      <c r="AA1001" s="306"/>
      <c r="AB1001" s="306"/>
      <c r="AC1001" s="306"/>
    </row>
    <row r="1002">
      <c r="A1002" s="306"/>
      <c r="B1002" s="306"/>
      <c r="C1002" s="306"/>
      <c r="D1002" s="305"/>
      <c r="E1002" s="306"/>
      <c r="F1002" s="306"/>
      <c r="G1002" s="306"/>
      <c r="H1002" s="306"/>
      <c r="I1002" s="306"/>
      <c r="J1002" s="306"/>
      <c r="K1002" s="307"/>
      <c r="L1002" s="306"/>
      <c r="M1002" s="306"/>
      <c r="N1002" s="306"/>
      <c r="O1002" s="306"/>
      <c r="P1002" s="306"/>
      <c r="Q1002" s="306"/>
      <c r="R1002" s="306"/>
      <c r="S1002" s="306"/>
      <c r="T1002" s="306"/>
      <c r="U1002" s="306"/>
      <c r="V1002" s="305"/>
      <c r="W1002" s="306"/>
      <c r="X1002" s="306"/>
      <c r="Y1002" s="306"/>
      <c r="Z1002" s="307"/>
      <c r="AA1002" s="306"/>
      <c r="AB1002" s="306"/>
      <c r="AC1002" s="306"/>
    </row>
    <row r="1003">
      <c r="A1003" s="306"/>
      <c r="B1003" s="306"/>
      <c r="C1003" s="306"/>
      <c r="D1003" s="305"/>
      <c r="E1003" s="306"/>
      <c r="F1003" s="306"/>
      <c r="G1003" s="306"/>
      <c r="H1003" s="306"/>
      <c r="I1003" s="306"/>
      <c r="J1003" s="306"/>
      <c r="K1003" s="307"/>
      <c r="L1003" s="306"/>
      <c r="M1003" s="306"/>
      <c r="N1003" s="306"/>
      <c r="O1003" s="306"/>
      <c r="P1003" s="306"/>
      <c r="Q1003" s="306"/>
      <c r="R1003" s="306"/>
      <c r="S1003" s="306"/>
      <c r="T1003" s="306"/>
      <c r="U1003" s="306"/>
      <c r="V1003" s="305"/>
      <c r="W1003" s="306"/>
      <c r="X1003" s="306"/>
      <c r="Y1003" s="306"/>
      <c r="Z1003" s="307"/>
      <c r="AA1003" s="306"/>
      <c r="AB1003" s="306"/>
      <c r="AC1003" s="306"/>
    </row>
    <row r="1004">
      <c r="A1004" s="306"/>
      <c r="B1004" s="306"/>
      <c r="C1004" s="306"/>
      <c r="D1004" s="305"/>
      <c r="E1004" s="306"/>
      <c r="F1004" s="306"/>
      <c r="G1004" s="306"/>
      <c r="H1004" s="306"/>
      <c r="I1004" s="306"/>
      <c r="J1004" s="306"/>
      <c r="K1004" s="307"/>
      <c r="L1004" s="306"/>
      <c r="M1004" s="306"/>
      <c r="N1004" s="306"/>
      <c r="O1004" s="306"/>
      <c r="P1004" s="306"/>
      <c r="Q1004" s="306"/>
      <c r="R1004" s="306"/>
      <c r="S1004" s="306"/>
      <c r="T1004" s="306"/>
      <c r="U1004" s="306"/>
      <c r="V1004" s="305"/>
      <c r="W1004" s="306"/>
      <c r="X1004" s="306"/>
      <c r="Y1004" s="306"/>
      <c r="Z1004" s="307"/>
      <c r="AA1004" s="306"/>
      <c r="AB1004" s="306"/>
      <c r="AC1004" s="306"/>
    </row>
    <row r="1005">
      <c r="A1005" s="306"/>
      <c r="B1005" s="306"/>
      <c r="C1005" s="306"/>
      <c r="D1005" s="305"/>
      <c r="E1005" s="306"/>
      <c r="F1005" s="306"/>
      <c r="G1005" s="306"/>
      <c r="H1005" s="306"/>
      <c r="I1005" s="306"/>
      <c r="J1005" s="306"/>
      <c r="K1005" s="307"/>
      <c r="L1005" s="306"/>
      <c r="M1005" s="306"/>
      <c r="N1005" s="306"/>
      <c r="O1005" s="306"/>
      <c r="P1005" s="306"/>
      <c r="Q1005" s="306"/>
      <c r="R1005" s="306"/>
      <c r="S1005" s="306"/>
      <c r="T1005" s="306"/>
      <c r="U1005" s="306"/>
      <c r="V1005" s="305"/>
      <c r="W1005" s="306"/>
      <c r="X1005" s="306"/>
      <c r="Y1005" s="306"/>
      <c r="Z1005" s="307"/>
      <c r="AA1005" s="306"/>
      <c r="AB1005" s="306"/>
      <c r="AC1005" s="306"/>
    </row>
    <row r="1006">
      <c r="A1006" s="306"/>
      <c r="B1006" s="306"/>
      <c r="C1006" s="306"/>
      <c r="D1006" s="305"/>
      <c r="E1006" s="306"/>
      <c r="F1006" s="306"/>
      <c r="G1006" s="306"/>
      <c r="H1006" s="306"/>
      <c r="I1006" s="306"/>
      <c r="J1006" s="306"/>
      <c r="K1006" s="307"/>
      <c r="L1006" s="306"/>
      <c r="M1006" s="306"/>
      <c r="N1006" s="306"/>
      <c r="O1006" s="306"/>
      <c r="P1006" s="306"/>
      <c r="Q1006" s="306"/>
      <c r="R1006" s="306"/>
      <c r="S1006" s="306"/>
      <c r="T1006" s="306"/>
      <c r="U1006" s="306"/>
      <c r="V1006" s="305"/>
      <c r="W1006" s="306"/>
      <c r="X1006" s="306"/>
      <c r="Y1006" s="306"/>
      <c r="Z1006" s="307"/>
      <c r="AA1006" s="306"/>
      <c r="AB1006" s="306"/>
      <c r="AC1006" s="306"/>
    </row>
    <row r="1007">
      <c r="A1007" s="306"/>
      <c r="B1007" s="306"/>
      <c r="C1007" s="306"/>
      <c r="D1007" s="305"/>
      <c r="E1007" s="306"/>
      <c r="F1007" s="306"/>
      <c r="G1007" s="306"/>
      <c r="H1007" s="306"/>
      <c r="I1007" s="306"/>
      <c r="J1007" s="306"/>
      <c r="K1007" s="307"/>
      <c r="L1007" s="306"/>
      <c r="M1007" s="306"/>
      <c r="N1007" s="306"/>
      <c r="O1007" s="306"/>
      <c r="P1007" s="306"/>
      <c r="Q1007" s="306"/>
      <c r="R1007" s="306"/>
      <c r="S1007" s="306"/>
      <c r="T1007" s="306"/>
      <c r="U1007" s="306"/>
      <c r="V1007" s="305"/>
      <c r="W1007" s="306"/>
      <c r="X1007" s="306"/>
      <c r="Y1007" s="306"/>
      <c r="Z1007" s="307"/>
      <c r="AA1007" s="306"/>
      <c r="AB1007" s="306"/>
      <c r="AC1007" s="306"/>
    </row>
    <row r="1008">
      <c r="A1008" s="306"/>
      <c r="B1008" s="306"/>
      <c r="C1008" s="306"/>
      <c r="D1008" s="305"/>
      <c r="E1008" s="306"/>
      <c r="F1008" s="306"/>
      <c r="G1008" s="306"/>
      <c r="H1008" s="306"/>
      <c r="I1008" s="306"/>
      <c r="J1008" s="306"/>
      <c r="K1008" s="307"/>
      <c r="L1008" s="306"/>
      <c r="M1008" s="306"/>
      <c r="N1008" s="306"/>
      <c r="O1008" s="306"/>
      <c r="P1008" s="306"/>
      <c r="Q1008" s="306"/>
      <c r="R1008" s="306"/>
      <c r="S1008" s="306"/>
      <c r="T1008" s="306"/>
      <c r="U1008" s="306"/>
      <c r="V1008" s="305"/>
      <c r="W1008" s="306"/>
      <c r="X1008" s="306"/>
      <c r="Y1008" s="306"/>
      <c r="Z1008" s="307"/>
      <c r="AA1008" s="306"/>
      <c r="AB1008" s="306"/>
      <c r="AC1008" s="306"/>
    </row>
    <row r="1009">
      <c r="A1009" s="306"/>
      <c r="B1009" s="306"/>
      <c r="C1009" s="306"/>
      <c r="D1009" s="305"/>
      <c r="E1009" s="306"/>
      <c r="F1009" s="306"/>
      <c r="G1009" s="306"/>
      <c r="H1009" s="306"/>
      <c r="I1009" s="306"/>
      <c r="J1009" s="306"/>
      <c r="K1009" s="307"/>
      <c r="L1009" s="306"/>
      <c r="M1009" s="306"/>
      <c r="N1009" s="306"/>
      <c r="O1009" s="306"/>
      <c r="P1009" s="306"/>
      <c r="Q1009" s="306"/>
      <c r="R1009" s="306"/>
      <c r="S1009" s="306"/>
      <c r="T1009" s="306"/>
      <c r="U1009" s="306"/>
      <c r="V1009" s="305"/>
      <c r="W1009" s="306"/>
      <c r="X1009" s="306"/>
      <c r="Y1009" s="306"/>
      <c r="Z1009" s="307"/>
      <c r="AA1009" s="306"/>
      <c r="AB1009" s="306"/>
      <c r="AC1009" s="306"/>
    </row>
    <row r="1010">
      <c r="A1010" s="306"/>
      <c r="B1010" s="306"/>
      <c r="C1010" s="306"/>
      <c r="D1010" s="305"/>
      <c r="E1010" s="306"/>
      <c r="F1010" s="306"/>
      <c r="G1010" s="306"/>
      <c r="H1010" s="306"/>
      <c r="I1010" s="306"/>
      <c r="J1010" s="306"/>
      <c r="K1010" s="307"/>
      <c r="L1010" s="306"/>
      <c r="M1010" s="306"/>
      <c r="N1010" s="306"/>
      <c r="O1010" s="306"/>
      <c r="P1010" s="306"/>
      <c r="Q1010" s="306"/>
      <c r="R1010" s="306"/>
      <c r="S1010" s="306"/>
      <c r="T1010" s="306"/>
      <c r="U1010" s="306"/>
      <c r="V1010" s="305"/>
      <c r="W1010" s="306"/>
      <c r="X1010" s="306"/>
      <c r="Y1010" s="306"/>
      <c r="Z1010" s="307"/>
      <c r="AA1010" s="306"/>
      <c r="AB1010" s="306"/>
      <c r="AC1010" s="306"/>
    </row>
    <row r="1011">
      <c r="A1011" s="306"/>
      <c r="B1011" s="306"/>
      <c r="C1011" s="306"/>
      <c r="D1011" s="305"/>
      <c r="E1011" s="306"/>
      <c r="F1011" s="306"/>
      <c r="G1011" s="306"/>
      <c r="H1011" s="306"/>
      <c r="I1011" s="306"/>
      <c r="J1011" s="306"/>
      <c r="K1011" s="307"/>
      <c r="L1011" s="306"/>
      <c r="M1011" s="306"/>
      <c r="N1011" s="306"/>
      <c r="O1011" s="306"/>
      <c r="P1011" s="306"/>
      <c r="Q1011" s="306"/>
      <c r="R1011" s="306"/>
      <c r="S1011" s="306"/>
      <c r="T1011" s="306"/>
      <c r="U1011" s="306"/>
      <c r="V1011" s="305"/>
      <c r="W1011" s="306"/>
      <c r="X1011" s="306"/>
      <c r="Y1011" s="306"/>
      <c r="Z1011" s="307"/>
      <c r="AA1011" s="306"/>
      <c r="AB1011" s="306"/>
      <c r="AC1011" s="306"/>
    </row>
    <row r="1012">
      <c r="A1012" s="306"/>
      <c r="B1012" s="306"/>
      <c r="C1012" s="306"/>
      <c r="D1012" s="305"/>
      <c r="E1012" s="306"/>
      <c r="F1012" s="306"/>
      <c r="G1012" s="306"/>
      <c r="H1012" s="306"/>
      <c r="I1012" s="306"/>
      <c r="J1012" s="306"/>
      <c r="K1012" s="307"/>
      <c r="L1012" s="306"/>
      <c r="M1012" s="306"/>
      <c r="N1012" s="306"/>
      <c r="O1012" s="306"/>
      <c r="P1012" s="306"/>
      <c r="Q1012" s="306"/>
      <c r="R1012" s="306"/>
      <c r="S1012" s="306"/>
      <c r="T1012" s="306"/>
      <c r="U1012" s="306"/>
      <c r="V1012" s="305"/>
      <c r="W1012" s="306"/>
      <c r="X1012" s="306"/>
      <c r="Y1012" s="306"/>
      <c r="Z1012" s="307"/>
      <c r="AA1012" s="306"/>
      <c r="AB1012" s="306"/>
      <c r="AC1012" s="306"/>
    </row>
    <row r="1013">
      <c r="A1013" s="306"/>
      <c r="B1013" s="306"/>
      <c r="C1013" s="306"/>
      <c r="D1013" s="305"/>
      <c r="E1013" s="306"/>
      <c r="F1013" s="306"/>
      <c r="G1013" s="306"/>
      <c r="H1013" s="306"/>
      <c r="I1013" s="306"/>
      <c r="J1013" s="306"/>
      <c r="K1013" s="307"/>
      <c r="L1013" s="306"/>
      <c r="M1013" s="306"/>
      <c r="N1013" s="306"/>
      <c r="O1013" s="306"/>
      <c r="P1013" s="306"/>
      <c r="Q1013" s="306"/>
      <c r="R1013" s="306"/>
      <c r="S1013" s="306"/>
      <c r="T1013" s="306"/>
      <c r="U1013" s="306"/>
      <c r="V1013" s="305"/>
      <c r="W1013" s="306"/>
      <c r="X1013" s="306"/>
      <c r="Y1013" s="306"/>
      <c r="Z1013" s="307"/>
      <c r="AA1013" s="306"/>
      <c r="AB1013" s="306"/>
      <c r="AC1013" s="306"/>
    </row>
    <row r="1014">
      <c r="A1014" s="306"/>
      <c r="B1014" s="306"/>
      <c r="C1014" s="306"/>
      <c r="D1014" s="305"/>
      <c r="E1014" s="306"/>
      <c r="F1014" s="306"/>
      <c r="G1014" s="306"/>
      <c r="H1014" s="306"/>
      <c r="I1014" s="306"/>
      <c r="J1014" s="306"/>
      <c r="K1014" s="307"/>
      <c r="L1014" s="306"/>
      <c r="M1014" s="306"/>
      <c r="N1014" s="306"/>
      <c r="O1014" s="306"/>
      <c r="P1014" s="306"/>
      <c r="Q1014" s="306"/>
      <c r="R1014" s="306"/>
      <c r="S1014" s="306"/>
      <c r="T1014" s="306"/>
      <c r="U1014" s="306"/>
      <c r="V1014" s="305"/>
      <c r="W1014" s="306"/>
      <c r="X1014" s="306"/>
      <c r="Y1014" s="306"/>
      <c r="Z1014" s="307"/>
      <c r="AA1014" s="306"/>
      <c r="AB1014" s="306"/>
      <c r="AC1014" s="306"/>
    </row>
    <row r="1015">
      <c r="A1015" s="306"/>
      <c r="B1015" s="306"/>
      <c r="C1015" s="306"/>
      <c r="D1015" s="305"/>
      <c r="E1015" s="306"/>
      <c r="F1015" s="306"/>
      <c r="G1015" s="306"/>
      <c r="H1015" s="306"/>
      <c r="I1015" s="306"/>
      <c r="J1015" s="306"/>
      <c r="K1015" s="307"/>
      <c r="L1015" s="306"/>
      <c r="M1015" s="306"/>
      <c r="N1015" s="306"/>
      <c r="O1015" s="306"/>
      <c r="P1015" s="306"/>
      <c r="Q1015" s="306"/>
      <c r="R1015" s="306"/>
      <c r="S1015" s="306"/>
      <c r="T1015" s="306"/>
      <c r="U1015" s="306"/>
      <c r="V1015" s="305"/>
      <c r="W1015" s="306"/>
      <c r="X1015" s="306"/>
      <c r="Y1015" s="306"/>
      <c r="Z1015" s="307"/>
      <c r="AA1015" s="306"/>
      <c r="AB1015" s="306"/>
      <c r="AC1015" s="306"/>
    </row>
    <row r="1016">
      <c r="A1016" s="306"/>
      <c r="B1016" s="306"/>
      <c r="C1016" s="306"/>
      <c r="D1016" s="305"/>
      <c r="E1016" s="306"/>
      <c r="F1016" s="306"/>
      <c r="G1016" s="306"/>
      <c r="H1016" s="306"/>
      <c r="I1016" s="306"/>
      <c r="J1016" s="306"/>
      <c r="K1016" s="307"/>
      <c r="L1016" s="306"/>
      <c r="M1016" s="306"/>
      <c r="N1016" s="306"/>
      <c r="O1016" s="306"/>
      <c r="P1016" s="306"/>
      <c r="Q1016" s="306"/>
      <c r="R1016" s="306"/>
      <c r="S1016" s="306"/>
      <c r="T1016" s="306"/>
      <c r="U1016" s="306"/>
      <c r="V1016" s="305"/>
      <c r="W1016" s="306"/>
      <c r="X1016" s="306"/>
      <c r="Y1016" s="306"/>
      <c r="Z1016" s="307"/>
      <c r="AA1016" s="306"/>
      <c r="AB1016" s="306"/>
      <c r="AC1016" s="306"/>
    </row>
    <row r="1017">
      <c r="A1017" s="306"/>
      <c r="B1017" s="306"/>
      <c r="C1017" s="306"/>
      <c r="D1017" s="305"/>
      <c r="E1017" s="306"/>
      <c r="F1017" s="306"/>
      <c r="G1017" s="306"/>
      <c r="H1017" s="306"/>
      <c r="I1017" s="306"/>
      <c r="J1017" s="306"/>
      <c r="K1017" s="307"/>
      <c r="L1017" s="306"/>
      <c r="M1017" s="306"/>
      <c r="N1017" s="306"/>
      <c r="O1017" s="306"/>
      <c r="P1017" s="306"/>
      <c r="Q1017" s="306"/>
      <c r="R1017" s="306"/>
      <c r="S1017" s="306"/>
      <c r="T1017" s="306"/>
      <c r="U1017" s="306"/>
      <c r="V1017" s="305"/>
      <c r="W1017" s="306"/>
      <c r="X1017" s="306"/>
      <c r="Y1017" s="306"/>
      <c r="Z1017" s="307"/>
      <c r="AA1017" s="306"/>
      <c r="AB1017" s="306"/>
      <c r="AC1017" s="306"/>
    </row>
    <row r="1018">
      <c r="A1018" s="306"/>
      <c r="B1018" s="306"/>
      <c r="C1018" s="306"/>
      <c r="D1018" s="305"/>
      <c r="E1018" s="306"/>
      <c r="F1018" s="306"/>
      <c r="G1018" s="306"/>
      <c r="H1018" s="306"/>
      <c r="I1018" s="306"/>
      <c r="J1018" s="306"/>
      <c r="K1018" s="307"/>
      <c r="L1018" s="306"/>
      <c r="M1018" s="306"/>
      <c r="N1018" s="306"/>
      <c r="O1018" s="306"/>
      <c r="P1018" s="306"/>
      <c r="Q1018" s="306"/>
      <c r="R1018" s="306"/>
      <c r="S1018" s="306"/>
      <c r="T1018" s="306"/>
      <c r="U1018" s="306"/>
      <c r="V1018" s="305"/>
      <c r="W1018" s="306"/>
      <c r="X1018" s="306"/>
      <c r="Y1018" s="306"/>
      <c r="Z1018" s="307"/>
      <c r="AA1018" s="306"/>
      <c r="AB1018" s="306"/>
      <c r="AC1018" s="306"/>
    </row>
    <row r="1019">
      <c r="A1019" s="306"/>
      <c r="B1019" s="306"/>
      <c r="C1019" s="306"/>
      <c r="D1019" s="305"/>
      <c r="E1019" s="306"/>
      <c r="F1019" s="306"/>
      <c r="G1019" s="306"/>
      <c r="H1019" s="306"/>
      <c r="I1019" s="306"/>
      <c r="J1019" s="306"/>
      <c r="K1019" s="307"/>
      <c r="L1019" s="306"/>
      <c r="M1019" s="306"/>
      <c r="N1019" s="306"/>
      <c r="O1019" s="306"/>
      <c r="P1019" s="306"/>
      <c r="Q1019" s="306"/>
      <c r="R1019" s="306"/>
      <c r="S1019" s="306"/>
      <c r="T1019" s="306"/>
      <c r="U1019" s="306"/>
      <c r="V1019" s="305"/>
      <c r="W1019" s="306"/>
      <c r="X1019" s="306"/>
      <c r="Y1019" s="306"/>
      <c r="Z1019" s="307"/>
      <c r="AA1019" s="306"/>
      <c r="AB1019" s="306"/>
      <c r="AC1019" s="306"/>
    </row>
    <row r="1020">
      <c r="A1020" s="306"/>
      <c r="B1020" s="306"/>
      <c r="C1020" s="306"/>
      <c r="D1020" s="305"/>
      <c r="E1020" s="306"/>
      <c r="F1020" s="306"/>
      <c r="G1020" s="306"/>
      <c r="H1020" s="306"/>
      <c r="I1020" s="306"/>
      <c r="J1020" s="306"/>
      <c r="K1020" s="307"/>
      <c r="L1020" s="306"/>
      <c r="M1020" s="306"/>
      <c r="N1020" s="306"/>
      <c r="O1020" s="306"/>
      <c r="P1020" s="306"/>
      <c r="Q1020" s="306"/>
      <c r="R1020" s="306"/>
      <c r="S1020" s="306"/>
      <c r="T1020" s="306"/>
      <c r="U1020" s="306"/>
      <c r="V1020" s="305"/>
      <c r="W1020" s="306"/>
      <c r="X1020" s="306"/>
      <c r="Y1020" s="306"/>
      <c r="Z1020" s="307"/>
      <c r="AA1020" s="306"/>
      <c r="AB1020" s="306"/>
      <c r="AC1020" s="306"/>
    </row>
    <row r="1021">
      <c r="A1021" s="306"/>
      <c r="B1021" s="306"/>
      <c r="C1021" s="306"/>
      <c r="D1021" s="305"/>
      <c r="E1021" s="306"/>
      <c r="F1021" s="306"/>
      <c r="G1021" s="306"/>
      <c r="H1021" s="306"/>
      <c r="I1021" s="306"/>
      <c r="J1021" s="306"/>
      <c r="K1021" s="307"/>
      <c r="L1021" s="306"/>
      <c r="M1021" s="306"/>
      <c r="N1021" s="306"/>
      <c r="O1021" s="306"/>
      <c r="P1021" s="306"/>
      <c r="Q1021" s="306"/>
      <c r="R1021" s="306"/>
      <c r="S1021" s="306"/>
      <c r="T1021" s="306"/>
      <c r="U1021" s="306"/>
      <c r="V1021" s="305"/>
      <c r="W1021" s="306"/>
      <c r="X1021" s="306"/>
      <c r="Y1021" s="306"/>
      <c r="Z1021" s="307"/>
      <c r="AA1021" s="306"/>
      <c r="AB1021" s="306"/>
      <c r="AC1021" s="306"/>
    </row>
    <row r="1022">
      <c r="A1022" s="306"/>
      <c r="B1022" s="306"/>
      <c r="C1022" s="306"/>
      <c r="D1022" s="305"/>
      <c r="E1022" s="306"/>
      <c r="F1022" s="306"/>
      <c r="G1022" s="306"/>
      <c r="H1022" s="306"/>
      <c r="I1022" s="306"/>
      <c r="J1022" s="306"/>
      <c r="K1022" s="307"/>
      <c r="L1022" s="306"/>
      <c r="M1022" s="306"/>
      <c r="N1022" s="306"/>
      <c r="O1022" s="306"/>
      <c r="P1022" s="306"/>
      <c r="Q1022" s="306"/>
      <c r="R1022" s="306"/>
      <c r="S1022" s="306"/>
      <c r="T1022" s="306"/>
      <c r="U1022" s="306"/>
      <c r="V1022" s="305"/>
      <c r="W1022" s="306"/>
      <c r="X1022" s="306"/>
      <c r="Y1022" s="306"/>
      <c r="Z1022" s="307"/>
      <c r="AA1022" s="306"/>
      <c r="AB1022" s="306"/>
      <c r="AC1022" s="306"/>
    </row>
    <row r="1023">
      <c r="A1023" s="306"/>
      <c r="B1023" s="306"/>
      <c r="C1023" s="306"/>
      <c r="D1023" s="305"/>
      <c r="E1023" s="306"/>
      <c r="F1023" s="306"/>
      <c r="G1023" s="306"/>
      <c r="H1023" s="306"/>
      <c r="I1023" s="306"/>
      <c r="J1023" s="306"/>
      <c r="K1023" s="307"/>
      <c r="L1023" s="306"/>
      <c r="M1023" s="306"/>
      <c r="N1023" s="306"/>
      <c r="O1023" s="306"/>
      <c r="P1023" s="306"/>
      <c r="Q1023" s="306"/>
      <c r="R1023" s="306"/>
      <c r="S1023" s="306"/>
      <c r="T1023" s="306"/>
      <c r="U1023" s="306"/>
      <c r="V1023" s="305"/>
      <c r="W1023" s="306"/>
      <c r="X1023" s="306"/>
      <c r="Y1023" s="306"/>
      <c r="Z1023" s="307"/>
      <c r="AA1023" s="306"/>
      <c r="AB1023" s="306"/>
      <c r="AC1023" s="306"/>
    </row>
    <row r="1024">
      <c r="A1024" s="306"/>
      <c r="B1024" s="306"/>
      <c r="C1024" s="306"/>
      <c r="D1024" s="305"/>
      <c r="E1024" s="306"/>
      <c r="F1024" s="306"/>
      <c r="G1024" s="306"/>
      <c r="H1024" s="306"/>
      <c r="I1024" s="306"/>
      <c r="J1024" s="306"/>
      <c r="K1024" s="307"/>
      <c r="L1024" s="306"/>
      <c r="M1024" s="306"/>
      <c r="N1024" s="306"/>
      <c r="O1024" s="306"/>
      <c r="P1024" s="306"/>
      <c r="Q1024" s="306"/>
      <c r="R1024" s="306"/>
      <c r="S1024" s="306"/>
      <c r="T1024" s="306"/>
      <c r="U1024" s="306"/>
      <c r="V1024" s="305"/>
      <c r="W1024" s="306"/>
      <c r="X1024" s="306"/>
      <c r="Y1024" s="306"/>
      <c r="Z1024" s="307"/>
      <c r="AA1024" s="306"/>
      <c r="AB1024" s="306"/>
      <c r="AC1024" s="306"/>
    </row>
    <row r="1025">
      <c r="A1025" s="306"/>
      <c r="B1025" s="306"/>
      <c r="C1025" s="306"/>
      <c r="D1025" s="305"/>
      <c r="E1025" s="306"/>
      <c r="F1025" s="306"/>
      <c r="G1025" s="306"/>
      <c r="H1025" s="306"/>
      <c r="I1025" s="306"/>
      <c r="J1025" s="306"/>
      <c r="K1025" s="307"/>
      <c r="L1025" s="306"/>
      <c r="M1025" s="306"/>
      <c r="N1025" s="306"/>
      <c r="O1025" s="306"/>
      <c r="P1025" s="306"/>
      <c r="Q1025" s="306"/>
      <c r="R1025" s="306"/>
      <c r="S1025" s="306"/>
      <c r="T1025" s="306"/>
      <c r="U1025" s="306"/>
      <c r="V1025" s="305"/>
      <c r="W1025" s="306"/>
      <c r="X1025" s="306"/>
      <c r="Y1025" s="306"/>
      <c r="Z1025" s="307"/>
      <c r="AA1025" s="306"/>
      <c r="AB1025" s="306"/>
      <c r="AC1025" s="306"/>
    </row>
    <row r="1026">
      <c r="A1026" s="306"/>
      <c r="B1026" s="306"/>
      <c r="C1026" s="306"/>
      <c r="D1026" s="305"/>
      <c r="E1026" s="306"/>
      <c r="F1026" s="306"/>
      <c r="G1026" s="306"/>
      <c r="H1026" s="306"/>
      <c r="I1026" s="306"/>
      <c r="J1026" s="306"/>
      <c r="K1026" s="307"/>
      <c r="L1026" s="306"/>
      <c r="M1026" s="306"/>
      <c r="N1026" s="306"/>
      <c r="O1026" s="306"/>
      <c r="P1026" s="306"/>
      <c r="Q1026" s="306"/>
      <c r="R1026" s="306"/>
      <c r="S1026" s="306"/>
      <c r="T1026" s="306"/>
      <c r="U1026" s="306"/>
      <c r="V1026" s="305"/>
      <c r="W1026" s="306"/>
      <c r="X1026" s="306"/>
      <c r="Y1026" s="306"/>
      <c r="Z1026" s="307"/>
      <c r="AA1026" s="306"/>
      <c r="AB1026" s="306"/>
      <c r="AC1026" s="306"/>
    </row>
    <row r="1027">
      <c r="A1027" s="306"/>
      <c r="B1027" s="306"/>
      <c r="C1027" s="306"/>
      <c r="D1027" s="305"/>
      <c r="E1027" s="306"/>
      <c r="F1027" s="306"/>
      <c r="G1027" s="306"/>
      <c r="H1027" s="306"/>
      <c r="I1027" s="306"/>
      <c r="J1027" s="306"/>
      <c r="K1027" s="307"/>
      <c r="L1027" s="306"/>
      <c r="M1027" s="306"/>
      <c r="N1027" s="306"/>
      <c r="O1027" s="306"/>
      <c r="P1027" s="306"/>
      <c r="Q1027" s="306"/>
      <c r="R1027" s="306"/>
      <c r="S1027" s="306"/>
      <c r="T1027" s="306"/>
      <c r="U1027" s="306"/>
      <c r="V1027" s="305"/>
      <c r="W1027" s="306"/>
      <c r="X1027" s="306"/>
      <c r="Y1027" s="306"/>
      <c r="Z1027" s="307"/>
      <c r="AA1027" s="306"/>
      <c r="AB1027" s="306"/>
      <c r="AC1027" s="306"/>
    </row>
    <row r="1028">
      <c r="A1028" s="306"/>
      <c r="B1028" s="306"/>
      <c r="C1028" s="306"/>
      <c r="D1028" s="305"/>
      <c r="E1028" s="306"/>
      <c r="F1028" s="306"/>
      <c r="G1028" s="306"/>
      <c r="H1028" s="306"/>
      <c r="I1028" s="306"/>
      <c r="J1028" s="306"/>
      <c r="K1028" s="307"/>
      <c r="L1028" s="306"/>
      <c r="M1028" s="306"/>
      <c r="N1028" s="306"/>
      <c r="O1028" s="306"/>
      <c r="P1028" s="306"/>
      <c r="Q1028" s="306"/>
      <c r="R1028" s="306"/>
      <c r="S1028" s="306"/>
      <c r="T1028" s="306"/>
      <c r="U1028" s="306"/>
      <c r="V1028" s="305"/>
      <c r="W1028" s="306"/>
      <c r="X1028" s="306"/>
      <c r="Y1028" s="306"/>
      <c r="Z1028" s="307"/>
      <c r="AA1028" s="306"/>
      <c r="AB1028" s="306"/>
      <c r="AC1028" s="306"/>
    </row>
    <row r="1029">
      <c r="A1029" s="306"/>
      <c r="B1029" s="306"/>
      <c r="C1029" s="306"/>
      <c r="D1029" s="305"/>
      <c r="E1029" s="306"/>
      <c r="F1029" s="306"/>
      <c r="G1029" s="306"/>
      <c r="H1029" s="306"/>
      <c r="I1029" s="306"/>
      <c r="J1029" s="306"/>
      <c r="K1029" s="307"/>
      <c r="L1029" s="306"/>
      <c r="M1029" s="306"/>
      <c r="N1029" s="306"/>
      <c r="O1029" s="306"/>
      <c r="P1029" s="306"/>
      <c r="Q1029" s="306"/>
      <c r="R1029" s="306"/>
      <c r="S1029" s="306"/>
      <c r="T1029" s="306"/>
      <c r="U1029" s="306"/>
      <c r="V1029" s="305"/>
      <c r="W1029" s="306"/>
      <c r="X1029" s="306"/>
      <c r="Y1029" s="306"/>
      <c r="Z1029" s="307"/>
      <c r="AA1029" s="306"/>
      <c r="AB1029" s="306"/>
      <c r="AC1029" s="306"/>
    </row>
    <row r="1030">
      <c r="A1030" s="306"/>
      <c r="B1030" s="306"/>
      <c r="C1030" s="306"/>
      <c r="D1030" s="305"/>
      <c r="E1030" s="306"/>
      <c r="F1030" s="306"/>
      <c r="G1030" s="306"/>
      <c r="H1030" s="306"/>
      <c r="I1030" s="306"/>
      <c r="J1030" s="306"/>
      <c r="K1030" s="307"/>
      <c r="L1030" s="306"/>
      <c r="M1030" s="306"/>
      <c r="N1030" s="306"/>
      <c r="O1030" s="306"/>
      <c r="P1030" s="306"/>
      <c r="Q1030" s="306"/>
      <c r="R1030" s="306"/>
      <c r="S1030" s="306"/>
      <c r="T1030" s="306"/>
      <c r="U1030" s="306"/>
      <c r="V1030" s="305"/>
      <c r="W1030" s="306"/>
      <c r="X1030" s="306"/>
      <c r="Y1030" s="306"/>
      <c r="Z1030" s="307"/>
      <c r="AA1030" s="306"/>
      <c r="AB1030" s="306"/>
      <c r="AC1030" s="306"/>
    </row>
    <row r="1031">
      <c r="A1031" s="306"/>
      <c r="B1031" s="306"/>
      <c r="C1031" s="306"/>
      <c r="D1031" s="305"/>
      <c r="E1031" s="306"/>
      <c r="F1031" s="306"/>
      <c r="G1031" s="306"/>
      <c r="H1031" s="306"/>
      <c r="I1031" s="306"/>
      <c r="J1031" s="306"/>
      <c r="K1031" s="307"/>
      <c r="L1031" s="306"/>
      <c r="M1031" s="306"/>
      <c r="N1031" s="306"/>
      <c r="O1031" s="306"/>
      <c r="P1031" s="306"/>
      <c r="Q1031" s="306"/>
      <c r="R1031" s="306"/>
      <c r="S1031" s="306"/>
      <c r="T1031" s="306"/>
      <c r="U1031" s="306"/>
      <c r="V1031" s="305"/>
      <c r="W1031" s="306"/>
      <c r="X1031" s="306"/>
      <c r="Y1031" s="306"/>
      <c r="Z1031" s="307"/>
      <c r="AA1031" s="306"/>
      <c r="AB1031" s="306"/>
      <c r="AC1031" s="306"/>
    </row>
    <row r="1032">
      <c r="A1032" s="306"/>
      <c r="B1032" s="306"/>
      <c r="C1032" s="306"/>
      <c r="D1032" s="305"/>
      <c r="E1032" s="306"/>
      <c r="F1032" s="306"/>
      <c r="G1032" s="306"/>
      <c r="H1032" s="306"/>
      <c r="I1032" s="306"/>
      <c r="J1032" s="306"/>
      <c r="K1032" s="307"/>
      <c r="L1032" s="306"/>
      <c r="M1032" s="306"/>
      <c r="N1032" s="306"/>
      <c r="O1032" s="306"/>
      <c r="P1032" s="306"/>
      <c r="Q1032" s="306"/>
      <c r="R1032" s="306"/>
      <c r="S1032" s="306"/>
      <c r="T1032" s="306"/>
      <c r="U1032" s="306"/>
      <c r="V1032" s="305"/>
      <c r="W1032" s="306"/>
      <c r="X1032" s="306"/>
      <c r="Y1032" s="306"/>
      <c r="Z1032" s="307"/>
      <c r="AA1032" s="306"/>
      <c r="AB1032" s="306"/>
      <c r="AC1032" s="306"/>
    </row>
    <row r="1033">
      <c r="A1033" s="306"/>
      <c r="B1033" s="306"/>
      <c r="C1033" s="306"/>
      <c r="D1033" s="305"/>
      <c r="E1033" s="306"/>
      <c r="F1033" s="306"/>
      <c r="G1033" s="306"/>
      <c r="H1033" s="306"/>
      <c r="I1033" s="306"/>
      <c r="J1033" s="306"/>
      <c r="K1033" s="307"/>
      <c r="L1033" s="306"/>
      <c r="M1033" s="306"/>
      <c r="N1033" s="306"/>
      <c r="O1033" s="306"/>
      <c r="P1033" s="306"/>
      <c r="Q1033" s="306"/>
      <c r="R1033" s="306"/>
      <c r="S1033" s="306"/>
      <c r="T1033" s="306"/>
      <c r="U1033" s="306"/>
      <c r="V1033" s="305"/>
      <c r="W1033" s="306"/>
      <c r="X1033" s="306"/>
      <c r="Y1033" s="306"/>
      <c r="Z1033" s="307"/>
      <c r="AA1033" s="306"/>
      <c r="AB1033" s="306"/>
      <c r="AC1033" s="306"/>
    </row>
    <row r="1034">
      <c r="A1034" s="306"/>
      <c r="B1034" s="306"/>
      <c r="C1034" s="306"/>
      <c r="D1034" s="305"/>
      <c r="E1034" s="306"/>
      <c r="F1034" s="306"/>
      <c r="G1034" s="306"/>
      <c r="H1034" s="306"/>
      <c r="I1034" s="306"/>
      <c r="J1034" s="306"/>
      <c r="K1034" s="307"/>
      <c r="L1034" s="306"/>
      <c r="M1034" s="306"/>
      <c r="N1034" s="306"/>
      <c r="O1034" s="306"/>
      <c r="P1034" s="306"/>
      <c r="Q1034" s="306"/>
      <c r="R1034" s="306"/>
      <c r="S1034" s="306"/>
      <c r="T1034" s="306"/>
      <c r="U1034" s="306"/>
      <c r="V1034" s="305"/>
      <c r="W1034" s="306"/>
      <c r="X1034" s="306"/>
      <c r="Y1034" s="306"/>
      <c r="Z1034" s="307"/>
      <c r="AA1034" s="306"/>
      <c r="AB1034" s="306"/>
      <c r="AC1034" s="306"/>
    </row>
    <row r="1035">
      <c r="A1035" s="306"/>
      <c r="B1035" s="306"/>
      <c r="C1035" s="306"/>
      <c r="D1035" s="305"/>
      <c r="E1035" s="306"/>
      <c r="F1035" s="306"/>
      <c r="G1035" s="306"/>
      <c r="H1035" s="306"/>
      <c r="I1035" s="306"/>
      <c r="J1035" s="306"/>
      <c r="K1035" s="307"/>
      <c r="L1035" s="306"/>
      <c r="M1035" s="306"/>
      <c r="N1035" s="306"/>
      <c r="O1035" s="306"/>
      <c r="P1035" s="306"/>
      <c r="Q1035" s="306"/>
      <c r="R1035" s="306"/>
      <c r="S1035" s="306"/>
      <c r="T1035" s="306"/>
      <c r="U1035" s="306"/>
      <c r="V1035" s="305"/>
      <c r="W1035" s="306"/>
      <c r="X1035" s="306"/>
      <c r="Y1035" s="306"/>
      <c r="Z1035" s="307"/>
      <c r="AA1035" s="306"/>
      <c r="AB1035" s="306"/>
      <c r="AC1035" s="306"/>
    </row>
    <row r="1036">
      <c r="A1036" s="306"/>
      <c r="B1036" s="306"/>
      <c r="C1036" s="306"/>
      <c r="D1036" s="305"/>
      <c r="E1036" s="306"/>
      <c r="F1036" s="306"/>
      <c r="G1036" s="306"/>
      <c r="H1036" s="306"/>
      <c r="I1036" s="306"/>
      <c r="J1036" s="306"/>
      <c r="K1036" s="307"/>
      <c r="L1036" s="306"/>
      <c r="M1036" s="306"/>
      <c r="N1036" s="306"/>
      <c r="O1036" s="306"/>
      <c r="P1036" s="306"/>
      <c r="Q1036" s="306"/>
      <c r="R1036" s="306"/>
      <c r="S1036" s="306"/>
      <c r="T1036" s="306"/>
      <c r="U1036" s="306"/>
      <c r="V1036" s="305"/>
      <c r="W1036" s="306"/>
      <c r="X1036" s="306"/>
      <c r="Y1036" s="306"/>
      <c r="Z1036" s="307"/>
      <c r="AA1036" s="306"/>
      <c r="AB1036" s="306"/>
      <c r="AC1036" s="306"/>
    </row>
    <row r="1037">
      <c r="A1037" s="306"/>
      <c r="B1037" s="306"/>
      <c r="C1037" s="306"/>
      <c r="D1037" s="305"/>
      <c r="E1037" s="306"/>
      <c r="F1037" s="306"/>
      <c r="G1037" s="306"/>
      <c r="H1037" s="306"/>
      <c r="I1037" s="306"/>
      <c r="J1037" s="306"/>
      <c r="K1037" s="307"/>
      <c r="L1037" s="306"/>
      <c r="M1037" s="306"/>
      <c r="N1037" s="306"/>
      <c r="O1037" s="306"/>
      <c r="P1037" s="306"/>
      <c r="Q1037" s="306"/>
      <c r="R1037" s="306"/>
      <c r="S1037" s="306"/>
      <c r="T1037" s="306"/>
      <c r="U1037" s="306"/>
      <c r="V1037" s="305"/>
      <c r="W1037" s="306"/>
      <c r="X1037" s="306"/>
      <c r="Y1037" s="306"/>
      <c r="Z1037" s="307"/>
      <c r="AA1037" s="306"/>
      <c r="AB1037" s="306"/>
      <c r="AC1037" s="306"/>
    </row>
    <row r="1038">
      <c r="A1038" s="306"/>
      <c r="B1038" s="306"/>
      <c r="C1038" s="306"/>
      <c r="D1038" s="305"/>
      <c r="E1038" s="306"/>
      <c r="F1038" s="306"/>
      <c r="G1038" s="306"/>
      <c r="H1038" s="306"/>
      <c r="I1038" s="306"/>
      <c r="J1038" s="306"/>
      <c r="K1038" s="307"/>
      <c r="L1038" s="306"/>
      <c r="M1038" s="306"/>
      <c r="N1038" s="306"/>
      <c r="O1038" s="306"/>
      <c r="P1038" s="306"/>
      <c r="Q1038" s="306"/>
      <c r="R1038" s="306"/>
      <c r="S1038" s="306"/>
      <c r="T1038" s="306"/>
      <c r="U1038" s="306"/>
      <c r="V1038" s="305"/>
      <c r="W1038" s="306"/>
      <c r="X1038" s="306"/>
      <c r="Y1038" s="306"/>
      <c r="Z1038" s="307"/>
      <c r="AA1038" s="306"/>
      <c r="AB1038" s="306"/>
      <c r="AC1038" s="306"/>
    </row>
    <row r="1039">
      <c r="A1039" s="306"/>
      <c r="B1039" s="306"/>
      <c r="C1039" s="306"/>
      <c r="D1039" s="305"/>
      <c r="E1039" s="306"/>
      <c r="F1039" s="306"/>
      <c r="G1039" s="306"/>
      <c r="H1039" s="306"/>
      <c r="I1039" s="306"/>
      <c r="J1039" s="306"/>
      <c r="K1039" s="307"/>
      <c r="L1039" s="306"/>
      <c r="M1039" s="306"/>
      <c r="N1039" s="306"/>
      <c r="O1039" s="306"/>
      <c r="P1039" s="306"/>
      <c r="Q1039" s="306"/>
      <c r="R1039" s="306"/>
      <c r="S1039" s="306"/>
      <c r="T1039" s="306"/>
      <c r="U1039" s="306"/>
      <c r="V1039" s="305"/>
      <c r="W1039" s="306"/>
      <c r="X1039" s="306"/>
      <c r="Y1039" s="306"/>
      <c r="Z1039" s="307"/>
      <c r="AA1039" s="306"/>
      <c r="AB1039" s="306"/>
      <c r="AC1039" s="306"/>
    </row>
    <row r="1040">
      <c r="A1040" s="306"/>
      <c r="B1040" s="306"/>
      <c r="C1040" s="306"/>
      <c r="D1040" s="305"/>
      <c r="E1040" s="306"/>
      <c r="F1040" s="306"/>
      <c r="G1040" s="306"/>
      <c r="H1040" s="306"/>
      <c r="I1040" s="306"/>
      <c r="J1040" s="306"/>
      <c r="K1040" s="307"/>
      <c r="L1040" s="306"/>
      <c r="M1040" s="306"/>
      <c r="N1040" s="306"/>
      <c r="O1040" s="306"/>
      <c r="P1040" s="306"/>
      <c r="Q1040" s="306"/>
      <c r="R1040" s="306"/>
      <c r="S1040" s="306"/>
      <c r="T1040" s="306"/>
      <c r="U1040" s="306"/>
      <c r="V1040" s="305"/>
      <c r="W1040" s="306"/>
      <c r="X1040" s="306"/>
      <c r="Y1040" s="306"/>
      <c r="Z1040" s="307"/>
      <c r="AA1040" s="306"/>
      <c r="AB1040" s="306"/>
      <c r="AC1040" s="306"/>
    </row>
    <row r="1041">
      <c r="A1041" s="306"/>
      <c r="B1041" s="306"/>
      <c r="C1041" s="306"/>
      <c r="D1041" s="305"/>
      <c r="E1041" s="306"/>
      <c r="F1041" s="306"/>
      <c r="G1041" s="306"/>
      <c r="H1041" s="306"/>
      <c r="I1041" s="306"/>
      <c r="J1041" s="306"/>
      <c r="K1041" s="307"/>
      <c r="L1041" s="306"/>
      <c r="M1041" s="306"/>
      <c r="N1041" s="306"/>
      <c r="O1041" s="306"/>
      <c r="P1041" s="306"/>
      <c r="Q1041" s="306"/>
      <c r="R1041" s="306"/>
      <c r="S1041" s="306"/>
      <c r="T1041" s="306"/>
      <c r="U1041" s="306"/>
      <c r="V1041" s="305"/>
      <c r="W1041" s="306"/>
      <c r="X1041" s="306"/>
      <c r="Y1041" s="306"/>
      <c r="Z1041" s="307"/>
      <c r="AA1041" s="306"/>
      <c r="AB1041" s="306"/>
      <c r="AC1041" s="306"/>
    </row>
    <row r="1042">
      <c r="A1042" s="306"/>
      <c r="B1042" s="306"/>
      <c r="C1042" s="306"/>
      <c r="D1042" s="305"/>
      <c r="E1042" s="306"/>
      <c r="F1042" s="306"/>
      <c r="G1042" s="306"/>
      <c r="H1042" s="306"/>
      <c r="I1042" s="306"/>
      <c r="J1042" s="306"/>
      <c r="K1042" s="307"/>
      <c r="L1042" s="306"/>
      <c r="M1042" s="306"/>
      <c r="N1042" s="306"/>
      <c r="O1042" s="306"/>
      <c r="P1042" s="306"/>
      <c r="Q1042" s="306"/>
      <c r="R1042" s="306"/>
      <c r="S1042" s="306"/>
      <c r="T1042" s="306"/>
      <c r="U1042" s="306"/>
      <c r="V1042" s="305"/>
      <c r="W1042" s="306"/>
      <c r="X1042" s="306"/>
      <c r="Y1042" s="306"/>
      <c r="Z1042" s="307"/>
      <c r="AA1042" s="306"/>
      <c r="AB1042" s="306"/>
      <c r="AC1042" s="306"/>
    </row>
    <row r="1043">
      <c r="A1043" s="306"/>
      <c r="B1043" s="306"/>
      <c r="C1043" s="306"/>
      <c r="D1043" s="305"/>
      <c r="E1043" s="306"/>
      <c r="F1043" s="306"/>
      <c r="G1043" s="306"/>
      <c r="H1043" s="306"/>
      <c r="I1043" s="306"/>
      <c r="J1043" s="306"/>
      <c r="K1043" s="307"/>
      <c r="L1043" s="306"/>
      <c r="M1043" s="306"/>
      <c r="N1043" s="306"/>
      <c r="O1043" s="306"/>
      <c r="P1043" s="306"/>
      <c r="Q1043" s="306"/>
      <c r="R1043" s="306"/>
      <c r="S1043" s="306"/>
      <c r="T1043" s="306"/>
      <c r="U1043" s="306"/>
      <c r="V1043" s="305"/>
      <c r="W1043" s="306"/>
      <c r="X1043" s="306"/>
      <c r="Y1043" s="306"/>
      <c r="Z1043" s="307"/>
      <c r="AA1043" s="306"/>
      <c r="AB1043" s="306"/>
      <c r="AC1043" s="306"/>
    </row>
    <row r="1044">
      <c r="A1044" s="306"/>
      <c r="B1044" s="306"/>
      <c r="C1044" s="306"/>
      <c r="D1044" s="305"/>
      <c r="E1044" s="306"/>
      <c r="F1044" s="306"/>
      <c r="G1044" s="306"/>
      <c r="H1044" s="306"/>
      <c r="I1044" s="306"/>
      <c r="J1044" s="306"/>
      <c r="K1044" s="307"/>
      <c r="L1044" s="306"/>
      <c r="M1044" s="306"/>
      <c r="N1044" s="306"/>
      <c r="O1044" s="306"/>
      <c r="P1044" s="306"/>
      <c r="Q1044" s="306"/>
      <c r="R1044" s="306"/>
      <c r="S1044" s="306"/>
      <c r="T1044" s="306"/>
      <c r="U1044" s="306"/>
      <c r="V1044" s="305"/>
      <c r="W1044" s="306"/>
      <c r="X1044" s="306"/>
      <c r="Y1044" s="306"/>
      <c r="Z1044" s="307"/>
      <c r="AA1044" s="306"/>
      <c r="AB1044" s="306"/>
      <c r="AC1044" s="306"/>
    </row>
    <row r="1045">
      <c r="A1045" s="306"/>
      <c r="B1045" s="306"/>
      <c r="C1045" s="306"/>
      <c r="D1045" s="305"/>
      <c r="E1045" s="306"/>
      <c r="F1045" s="306"/>
      <c r="G1045" s="306"/>
      <c r="H1045" s="306"/>
      <c r="I1045" s="306"/>
      <c r="J1045" s="306"/>
      <c r="K1045" s="307"/>
      <c r="L1045" s="306"/>
      <c r="M1045" s="306"/>
      <c r="N1045" s="306"/>
      <c r="O1045" s="306"/>
      <c r="P1045" s="306"/>
      <c r="Q1045" s="306"/>
      <c r="R1045" s="306"/>
      <c r="S1045" s="306"/>
      <c r="T1045" s="306"/>
      <c r="U1045" s="306"/>
      <c r="V1045" s="305"/>
      <c r="W1045" s="306"/>
      <c r="X1045" s="306"/>
      <c r="Y1045" s="306"/>
      <c r="Z1045" s="307"/>
      <c r="AA1045" s="306"/>
      <c r="AB1045" s="306"/>
      <c r="AC1045" s="306"/>
    </row>
    <row r="1046">
      <c r="A1046" s="306"/>
      <c r="B1046" s="306"/>
      <c r="C1046" s="306"/>
      <c r="D1046" s="305"/>
      <c r="E1046" s="306"/>
      <c r="F1046" s="306"/>
      <c r="G1046" s="306"/>
      <c r="H1046" s="306"/>
      <c r="I1046" s="306"/>
      <c r="J1046" s="306"/>
      <c r="K1046" s="307"/>
      <c r="L1046" s="306"/>
      <c r="M1046" s="306"/>
      <c r="N1046" s="306"/>
      <c r="O1046" s="306"/>
      <c r="P1046" s="306"/>
      <c r="Q1046" s="306"/>
      <c r="R1046" s="306"/>
      <c r="S1046" s="306"/>
      <c r="T1046" s="306"/>
      <c r="U1046" s="306"/>
      <c r="V1046" s="305"/>
      <c r="W1046" s="306"/>
      <c r="X1046" s="306"/>
      <c r="Y1046" s="306"/>
      <c r="Z1046" s="307"/>
      <c r="AA1046" s="306"/>
      <c r="AB1046" s="306"/>
      <c r="AC1046" s="306"/>
    </row>
    <row r="1047">
      <c r="A1047" s="306"/>
      <c r="B1047" s="306"/>
      <c r="C1047" s="306"/>
      <c r="D1047" s="305"/>
      <c r="E1047" s="306"/>
      <c r="F1047" s="306"/>
      <c r="G1047" s="306"/>
      <c r="H1047" s="306"/>
      <c r="I1047" s="306"/>
      <c r="J1047" s="306"/>
      <c r="K1047" s="307"/>
      <c r="L1047" s="306"/>
      <c r="M1047" s="306"/>
      <c r="N1047" s="306"/>
      <c r="O1047" s="306"/>
      <c r="P1047" s="306"/>
      <c r="Q1047" s="306"/>
      <c r="R1047" s="306"/>
      <c r="S1047" s="306"/>
      <c r="T1047" s="306"/>
      <c r="U1047" s="306"/>
      <c r="V1047" s="305"/>
      <c r="W1047" s="306"/>
      <c r="X1047" s="306"/>
      <c r="Y1047" s="306"/>
      <c r="Z1047" s="307"/>
      <c r="AA1047" s="306"/>
      <c r="AB1047" s="306"/>
      <c r="AC1047" s="306"/>
    </row>
    <row r="1048">
      <c r="A1048" s="306"/>
      <c r="B1048" s="306"/>
      <c r="C1048" s="306"/>
      <c r="D1048" s="305"/>
      <c r="E1048" s="306"/>
      <c r="F1048" s="306"/>
      <c r="G1048" s="306"/>
      <c r="H1048" s="306"/>
      <c r="I1048" s="306"/>
      <c r="J1048" s="306"/>
      <c r="K1048" s="307"/>
      <c r="L1048" s="306"/>
      <c r="M1048" s="306"/>
      <c r="N1048" s="306"/>
      <c r="O1048" s="306"/>
      <c r="P1048" s="306"/>
      <c r="Q1048" s="306"/>
      <c r="R1048" s="306"/>
      <c r="S1048" s="306"/>
      <c r="T1048" s="306"/>
      <c r="U1048" s="306"/>
      <c r="V1048" s="305"/>
      <c r="W1048" s="306"/>
      <c r="X1048" s="306"/>
      <c r="Y1048" s="306"/>
      <c r="Z1048" s="307"/>
      <c r="AA1048" s="306"/>
      <c r="AB1048" s="306"/>
      <c r="AC1048" s="306"/>
    </row>
    <row r="1049">
      <c r="A1049" s="306"/>
      <c r="B1049" s="306"/>
      <c r="C1049" s="306"/>
      <c r="D1049" s="305"/>
      <c r="E1049" s="306"/>
      <c r="F1049" s="306"/>
      <c r="G1049" s="306"/>
      <c r="H1049" s="306"/>
      <c r="I1049" s="306"/>
      <c r="J1049" s="306"/>
      <c r="K1049" s="307"/>
      <c r="L1049" s="306"/>
      <c r="M1049" s="306"/>
      <c r="N1049" s="306"/>
      <c r="O1049" s="306"/>
      <c r="P1049" s="306"/>
      <c r="Q1049" s="306"/>
      <c r="R1049" s="306"/>
      <c r="S1049" s="306"/>
      <c r="T1049" s="306"/>
      <c r="U1049" s="306"/>
      <c r="V1049" s="305"/>
      <c r="W1049" s="306"/>
      <c r="X1049" s="306"/>
      <c r="Y1049" s="306"/>
      <c r="Z1049" s="307"/>
      <c r="AA1049" s="306"/>
      <c r="AB1049" s="306"/>
      <c r="AC1049" s="306"/>
    </row>
    <row r="1050">
      <c r="A1050" s="306"/>
      <c r="B1050" s="306"/>
      <c r="C1050" s="306"/>
      <c r="D1050" s="305"/>
      <c r="E1050" s="306"/>
      <c r="F1050" s="306"/>
      <c r="G1050" s="306"/>
      <c r="H1050" s="306"/>
      <c r="I1050" s="306"/>
      <c r="J1050" s="306"/>
      <c r="K1050" s="307"/>
      <c r="L1050" s="306"/>
      <c r="M1050" s="306"/>
      <c r="N1050" s="306"/>
      <c r="O1050" s="306"/>
      <c r="P1050" s="306"/>
      <c r="Q1050" s="306"/>
      <c r="R1050" s="306"/>
      <c r="S1050" s="306"/>
      <c r="T1050" s="306"/>
      <c r="U1050" s="306"/>
      <c r="V1050" s="305"/>
      <c r="W1050" s="306"/>
      <c r="X1050" s="306"/>
      <c r="Y1050" s="306"/>
      <c r="Z1050" s="307"/>
      <c r="AA1050" s="306"/>
      <c r="AB1050" s="306"/>
      <c r="AC1050" s="306"/>
    </row>
    <row r="1051">
      <c r="A1051" s="306"/>
      <c r="B1051" s="306"/>
      <c r="C1051" s="306"/>
      <c r="D1051" s="305"/>
      <c r="E1051" s="306"/>
      <c r="F1051" s="306"/>
      <c r="G1051" s="306"/>
      <c r="H1051" s="306"/>
      <c r="I1051" s="306"/>
      <c r="J1051" s="306"/>
      <c r="K1051" s="307"/>
      <c r="L1051" s="306"/>
      <c r="M1051" s="306"/>
      <c r="N1051" s="306"/>
      <c r="O1051" s="306"/>
      <c r="P1051" s="306"/>
      <c r="Q1051" s="306"/>
      <c r="R1051" s="306"/>
      <c r="S1051" s="306"/>
      <c r="T1051" s="306"/>
      <c r="U1051" s="306"/>
      <c r="V1051" s="305"/>
      <c r="W1051" s="306"/>
      <c r="X1051" s="306"/>
      <c r="Y1051" s="306"/>
      <c r="Z1051" s="307"/>
      <c r="AA1051" s="306"/>
      <c r="AB1051" s="306"/>
      <c r="AC1051" s="306"/>
    </row>
    <row r="1052">
      <c r="A1052" s="306"/>
      <c r="B1052" s="306"/>
      <c r="C1052" s="306"/>
      <c r="D1052" s="305"/>
      <c r="E1052" s="306"/>
      <c r="F1052" s="306"/>
      <c r="G1052" s="306"/>
      <c r="H1052" s="306"/>
      <c r="I1052" s="306"/>
      <c r="J1052" s="306"/>
      <c r="K1052" s="307"/>
      <c r="L1052" s="306"/>
      <c r="M1052" s="306"/>
      <c r="N1052" s="306"/>
      <c r="O1052" s="306"/>
      <c r="P1052" s="306"/>
      <c r="Q1052" s="306"/>
      <c r="R1052" s="306"/>
      <c r="S1052" s="306"/>
      <c r="T1052" s="306"/>
      <c r="U1052" s="306"/>
      <c r="V1052" s="305"/>
      <c r="W1052" s="306"/>
      <c r="X1052" s="306"/>
      <c r="Y1052" s="306"/>
      <c r="Z1052" s="307"/>
      <c r="AA1052" s="306"/>
      <c r="AB1052" s="306"/>
      <c r="AC1052" s="306"/>
    </row>
    <row r="1053">
      <c r="A1053" s="306"/>
      <c r="B1053" s="306"/>
      <c r="C1053" s="306"/>
      <c r="D1053" s="305"/>
      <c r="E1053" s="306"/>
      <c r="F1053" s="306"/>
      <c r="G1053" s="306"/>
      <c r="H1053" s="306"/>
      <c r="I1053" s="306"/>
      <c r="J1053" s="306"/>
      <c r="K1053" s="307"/>
      <c r="L1053" s="306"/>
      <c r="M1053" s="306"/>
      <c r="N1053" s="306"/>
      <c r="O1053" s="306"/>
      <c r="P1053" s="306"/>
      <c r="Q1053" s="306"/>
      <c r="R1053" s="306"/>
      <c r="S1053" s="306"/>
      <c r="T1053" s="306"/>
      <c r="U1053" s="306"/>
      <c r="V1053" s="305"/>
      <c r="W1053" s="306"/>
      <c r="X1053" s="306"/>
      <c r="Y1053" s="306"/>
      <c r="Z1053" s="307"/>
      <c r="AA1053" s="306"/>
      <c r="AB1053" s="306"/>
      <c r="AC1053" s="306"/>
    </row>
    <row r="1054">
      <c r="A1054" s="306"/>
      <c r="B1054" s="306"/>
      <c r="C1054" s="306"/>
      <c r="D1054" s="305"/>
      <c r="E1054" s="306"/>
      <c r="F1054" s="306"/>
      <c r="G1054" s="306"/>
      <c r="H1054" s="306"/>
      <c r="I1054" s="306"/>
      <c r="J1054" s="306"/>
      <c r="K1054" s="307"/>
      <c r="L1054" s="306"/>
      <c r="M1054" s="306"/>
      <c r="N1054" s="306"/>
      <c r="O1054" s="306"/>
      <c r="P1054" s="306"/>
      <c r="Q1054" s="306"/>
      <c r="R1054" s="306"/>
      <c r="S1054" s="306"/>
      <c r="T1054" s="306"/>
      <c r="U1054" s="306"/>
      <c r="V1054" s="305"/>
      <c r="W1054" s="306"/>
      <c r="X1054" s="306"/>
      <c r="Y1054" s="306"/>
      <c r="Z1054" s="307"/>
      <c r="AA1054" s="306"/>
      <c r="AB1054" s="306"/>
      <c r="AC1054" s="306"/>
    </row>
    <row r="1055">
      <c r="A1055" s="306"/>
      <c r="B1055" s="306"/>
      <c r="C1055" s="306"/>
      <c r="D1055" s="305"/>
      <c r="E1055" s="306"/>
      <c r="F1055" s="306"/>
      <c r="G1055" s="306"/>
      <c r="H1055" s="306"/>
      <c r="I1055" s="306"/>
      <c r="J1055" s="306"/>
      <c r="K1055" s="307"/>
      <c r="L1055" s="306"/>
      <c r="M1055" s="306"/>
      <c r="N1055" s="306"/>
      <c r="O1055" s="306"/>
      <c r="P1055" s="306"/>
      <c r="Q1055" s="306"/>
      <c r="R1055" s="306"/>
      <c r="S1055" s="306"/>
      <c r="T1055" s="306"/>
      <c r="U1055" s="306"/>
      <c r="V1055" s="305"/>
      <c r="W1055" s="306"/>
      <c r="X1055" s="306"/>
      <c r="Y1055" s="306"/>
      <c r="Z1055" s="307"/>
      <c r="AA1055" s="306"/>
      <c r="AB1055" s="306"/>
      <c r="AC1055" s="306"/>
    </row>
    <row r="1056">
      <c r="A1056" s="306"/>
      <c r="B1056" s="306"/>
      <c r="C1056" s="306"/>
      <c r="D1056" s="305"/>
      <c r="E1056" s="306"/>
      <c r="F1056" s="306"/>
      <c r="G1056" s="306"/>
      <c r="H1056" s="306"/>
      <c r="I1056" s="306"/>
      <c r="J1056" s="306"/>
      <c r="K1056" s="307"/>
      <c r="L1056" s="306"/>
      <c r="M1056" s="306"/>
      <c r="N1056" s="306"/>
      <c r="O1056" s="306"/>
      <c r="P1056" s="306"/>
      <c r="Q1056" s="306"/>
      <c r="R1056" s="306"/>
      <c r="S1056" s="306"/>
      <c r="T1056" s="306"/>
      <c r="U1056" s="306"/>
      <c r="V1056" s="305"/>
      <c r="W1056" s="306"/>
      <c r="X1056" s="306"/>
      <c r="Y1056" s="306"/>
      <c r="Z1056" s="307"/>
      <c r="AA1056" s="306"/>
      <c r="AB1056" s="306"/>
      <c r="AC1056" s="306"/>
    </row>
    <row r="1057">
      <c r="A1057" s="306"/>
      <c r="B1057" s="306"/>
      <c r="C1057" s="306"/>
      <c r="D1057" s="305"/>
      <c r="E1057" s="306"/>
      <c r="F1057" s="306"/>
      <c r="G1057" s="306"/>
      <c r="H1057" s="306"/>
      <c r="I1057" s="306"/>
      <c r="J1057" s="306"/>
      <c r="K1057" s="307"/>
      <c r="L1057" s="306"/>
      <c r="M1057" s="306"/>
      <c r="N1057" s="306"/>
      <c r="O1057" s="306"/>
      <c r="P1057" s="306"/>
      <c r="Q1057" s="306"/>
      <c r="R1057" s="306"/>
      <c r="S1057" s="306"/>
      <c r="T1057" s="306"/>
      <c r="U1057" s="306"/>
      <c r="V1057" s="305"/>
      <c r="W1057" s="306"/>
      <c r="X1057" s="306"/>
      <c r="Y1057" s="306"/>
      <c r="Z1057" s="307"/>
      <c r="AA1057" s="306"/>
      <c r="AB1057" s="306"/>
      <c r="AC1057" s="306"/>
    </row>
    <row r="1058">
      <c r="A1058" s="306"/>
      <c r="B1058" s="306"/>
      <c r="C1058" s="306"/>
      <c r="D1058" s="305"/>
      <c r="E1058" s="306"/>
      <c r="F1058" s="306"/>
      <c r="G1058" s="306"/>
      <c r="H1058" s="306"/>
      <c r="I1058" s="306"/>
      <c r="J1058" s="306"/>
      <c r="K1058" s="307"/>
      <c r="L1058" s="306"/>
      <c r="M1058" s="306"/>
      <c r="N1058" s="306"/>
      <c r="O1058" s="306"/>
      <c r="P1058" s="306"/>
      <c r="Q1058" s="306"/>
      <c r="R1058" s="306"/>
      <c r="S1058" s="306"/>
      <c r="T1058" s="306"/>
      <c r="U1058" s="306"/>
      <c r="V1058" s="305"/>
      <c r="W1058" s="306"/>
      <c r="X1058" s="306"/>
      <c r="Y1058" s="306"/>
      <c r="Z1058" s="307"/>
      <c r="AA1058" s="306"/>
      <c r="AB1058" s="306"/>
      <c r="AC1058" s="306"/>
    </row>
    <row r="1059">
      <c r="A1059" s="306"/>
      <c r="B1059" s="306"/>
      <c r="C1059" s="306"/>
      <c r="D1059" s="305"/>
      <c r="E1059" s="306"/>
      <c r="F1059" s="306"/>
      <c r="G1059" s="306"/>
      <c r="H1059" s="306"/>
      <c r="I1059" s="306"/>
      <c r="J1059" s="306"/>
      <c r="K1059" s="307"/>
      <c r="L1059" s="306"/>
      <c r="M1059" s="306"/>
      <c r="N1059" s="306"/>
      <c r="O1059" s="306"/>
      <c r="P1059" s="306"/>
      <c r="Q1059" s="306"/>
      <c r="R1059" s="306"/>
      <c r="S1059" s="306"/>
      <c r="T1059" s="306"/>
      <c r="U1059" s="306"/>
      <c r="V1059" s="305"/>
      <c r="W1059" s="306"/>
      <c r="X1059" s="306"/>
      <c r="Y1059" s="306"/>
      <c r="Z1059" s="307"/>
      <c r="AA1059" s="306"/>
      <c r="AB1059" s="306"/>
      <c r="AC1059" s="306"/>
    </row>
    <row r="1060">
      <c r="A1060" s="306"/>
      <c r="B1060" s="306"/>
      <c r="C1060" s="306"/>
      <c r="D1060" s="305"/>
      <c r="E1060" s="306"/>
      <c r="F1060" s="306"/>
      <c r="G1060" s="306"/>
      <c r="H1060" s="306"/>
      <c r="I1060" s="306"/>
      <c r="J1060" s="306"/>
      <c r="K1060" s="307"/>
      <c r="L1060" s="306"/>
      <c r="M1060" s="306"/>
      <c r="N1060" s="306"/>
      <c r="O1060" s="306"/>
      <c r="P1060" s="306"/>
      <c r="Q1060" s="306"/>
      <c r="R1060" s="306"/>
      <c r="S1060" s="306"/>
      <c r="T1060" s="306"/>
      <c r="U1060" s="306"/>
      <c r="V1060" s="305"/>
      <c r="W1060" s="306"/>
      <c r="X1060" s="306"/>
      <c r="Y1060" s="306"/>
      <c r="Z1060" s="307"/>
      <c r="AA1060" s="306"/>
      <c r="AB1060" s="306"/>
      <c r="AC1060" s="306"/>
    </row>
    <row r="1061">
      <c r="A1061" s="306"/>
      <c r="B1061" s="306"/>
      <c r="C1061" s="306"/>
      <c r="D1061" s="305"/>
      <c r="E1061" s="306"/>
      <c r="F1061" s="306"/>
      <c r="G1061" s="306"/>
      <c r="H1061" s="306"/>
      <c r="I1061" s="306"/>
      <c r="J1061" s="306"/>
      <c r="K1061" s="307"/>
      <c r="L1061" s="306"/>
      <c r="M1061" s="306"/>
      <c r="N1061" s="306"/>
      <c r="O1061" s="306"/>
      <c r="P1061" s="306"/>
      <c r="Q1061" s="306"/>
      <c r="R1061" s="306"/>
      <c r="S1061" s="306"/>
      <c r="T1061" s="306"/>
      <c r="U1061" s="306"/>
      <c r="V1061" s="305"/>
      <c r="W1061" s="306"/>
      <c r="X1061" s="306"/>
      <c r="Y1061" s="306"/>
      <c r="Z1061" s="307"/>
      <c r="AA1061" s="306"/>
      <c r="AB1061" s="306"/>
      <c r="AC1061" s="306"/>
    </row>
    <row r="1062">
      <c r="A1062" s="306"/>
      <c r="B1062" s="306"/>
      <c r="C1062" s="306"/>
      <c r="D1062" s="305"/>
      <c r="E1062" s="306"/>
      <c r="F1062" s="306"/>
      <c r="G1062" s="306"/>
      <c r="H1062" s="306"/>
      <c r="I1062" s="306"/>
      <c r="J1062" s="306"/>
      <c r="K1062" s="307"/>
      <c r="L1062" s="306"/>
      <c r="M1062" s="306"/>
      <c r="N1062" s="306"/>
      <c r="O1062" s="306"/>
      <c r="P1062" s="306"/>
      <c r="Q1062" s="306"/>
      <c r="R1062" s="306"/>
      <c r="S1062" s="306"/>
      <c r="T1062" s="306"/>
      <c r="U1062" s="306"/>
      <c r="V1062" s="305"/>
      <c r="W1062" s="306"/>
      <c r="X1062" s="306"/>
      <c r="Y1062" s="306"/>
      <c r="Z1062" s="307"/>
      <c r="AA1062" s="306"/>
      <c r="AB1062" s="306"/>
      <c r="AC1062" s="306"/>
    </row>
    <row r="1063">
      <c r="A1063" s="306"/>
      <c r="B1063" s="306"/>
      <c r="C1063" s="306"/>
      <c r="D1063" s="305"/>
      <c r="E1063" s="306"/>
      <c r="F1063" s="306"/>
      <c r="G1063" s="306"/>
      <c r="H1063" s="306"/>
      <c r="I1063" s="306"/>
      <c r="J1063" s="306"/>
      <c r="K1063" s="307"/>
      <c r="L1063" s="306"/>
      <c r="M1063" s="306"/>
      <c r="N1063" s="306"/>
      <c r="O1063" s="306"/>
      <c r="P1063" s="306"/>
      <c r="Q1063" s="306"/>
      <c r="R1063" s="306"/>
      <c r="S1063" s="306"/>
      <c r="T1063" s="306"/>
      <c r="U1063" s="306"/>
      <c r="V1063" s="305"/>
      <c r="W1063" s="306"/>
      <c r="X1063" s="306"/>
      <c r="Y1063" s="306"/>
      <c r="Z1063" s="307"/>
      <c r="AA1063" s="306"/>
      <c r="AB1063" s="306"/>
      <c r="AC1063" s="306"/>
    </row>
    <row r="1064">
      <c r="A1064" s="306"/>
      <c r="B1064" s="306"/>
      <c r="C1064" s="306"/>
      <c r="D1064" s="305"/>
      <c r="E1064" s="306"/>
      <c r="F1064" s="306"/>
      <c r="G1064" s="306"/>
      <c r="H1064" s="306"/>
      <c r="I1064" s="306"/>
      <c r="J1064" s="306"/>
      <c r="K1064" s="307"/>
      <c r="L1064" s="306"/>
      <c r="M1064" s="306"/>
      <c r="N1064" s="306"/>
      <c r="O1064" s="306"/>
      <c r="P1064" s="306"/>
      <c r="Q1064" s="306"/>
      <c r="R1064" s="306"/>
      <c r="S1064" s="306"/>
      <c r="T1064" s="306"/>
      <c r="U1064" s="306"/>
      <c r="V1064" s="305"/>
      <c r="W1064" s="306"/>
      <c r="X1064" s="306"/>
      <c r="Y1064" s="306"/>
      <c r="Z1064" s="307"/>
      <c r="AA1064" s="306"/>
      <c r="AB1064" s="306"/>
      <c r="AC1064" s="306"/>
    </row>
    <row r="1065">
      <c r="A1065" s="306"/>
      <c r="B1065" s="306"/>
      <c r="C1065" s="306"/>
      <c r="D1065" s="305"/>
      <c r="E1065" s="306"/>
      <c r="F1065" s="306"/>
      <c r="G1065" s="306"/>
      <c r="H1065" s="306"/>
      <c r="I1065" s="306"/>
      <c r="J1065" s="306"/>
      <c r="K1065" s="307"/>
      <c r="L1065" s="306"/>
      <c r="M1065" s="306"/>
      <c r="N1065" s="306"/>
      <c r="O1065" s="306"/>
      <c r="P1065" s="306"/>
      <c r="Q1065" s="306"/>
      <c r="R1065" s="306"/>
      <c r="S1065" s="306"/>
      <c r="T1065" s="306"/>
      <c r="U1065" s="306"/>
      <c r="V1065" s="305"/>
      <c r="W1065" s="306"/>
      <c r="X1065" s="306"/>
      <c r="Y1065" s="306"/>
      <c r="Z1065" s="307"/>
      <c r="AA1065" s="306"/>
      <c r="AB1065" s="306"/>
      <c r="AC1065" s="306"/>
    </row>
    <row r="1066">
      <c r="A1066" s="306"/>
      <c r="B1066" s="306"/>
      <c r="C1066" s="306"/>
      <c r="D1066" s="305"/>
      <c r="E1066" s="306"/>
      <c r="F1066" s="306"/>
      <c r="G1066" s="306"/>
      <c r="H1066" s="306"/>
      <c r="I1066" s="306"/>
      <c r="J1066" s="306"/>
      <c r="K1066" s="307"/>
      <c r="L1066" s="306"/>
      <c r="M1066" s="306"/>
      <c r="N1066" s="306"/>
      <c r="O1066" s="306"/>
      <c r="P1066" s="306"/>
      <c r="Q1066" s="306"/>
      <c r="R1066" s="306"/>
      <c r="S1066" s="306"/>
      <c r="T1066" s="306"/>
      <c r="U1066" s="306"/>
      <c r="V1066" s="305"/>
      <c r="W1066" s="306"/>
      <c r="X1066" s="306"/>
      <c r="Y1066" s="306"/>
      <c r="Z1066" s="307"/>
      <c r="AA1066" s="306"/>
      <c r="AB1066" s="306"/>
      <c r="AC1066" s="306"/>
    </row>
    <row r="1067">
      <c r="A1067" s="306"/>
      <c r="B1067" s="306"/>
      <c r="C1067" s="306"/>
      <c r="D1067" s="305"/>
      <c r="E1067" s="306"/>
      <c r="F1067" s="306"/>
      <c r="G1067" s="306"/>
      <c r="H1067" s="306"/>
      <c r="I1067" s="306"/>
      <c r="J1067" s="306"/>
      <c r="K1067" s="307"/>
      <c r="L1067" s="306"/>
      <c r="M1067" s="306"/>
      <c r="N1067" s="306"/>
      <c r="O1067" s="306"/>
      <c r="P1067" s="306"/>
      <c r="Q1067" s="306"/>
      <c r="R1067" s="306"/>
      <c r="S1067" s="306"/>
      <c r="T1067" s="306"/>
      <c r="U1067" s="306"/>
      <c r="V1067" s="305"/>
      <c r="W1067" s="306"/>
      <c r="X1067" s="306"/>
      <c r="Y1067" s="306"/>
      <c r="Z1067" s="307"/>
      <c r="AA1067" s="306"/>
      <c r="AB1067" s="306"/>
      <c r="AC1067" s="306"/>
    </row>
    <row r="1068">
      <c r="A1068" s="306"/>
      <c r="B1068" s="306"/>
      <c r="C1068" s="306"/>
      <c r="D1068" s="305"/>
      <c r="E1068" s="306"/>
      <c r="F1068" s="306"/>
      <c r="G1068" s="306"/>
      <c r="H1068" s="306"/>
      <c r="I1068" s="306"/>
      <c r="J1068" s="306"/>
      <c r="K1068" s="307"/>
      <c r="L1068" s="306"/>
      <c r="M1068" s="306"/>
      <c r="N1068" s="306"/>
      <c r="O1068" s="306"/>
      <c r="P1068" s="306"/>
      <c r="Q1068" s="306"/>
      <c r="R1068" s="306"/>
      <c r="S1068" s="306"/>
      <c r="T1068" s="306"/>
      <c r="U1068" s="306"/>
      <c r="V1068" s="305"/>
      <c r="W1068" s="306"/>
      <c r="X1068" s="306"/>
      <c r="Y1068" s="306"/>
      <c r="Z1068" s="307"/>
      <c r="AA1068" s="306"/>
      <c r="AB1068" s="306"/>
      <c r="AC1068" s="306"/>
    </row>
    <row r="1069">
      <c r="A1069" s="306"/>
      <c r="B1069" s="306"/>
      <c r="C1069" s="306"/>
      <c r="D1069" s="305"/>
      <c r="E1069" s="306"/>
      <c r="F1069" s="306"/>
      <c r="G1069" s="306"/>
      <c r="H1069" s="306"/>
      <c r="I1069" s="306"/>
      <c r="J1069" s="306"/>
      <c r="K1069" s="307"/>
      <c r="L1069" s="306"/>
      <c r="M1069" s="306"/>
      <c r="N1069" s="306"/>
      <c r="O1069" s="306"/>
      <c r="P1069" s="306"/>
      <c r="Q1069" s="306"/>
      <c r="R1069" s="306"/>
      <c r="S1069" s="306"/>
      <c r="T1069" s="306"/>
      <c r="U1069" s="306"/>
      <c r="V1069" s="305"/>
      <c r="W1069" s="306"/>
      <c r="X1069" s="306"/>
      <c r="Y1069" s="306"/>
      <c r="Z1069" s="307"/>
      <c r="AA1069" s="306"/>
      <c r="AB1069" s="306"/>
      <c r="AC1069" s="306"/>
    </row>
    <row r="1070">
      <c r="A1070" s="306"/>
      <c r="B1070" s="306"/>
      <c r="C1070" s="306"/>
      <c r="D1070" s="305"/>
      <c r="E1070" s="306"/>
      <c r="F1070" s="306"/>
      <c r="G1070" s="306"/>
      <c r="H1070" s="306"/>
      <c r="I1070" s="306"/>
      <c r="J1070" s="306"/>
      <c r="K1070" s="307"/>
      <c r="L1070" s="306"/>
      <c r="M1070" s="306"/>
      <c r="N1070" s="306"/>
      <c r="O1070" s="306"/>
      <c r="P1070" s="306"/>
      <c r="Q1070" s="306"/>
      <c r="R1070" s="306"/>
      <c r="S1070" s="306"/>
      <c r="T1070" s="306"/>
      <c r="U1070" s="306"/>
      <c r="V1070" s="305"/>
      <c r="W1070" s="306"/>
      <c r="X1070" s="306"/>
      <c r="Y1070" s="306"/>
      <c r="Z1070" s="307"/>
      <c r="AA1070" s="306"/>
      <c r="AB1070" s="306"/>
      <c r="AC1070" s="306"/>
    </row>
    <row r="1071">
      <c r="A1071" s="306"/>
      <c r="B1071" s="306"/>
      <c r="C1071" s="306"/>
      <c r="D1071" s="305"/>
      <c r="E1071" s="306"/>
      <c r="F1071" s="306"/>
      <c r="G1071" s="306"/>
      <c r="H1071" s="306"/>
      <c r="I1071" s="306"/>
      <c r="J1071" s="306"/>
      <c r="K1071" s="307"/>
      <c r="L1071" s="306"/>
      <c r="M1071" s="306"/>
      <c r="N1071" s="306"/>
      <c r="O1071" s="306"/>
      <c r="P1071" s="306"/>
      <c r="Q1071" s="306"/>
      <c r="R1071" s="306"/>
      <c r="S1071" s="306"/>
      <c r="T1071" s="306"/>
      <c r="U1071" s="306"/>
      <c r="V1071" s="305"/>
      <c r="W1071" s="306"/>
      <c r="X1071" s="306"/>
      <c r="Y1071" s="306"/>
      <c r="Z1071" s="307"/>
      <c r="AA1071" s="306"/>
      <c r="AB1071" s="306"/>
      <c r="AC1071" s="306"/>
    </row>
    <row r="1072">
      <c r="A1072" s="306"/>
      <c r="B1072" s="306"/>
      <c r="C1072" s="306"/>
      <c r="D1072" s="305"/>
      <c r="E1072" s="306"/>
      <c r="F1072" s="306"/>
      <c r="G1072" s="306"/>
      <c r="H1072" s="306"/>
      <c r="I1072" s="306"/>
      <c r="J1072" s="306"/>
      <c r="K1072" s="307"/>
      <c r="L1072" s="306"/>
      <c r="M1072" s="306"/>
      <c r="N1072" s="306"/>
      <c r="O1072" s="306"/>
      <c r="P1072" s="306"/>
      <c r="Q1072" s="306"/>
      <c r="R1072" s="306"/>
      <c r="S1072" s="306"/>
      <c r="T1072" s="306"/>
      <c r="U1072" s="306"/>
      <c r="V1072" s="305"/>
      <c r="W1072" s="306"/>
      <c r="X1072" s="306"/>
      <c r="Y1072" s="306"/>
      <c r="Z1072" s="307"/>
      <c r="AA1072" s="306"/>
      <c r="AB1072" s="306"/>
      <c r="AC1072" s="306"/>
    </row>
    <row r="1073">
      <c r="A1073" s="306"/>
      <c r="B1073" s="306"/>
      <c r="C1073" s="306"/>
      <c r="D1073" s="305"/>
      <c r="E1073" s="306"/>
      <c r="F1073" s="306"/>
      <c r="G1073" s="306"/>
      <c r="H1073" s="306"/>
      <c r="I1073" s="306"/>
      <c r="J1073" s="306"/>
      <c r="K1073" s="307"/>
      <c r="L1073" s="306"/>
      <c r="M1073" s="306"/>
      <c r="N1073" s="306"/>
      <c r="O1073" s="306"/>
      <c r="P1073" s="306"/>
      <c r="Q1073" s="306"/>
      <c r="R1073" s="306"/>
      <c r="S1073" s="306"/>
      <c r="T1073" s="306"/>
      <c r="U1073" s="306"/>
      <c r="V1073" s="305"/>
      <c r="W1073" s="306"/>
      <c r="X1073" s="306"/>
      <c r="Y1073" s="306"/>
      <c r="Z1073" s="307"/>
      <c r="AA1073" s="306"/>
      <c r="AB1073" s="306"/>
      <c r="AC1073" s="306"/>
    </row>
    <row r="1074">
      <c r="A1074" s="306"/>
      <c r="B1074" s="306"/>
      <c r="C1074" s="306"/>
      <c r="D1074" s="305"/>
      <c r="E1074" s="306"/>
      <c r="F1074" s="306"/>
      <c r="G1074" s="306"/>
      <c r="H1074" s="306"/>
      <c r="I1074" s="306"/>
      <c r="J1074" s="306"/>
      <c r="K1074" s="307"/>
      <c r="L1074" s="306"/>
      <c r="M1074" s="306"/>
      <c r="N1074" s="306"/>
      <c r="O1074" s="306"/>
      <c r="P1074" s="306"/>
      <c r="Q1074" s="306"/>
      <c r="R1074" s="306"/>
      <c r="S1074" s="306"/>
      <c r="T1074" s="306"/>
      <c r="U1074" s="306"/>
      <c r="V1074" s="305"/>
      <c r="W1074" s="306"/>
      <c r="X1074" s="306"/>
      <c r="Y1074" s="306"/>
      <c r="Z1074" s="307"/>
      <c r="AA1074" s="306"/>
      <c r="AB1074" s="306"/>
      <c r="AC1074" s="306"/>
    </row>
    <row r="1075">
      <c r="A1075" s="306"/>
      <c r="B1075" s="306"/>
      <c r="C1075" s="306"/>
      <c r="D1075" s="305"/>
      <c r="E1075" s="306"/>
      <c r="F1075" s="306"/>
      <c r="G1075" s="306"/>
      <c r="H1075" s="306"/>
      <c r="I1075" s="306"/>
      <c r="J1075" s="306"/>
      <c r="K1075" s="307"/>
      <c r="L1075" s="306"/>
      <c r="M1075" s="306"/>
      <c r="N1075" s="306"/>
      <c r="O1075" s="306"/>
      <c r="P1075" s="306"/>
      <c r="Q1075" s="306"/>
      <c r="R1075" s="306"/>
      <c r="S1075" s="306"/>
      <c r="T1075" s="306"/>
      <c r="U1075" s="306"/>
      <c r="V1075" s="305"/>
      <c r="W1075" s="306"/>
      <c r="X1075" s="306"/>
      <c r="Y1075" s="306"/>
      <c r="Z1075" s="307"/>
      <c r="AA1075" s="306"/>
      <c r="AB1075" s="306"/>
      <c r="AC1075" s="306"/>
    </row>
    <row r="1076">
      <c r="A1076" s="306"/>
      <c r="B1076" s="306"/>
      <c r="C1076" s="306"/>
      <c r="D1076" s="305"/>
      <c r="E1076" s="306"/>
      <c r="F1076" s="306"/>
      <c r="G1076" s="306"/>
      <c r="H1076" s="306"/>
      <c r="I1076" s="306"/>
      <c r="J1076" s="306"/>
      <c r="K1076" s="307"/>
      <c r="L1076" s="306"/>
      <c r="M1076" s="306"/>
      <c r="N1076" s="306"/>
      <c r="O1076" s="306"/>
      <c r="P1076" s="306"/>
      <c r="Q1076" s="306"/>
      <c r="R1076" s="306"/>
      <c r="S1076" s="306"/>
      <c r="T1076" s="306"/>
      <c r="U1076" s="306"/>
      <c r="V1076" s="305"/>
      <c r="W1076" s="306"/>
      <c r="X1076" s="306"/>
      <c r="Y1076" s="306"/>
      <c r="Z1076" s="307"/>
      <c r="AA1076" s="306"/>
      <c r="AB1076" s="306"/>
      <c r="AC1076" s="306"/>
    </row>
    <row r="1077">
      <c r="A1077" s="306"/>
      <c r="B1077" s="306"/>
      <c r="C1077" s="306"/>
      <c r="D1077" s="305"/>
      <c r="E1077" s="306"/>
      <c r="F1077" s="306"/>
      <c r="G1077" s="306"/>
      <c r="H1077" s="306"/>
      <c r="I1077" s="306"/>
      <c r="J1077" s="306"/>
      <c r="K1077" s="307"/>
      <c r="L1077" s="306"/>
      <c r="M1077" s="306"/>
      <c r="N1077" s="306"/>
      <c r="O1077" s="306"/>
      <c r="P1077" s="306"/>
      <c r="Q1077" s="306"/>
      <c r="R1077" s="306"/>
      <c r="S1077" s="306"/>
      <c r="T1077" s="306"/>
      <c r="U1077" s="306"/>
      <c r="V1077" s="305"/>
      <c r="W1077" s="306"/>
      <c r="X1077" s="306"/>
      <c r="Y1077" s="306"/>
      <c r="Z1077" s="307"/>
      <c r="AA1077" s="306"/>
      <c r="AB1077" s="306"/>
      <c r="AC1077" s="306"/>
    </row>
    <row r="1078">
      <c r="A1078" s="306"/>
      <c r="B1078" s="306"/>
      <c r="C1078" s="306"/>
      <c r="D1078" s="305"/>
      <c r="E1078" s="306"/>
      <c r="F1078" s="306"/>
      <c r="G1078" s="306"/>
      <c r="H1078" s="306"/>
      <c r="I1078" s="306"/>
      <c r="J1078" s="306"/>
      <c r="K1078" s="307"/>
      <c r="L1078" s="306"/>
      <c r="M1078" s="306"/>
      <c r="N1078" s="306"/>
      <c r="O1078" s="306"/>
      <c r="P1078" s="306"/>
      <c r="Q1078" s="306"/>
      <c r="R1078" s="306"/>
      <c r="S1078" s="306"/>
      <c r="T1078" s="306"/>
      <c r="U1078" s="306"/>
      <c r="V1078" s="305"/>
      <c r="W1078" s="306"/>
      <c r="X1078" s="306"/>
      <c r="Y1078" s="306"/>
      <c r="Z1078" s="307"/>
      <c r="AA1078" s="306"/>
      <c r="AB1078" s="306"/>
      <c r="AC1078" s="306"/>
    </row>
    <row r="1079">
      <c r="A1079" s="306"/>
      <c r="B1079" s="306"/>
      <c r="C1079" s="306"/>
      <c r="D1079" s="305"/>
      <c r="E1079" s="306"/>
      <c r="F1079" s="306"/>
      <c r="G1079" s="306"/>
      <c r="H1079" s="306"/>
      <c r="I1079" s="306"/>
      <c r="J1079" s="306"/>
      <c r="K1079" s="307"/>
      <c r="L1079" s="306"/>
      <c r="M1079" s="306"/>
      <c r="N1079" s="306"/>
      <c r="O1079" s="306"/>
      <c r="P1079" s="306"/>
      <c r="Q1079" s="306"/>
      <c r="R1079" s="306"/>
      <c r="S1079" s="306"/>
      <c r="T1079" s="306"/>
      <c r="U1079" s="306"/>
      <c r="V1079" s="305"/>
      <c r="W1079" s="306"/>
      <c r="X1079" s="306"/>
      <c r="Y1079" s="306"/>
      <c r="Z1079" s="307"/>
      <c r="AA1079" s="306"/>
      <c r="AB1079" s="306"/>
      <c r="AC1079" s="306"/>
    </row>
    <row r="1080">
      <c r="A1080" s="306"/>
      <c r="B1080" s="306"/>
      <c r="C1080" s="306"/>
      <c r="D1080" s="305"/>
      <c r="E1080" s="306"/>
      <c r="F1080" s="306"/>
      <c r="G1080" s="306"/>
      <c r="H1080" s="306"/>
      <c r="I1080" s="306"/>
      <c r="J1080" s="306"/>
      <c r="K1080" s="307"/>
      <c r="L1080" s="306"/>
      <c r="M1080" s="306"/>
      <c r="N1080" s="306"/>
      <c r="O1080" s="306"/>
      <c r="P1080" s="306"/>
      <c r="Q1080" s="306"/>
      <c r="R1080" s="306"/>
      <c r="S1080" s="306"/>
      <c r="T1080" s="306"/>
      <c r="U1080" s="306"/>
      <c r="V1080" s="305"/>
      <c r="W1080" s="306"/>
      <c r="X1080" s="306"/>
      <c r="Y1080" s="306"/>
      <c r="Z1080" s="307"/>
      <c r="AA1080" s="306"/>
      <c r="AB1080" s="306"/>
      <c r="AC1080" s="306"/>
    </row>
    <row r="1081">
      <c r="A1081" s="306"/>
      <c r="B1081" s="306"/>
      <c r="C1081" s="306"/>
      <c r="D1081" s="305"/>
      <c r="E1081" s="306"/>
      <c r="F1081" s="306"/>
      <c r="G1081" s="306"/>
      <c r="H1081" s="306"/>
      <c r="I1081" s="306"/>
      <c r="J1081" s="306"/>
      <c r="K1081" s="307"/>
      <c r="L1081" s="306"/>
      <c r="M1081" s="306"/>
      <c r="N1081" s="306"/>
      <c r="O1081" s="306"/>
      <c r="P1081" s="306"/>
      <c r="Q1081" s="306"/>
      <c r="R1081" s="306"/>
      <c r="S1081" s="306"/>
      <c r="T1081" s="306"/>
      <c r="U1081" s="306"/>
      <c r="V1081" s="305"/>
      <c r="W1081" s="306"/>
      <c r="X1081" s="306"/>
      <c r="Y1081" s="306"/>
      <c r="Z1081" s="307"/>
      <c r="AA1081" s="306"/>
      <c r="AB1081" s="306"/>
      <c r="AC1081" s="306"/>
    </row>
    <row r="1082">
      <c r="A1082" s="306"/>
      <c r="B1082" s="306"/>
      <c r="C1082" s="306"/>
      <c r="D1082" s="305"/>
      <c r="E1082" s="306"/>
      <c r="F1082" s="306"/>
      <c r="G1082" s="306"/>
      <c r="H1082" s="306"/>
      <c r="I1082" s="306"/>
      <c r="J1082" s="306"/>
      <c r="K1082" s="307"/>
      <c r="L1082" s="306"/>
      <c r="M1082" s="306"/>
      <c r="N1082" s="306"/>
      <c r="O1082" s="306"/>
      <c r="P1082" s="306"/>
      <c r="Q1082" s="306"/>
      <c r="R1082" s="306"/>
      <c r="S1082" s="306"/>
      <c r="T1082" s="306"/>
      <c r="U1082" s="306"/>
      <c r="V1082" s="305"/>
      <c r="W1082" s="306"/>
      <c r="X1082" s="306"/>
      <c r="Y1082" s="306"/>
      <c r="Z1082" s="307"/>
      <c r="AA1082" s="306"/>
      <c r="AB1082" s="306"/>
      <c r="AC1082" s="306"/>
    </row>
    <row r="1083">
      <c r="A1083" s="306"/>
      <c r="B1083" s="306"/>
      <c r="C1083" s="306"/>
      <c r="D1083" s="305"/>
      <c r="E1083" s="306"/>
      <c r="F1083" s="306"/>
      <c r="G1083" s="306"/>
      <c r="H1083" s="306"/>
      <c r="I1083" s="306"/>
      <c r="J1083" s="306"/>
      <c r="K1083" s="307"/>
      <c r="L1083" s="306"/>
      <c r="M1083" s="306"/>
      <c r="N1083" s="306"/>
      <c r="O1083" s="306"/>
      <c r="P1083" s="306"/>
      <c r="Q1083" s="306"/>
      <c r="R1083" s="306"/>
      <c r="S1083" s="306"/>
      <c r="T1083" s="306"/>
      <c r="U1083" s="306"/>
      <c r="V1083" s="305"/>
      <c r="W1083" s="306"/>
      <c r="X1083" s="306"/>
      <c r="Y1083" s="306"/>
      <c r="Z1083" s="307"/>
      <c r="AA1083" s="306"/>
      <c r="AB1083" s="306"/>
      <c r="AC1083" s="306"/>
    </row>
    <row r="1084">
      <c r="A1084" s="306"/>
      <c r="B1084" s="306"/>
      <c r="C1084" s="306"/>
      <c r="D1084" s="305"/>
      <c r="E1084" s="306"/>
      <c r="F1084" s="306"/>
      <c r="G1084" s="306"/>
      <c r="H1084" s="306"/>
      <c r="I1084" s="306"/>
      <c r="J1084" s="306"/>
      <c r="K1084" s="307"/>
      <c r="L1084" s="306"/>
      <c r="M1084" s="306"/>
      <c r="N1084" s="306"/>
      <c r="O1084" s="306"/>
      <c r="P1084" s="306"/>
      <c r="Q1084" s="306"/>
      <c r="R1084" s="306"/>
      <c r="S1084" s="306"/>
      <c r="T1084" s="306"/>
      <c r="U1084" s="306"/>
      <c r="V1084" s="305"/>
      <c r="W1084" s="306"/>
      <c r="X1084" s="306"/>
      <c r="Y1084" s="306"/>
      <c r="Z1084" s="307"/>
      <c r="AA1084" s="306"/>
      <c r="AB1084" s="306"/>
      <c r="AC1084" s="306"/>
    </row>
    <row r="1085">
      <c r="A1085" s="306"/>
      <c r="B1085" s="306"/>
      <c r="C1085" s="306"/>
      <c r="D1085" s="305"/>
      <c r="E1085" s="306"/>
      <c r="F1085" s="306"/>
      <c r="G1085" s="306"/>
      <c r="H1085" s="306"/>
      <c r="I1085" s="306"/>
      <c r="J1085" s="306"/>
      <c r="K1085" s="307"/>
      <c r="L1085" s="306"/>
      <c r="M1085" s="306"/>
      <c r="N1085" s="306"/>
      <c r="O1085" s="306"/>
      <c r="P1085" s="306"/>
      <c r="Q1085" s="306"/>
      <c r="R1085" s="306"/>
      <c r="S1085" s="306"/>
      <c r="T1085" s="306"/>
      <c r="U1085" s="306"/>
      <c r="V1085" s="305"/>
      <c r="W1085" s="306"/>
      <c r="X1085" s="306"/>
      <c r="Y1085" s="306"/>
      <c r="Z1085" s="307"/>
      <c r="AA1085" s="306"/>
      <c r="AB1085" s="306"/>
      <c r="AC1085" s="306"/>
    </row>
    <row r="1086">
      <c r="A1086" s="306"/>
      <c r="B1086" s="306"/>
      <c r="C1086" s="306"/>
      <c r="D1086" s="305"/>
      <c r="E1086" s="306"/>
      <c r="F1086" s="306"/>
      <c r="G1086" s="306"/>
      <c r="H1086" s="306"/>
      <c r="I1086" s="306"/>
      <c r="J1086" s="306"/>
      <c r="K1086" s="307"/>
      <c r="L1086" s="306"/>
      <c r="M1086" s="306"/>
      <c r="N1086" s="306"/>
      <c r="O1086" s="306"/>
      <c r="P1086" s="306"/>
      <c r="Q1086" s="306"/>
      <c r="R1086" s="306"/>
      <c r="S1086" s="306"/>
      <c r="T1086" s="306"/>
      <c r="U1086" s="306"/>
      <c r="V1086" s="305"/>
      <c r="W1086" s="306"/>
      <c r="X1086" s="306"/>
      <c r="Y1086" s="306"/>
      <c r="Z1086" s="307"/>
      <c r="AA1086" s="306"/>
      <c r="AB1086" s="306"/>
      <c r="AC1086" s="306"/>
    </row>
    <row r="1087">
      <c r="A1087" s="306"/>
      <c r="B1087" s="306"/>
      <c r="C1087" s="306"/>
      <c r="D1087" s="305"/>
      <c r="E1087" s="306"/>
      <c r="F1087" s="306"/>
      <c r="G1087" s="306"/>
      <c r="H1087" s="306"/>
      <c r="I1087" s="306"/>
      <c r="J1087" s="306"/>
      <c r="K1087" s="307"/>
      <c r="L1087" s="306"/>
      <c r="M1087" s="306"/>
      <c r="N1087" s="306"/>
      <c r="O1087" s="306"/>
      <c r="P1087" s="306"/>
      <c r="Q1087" s="306"/>
      <c r="R1087" s="306"/>
      <c r="S1087" s="306"/>
      <c r="T1087" s="306"/>
      <c r="U1087" s="306"/>
      <c r="V1087" s="305"/>
      <c r="W1087" s="306"/>
      <c r="X1087" s="306"/>
      <c r="Y1087" s="306"/>
      <c r="Z1087" s="307"/>
      <c r="AA1087" s="306"/>
      <c r="AB1087" s="306"/>
      <c r="AC1087" s="306"/>
    </row>
    <row r="1088">
      <c r="A1088" s="306"/>
      <c r="B1088" s="306"/>
      <c r="C1088" s="306"/>
      <c r="D1088" s="305"/>
      <c r="E1088" s="306"/>
      <c r="F1088" s="306"/>
      <c r="G1088" s="306"/>
      <c r="H1088" s="306"/>
      <c r="I1088" s="306"/>
      <c r="J1088" s="306"/>
      <c r="K1088" s="307"/>
      <c r="L1088" s="306"/>
      <c r="M1088" s="306"/>
      <c r="N1088" s="306"/>
      <c r="O1088" s="306"/>
      <c r="P1088" s="306"/>
      <c r="Q1088" s="306"/>
      <c r="R1088" s="306"/>
      <c r="S1088" s="306"/>
      <c r="T1088" s="306"/>
      <c r="U1088" s="306"/>
      <c r="V1088" s="305"/>
      <c r="W1088" s="306"/>
      <c r="X1088" s="306"/>
      <c r="Y1088" s="306"/>
      <c r="Z1088" s="307"/>
      <c r="AA1088" s="306"/>
      <c r="AB1088" s="306"/>
      <c r="AC1088" s="306"/>
    </row>
    <row r="1089">
      <c r="A1089" s="306"/>
      <c r="B1089" s="306"/>
      <c r="C1089" s="306"/>
      <c r="D1089" s="305"/>
      <c r="E1089" s="306"/>
      <c r="F1089" s="306"/>
      <c r="G1089" s="306"/>
      <c r="H1089" s="306"/>
      <c r="I1089" s="306"/>
      <c r="J1089" s="306"/>
      <c r="K1089" s="307"/>
      <c r="L1089" s="306"/>
      <c r="M1089" s="306"/>
      <c r="N1089" s="306"/>
      <c r="O1089" s="306"/>
      <c r="P1089" s="306"/>
      <c r="Q1089" s="306"/>
      <c r="R1089" s="306"/>
      <c r="S1089" s="306"/>
      <c r="T1089" s="306"/>
      <c r="U1089" s="306"/>
      <c r="V1089" s="305"/>
      <c r="W1089" s="306"/>
      <c r="X1089" s="306"/>
      <c r="Y1089" s="306"/>
      <c r="Z1089" s="307"/>
      <c r="AA1089" s="306"/>
      <c r="AB1089" s="306"/>
      <c r="AC1089" s="306"/>
    </row>
    <row r="1090">
      <c r="A1090" s="306"/>
      <c r="B1090" s="306"/>
      <c r="C1090" s="306"/>
      <c r="D1090" s="305"/>
      <c r="E1090" s="306"/>
      <c r="F1090" s="306"/>
      <c r="G1090" s="306"/>
      <c r="H1090" s="306"/>
      <c r="I1090" s="306"/>
      <c r="J1090" s="306"/>
      <c r="K1090" s="307"/>
      <c r="L1090" s="306"/>
      <c r="M1090" s="306"/>
      <c r="N1090" s="306"/>
      <c r="O1090" s="306"/>
      <c r="P1090" s="306"/>
      <c r="Q1090" s="306"/>
      <c r="R1090" s="306"/>
      <c r="S1090" s="306"/>
      <c r="T1090" s="306"/>
      <c r="U1090" s="306"/>
      <c r="V1090" s="305"/>
      <c r="W1090" s="306"/>
      <c r="X1090" s="306"/>
      <c r="Y1090" s="306"/>
      <c r="Z1090" s="307"/>
      <c r="AA1090" s="306"/>
      <c r="AB1090" s="306"/>
      <c r="AC1090" s="306"/>
    </row>
    <row r="1091">
      <c r="A1091" s="306"/>
      <c r="B1091" s="306"/>
      <c r="C1091" s="306"/>
      <c r="D1091" s="305"/>
      <c r="E1091" s="306"/>
      <c r="F1091" s="306"/>
      <c r="G1091" s="306"/>
      <c r="H1091" s="306"/>
      <c r="I1091" s="306"/>
      <c r="J1091" s="306"/>
      <c r="K1091" s="307"/>
      <c r="L1091" s="306"/>
      <c r="M1091" s="306"/>
      <c r="N1091" s="306"/>
      <c r="O1091" s="306"/>
      <c r="P1091" s="306"/>
      <c r="Q1091" s="306"/>
      <c r="R1091" s="306"/>
      <c r="S1091" s="306"/>
      <c r="T1091" s="306"/>
      <c r="U1091" s="306"/>
      <c r="V1091" s="305"/>
      <c r="W1091" s="306"/>
      <c r="X1091" s="306"/>
      <c r="Y1091" s="306"/>
      <c r="Z1091" s="307"/>
      <c r="AA1091" s="306"/>
      <c r="AB1091" s="306"/>
      <c r="AC1091" s="306"/>
    </row>
    <row r="1092">
      <c r="A1092" s="306"/>
      <c r="B1092" s="306"/>
      <c r="C1092" s="306"/>
      <c r="D1092" s="305"/>
      <c r="E1092" s="306"/>
      <c r="F1092" s="306"/>
      <c r="G1092" s="306"/>
      <c r="H1092" s="306"/>
      <c r="I1092" s="306"/>
      <c r="J1092" s="306"/>
      <c r="K1092" s="307"/>
      <c r="L1092" s="306"/>
      <c r="M1092" s="306"/>
      <c r="N1092" s="306"/>
      <c r="O1092" s="306"/>
      <c r="P1092" s="306"/>
      <c r="Q1092" s="306"/>
      <c r="R1092" s="306"/>
      <c r="S1092" s="306"/>
      <c r="T1092" s="306"/>
      <c r="U1092" s="306"/>
      <c r="V1092" s="305"/>
      <c r="W1092" s="306"/>
      <c r="X1092" s="306"/>
      <c r="Y1092" s="306"/>
      <c r="Z1092" s="307"/>
      <c r="AA1092" s="306"/>
      <c r="AB1092" s="306"/>
      <c r="AC1092" s="306"/>
    </row>
    <row r="1093">
      <c r="A1093" s="306"/>
      <c r="B1093" s="306"/>
      <c r="C1093" s="306"/>
      <c r="D1093" s="305"/>
      <c r="E1093" s="306"/>
      <c r="F1093" s="306"/>
      <c r="G1093" s="306"/>
      <c r="H1093" s="306"/>
      <c r="I1093" s="306"/>
      <c r="J1093" s="306"/>
      <c r="K1093" s="307"/>
      <c r="L1093" s="306"/>
      <c r="M1093" s="306"/>
      <c r="N1093" s="306"/>
      <c r="O1093" s="306"/>
      <c r="P1093" s="306"/>
      <c r="Q1093" s="306"/>
      <c r="R1093" s="306"/>
      <c r="S1093" s="306"/>
      <c r="T1093" s="306"/>
      <c r="U1093" s="306"/>
      <c r="V1093" s="305"/>
      <c r="W1093" s="306"/>
      <c r="X1093" s="306"/>
      <c r="Y1093" s="306"/>
      <c r="Z1093" s="307"/>
      <c r="AA1093" s="306"/>
      <c r="AB1093" s="306"/>
      <c r="AC1093" s="306"/>
    </row>
    <row r="1094">
      <c r="A1094" s="306"/>
      <c r="B1094" s="306"/>
      <c r="C1094" s="306"/>
      <c r="D1094" s="305"/>
      <c r="E1094" s="306"/>
      <c r="F1094" s="306"/>
      <c r="G1094" s="306"/>
      <c r="H1094" s="306"/>
      <c r="I1094" s="306"/>
      <c r="J1094" s="306"/>
      <c r="K1094" s="307"/>
      <c r="L1094" s="306"/>
      <c r="M1094" s="306"/>
      <c r="N1094" s="306"/>
      <c r="O1094" s="306"/>
      <c r="P1094" s="306"/>
      <c r="Q1094" s="306"/>
      <c r="R1094" s="306"/>
      <c r="S1094" s="306"/>
      <c r="T1094" s="306"/>
      <c r="U1094" s="306"/>
      <c r="V1094" s="305"/>
      <c r="W1094" s="306"/>
      <c r="X1094" s="306"/>
      <c r="Y1094" s="306"/>
      <c r="Z1094" s="307"/>
      <c r="AA1094" s="306"/>
      <c r="AB1094" s="306"/>
      <c r="AC1094" s="306"/>
    </row>
    <row r="1095">
      <c r="A1095" s="306"/>
      <c r="B1095" s="306"/>
      <c r="C1095" s="306"/>
      <c r="D1095" s="305"/>
      <c r="E1095" s="306"/>
      <c r="F1095" s="306"/>
      <c r="G1095" s="306"/>
      <c r="H1095" s="306"/>
      <c r="I1095" s="306"/>
      <c r="J1095" s="306"/>
      <c r="K1095" s="307"/>
      <c r="L1095" s="306"/>
      <c r="M1095" s="306"/>
      <c r="N1095" s="306"/>
      <c r="O1095" s="306"/>
      <c r="P1095" s="306"/>
      <c r="Q1095" s="306"/>
      <c r="R1095" s="306"/>
      <c r="S1095" s="306"/>
      <c r="T1095" s="306"/>
      <c r="U1095" s="306"/>
      <c r="V1095" s="305"/>
      <c r="W1095" s="306"/>
      <c r="X1095" s="306"/>
      <c r="Y1095" s="306"/>
      <c r="Z1095" s="307"/>
      <c r="AA1095" s="306"/>
      <c r="AB1095" s="306"/>
      <c r="AC1095" s="306"/>
    </row>
    <row r="1096">
      <c r="A1096" s="306"/>
      <c r="B1096" s="306"/>
      <c r="C1096" s="306"/>
      <c r="D1096" s="305"/>
      <c r="E1096" s="306"/>
      <c r="F1096" s="306"/>
      <c r="G1096" s="306"/>
      <c r="H1096" s="306"/>
      <c r="I1096" s="306"/>
      <c r="J1096" s="306"/>
      <c r="K1096" s="307"/>
      <c r="L1096" s="306"/>
      <c r="M1096" s="306"/>
      <c r="N1096" s="306"/>
      <c r="O1096" s="306"/>
      <c r="P1096" s="306"/>
      <c r="Q1096" s="306"/>
      <c r="R1096" s="306"/>
      <c r="S1096" s="306"/>
      <c r="T1096" s="306"/>
      <c r="U1096" s="306"/>
      <c r="V1096" s="305"/>
      <c r="W1096" s="306"/>
      <c r="X1096" s="306"/>
      <c r="Y1096" s="306"/>
      <c r="Z1096" s="307"/>
      <c r="AA1096" s="306"/>
      <c r="AB1096" s="306"/>
      <c r="AC1096" s="306"/>
    </row>
    <row r="1097">
      <c r="A1097" s="306"/>
      <c r="B1097" s="306"/>
      <c r="C1097" s="306"/>
      <c r="D1097" s="305"/>
      <c r="E1097" s="306"/>
      <c r="F1097" s="306"/>
      <c r="G1097" s="306"/>
      <c r="H1097" s="306"/>
      <c r="I1097" s="306"/>
      <c r="J1097" s="306"/>
      <c r="K1097" s="307"/>
      <c r="L1097" s="306"/>
      <c r="M1097" s="306"/>
      <c r="N1097" s="306"/>
      <c r="O1097" s="306"/>
      <c r="P1097" s="306"/>
      <c r="Q1097" s="306"/>
      <c r="R1097" s="306"/>
      <c r="S1097" s="306"/>
      <c r="T1097" s="306"/>
      <c r="U1097" s="306"/>
      <c r="V1097" s="305"/>
      <c r="W1097" s="306"/>
      <c r="X1097" s="306"/>
      <c r="Y1097" s="306"/>
      <c r="Z1097" s="307"/>
      <c r="AA1097" s="306"/>
      <c r="AB1097" s="306"/>
      <c r="AC1097" s="306"/>
    </row>
    <row r="1098">
      <c r="A1098" s="306"/>
      <c r="B1098" s="306"/>
      <c r="C1098" s="306"/>
      <c r="D1098" s="305"/>
      <c r="E1098" s="306"/>
      <c r="F1098" s="306"/>
      <c r="G1098" s="306"/>
      <c r="H1098" s="306"/>
      <c r="I1098" s="306"/>
      <c r="J1098" s="306"/>
      <c r="K1098" s="307"/>
      <c r="L1098" s="306"/>
      <c r="M1098" s="306"/>
      <c r="N1098" s="306"/>
      <c r="O1098" s="306"/>
      <c r="P1098" s="306"/>
      <c r="Q1098" s="306"/>
      <c r="R1098" s="306"/>
      <c r="S1098" s="306"/>
      <c r="T1098" s="306"/>
      <c r="U1098" s="306"/>
      <c r="V1098" s="305"/>
      <c r="W1098" s="306"/>
      <c r="X1098" s="306"/>
      <c r="Y1098" s="306"/>
      <c r="Z1098" s="307"/>
      <c r="AA1098" s="306"/>
      <c r="AB1098" s="306"/>
      <c r="AC1098" s="306"/>
    </row>
    <row r="1099">
      <c r="A1099" s="306"/>
      <c r="B1099" s="306"/>
      <c r="C1099" s="306"/>
      <c r="D1099" s="305"/>
      <c r="E1099" s="306"/>
      <c r="F1099" s="306"/>
      <c r="G1099" s="306"/>
      <c r="H1099" s="306"/>
      <c r="I1099" s="306"/>
      <c r="J1099" s="306"/>
      <c r="K1099" s="307"/>
      <c r="L1099" s="306"/>
      <c r="M1099" s="306"/>
      <c r="N1099" s="306"/>
      <c r="O1099" s="306"/>
      <c r="P1099" s="306"/>
      <c r="Q1099" s="306"/>
      <c r="R1099" s="306"/>
      <c r="S1099" s="306"/>
      <c r="T1099" s="306"/>
      <c r="U1099" s="306"/>
      <c r="V1099" s="305"/>
      <c r="W1099" s="306"/>
      <c r="X1099" s="306"/>
      <c r="Y1099" s="306"/>
      <c r="Z1099" s="307"/>
      <c r="AA1099" s="306"/>
      <c r="AB1099" s="306"/>
      <c r="AC1099" s="306"/>
    </row>
    <row r="1100">
      <c r="A1100" s="306"/>
      <c r="B1100" s="306"/>
      <c r="C1100" s="306"/>
      <c r="D1100" s="305"/>
      <c r="E1100" s="306"/>
      <c r="F1100" s="306"/>
      <c r="G1100" s="306"/>
      <c r="H1100" s="306"/>
      <c r="I1100" s="306"/>
      <c r="J1100" s="306"/>
      <c r="K1100" s="307"/>
      <c r="L1100" s="306"/>
      <c r="M1100" s="306"/>
      <c r="N1100" s="306"/>
      <c r="O1100" s="306"/>
      <c r="P1100" s="306"/>
      <c r="Q1100" s="306"/>
      <c r="R1100" s="306"/>
      <c r="S1100" s="306"/>
      <c r="T1100" s="306"/>
      <c r="U1100" s="306"/>
      <c r="V1100" s="305"/>
      <c r="W1100" s="306"/>
      <c r="X1100" s="306"/>
      <c r="Y1100" s="306"/>
      <c r="Z1100" s="307"/>
      <c r="AA1100" s="306"/>
      <c r="AB1100" s="306"/>
      <c r="AC1100" s="306"/>
    </row>
    <row r="1101">
      <c r="A1101" s="306"/>
      <c r="B1101" s="306"/>
      <c r="C1101" s="306"/>
      <c r="D1101" s="305"/>
      <c r="E1101" s="306"/>
      <c r="F1101" s="306"/>
      <c r="G1101" s="306"/>
      <c r="H1101" s="306"/>
      <c r="I1101" s="306"/>
      <c r="J1101" s="306"/>
      <c r="K1101" s="307"/>
      <c r="L1101" s="306"/>
      <c r="M1101" s="306"/>
      <c r="N1101" s="306"/>
      <c r="O1101" s="306"/>
      <c r="P1101" s="306"/>
      <c r="Q1101" s="306"/>
      <c r="R1101" s="306"/>
      <c r="S1101" s="306"/>
      <c r="T1101" s="306"/>
      <c r="U1101" s="306"/>
      <c r="V1101" s="305"/>
      <c r="W1101" s="306"/>
      <c r="X1101" s="306"/>
      <c r="Y1101" s="306"/>
      <c r="Z1101" s="307"/>
      <c r="AA1101" s="306"/>
      <c r="AB1101" s="306"/>
      <c r="AC1101" s="306"/>
    </row>
    <row r="1102">
      <c r="A1102" s="306"/>
      <c r="B1102" s="306"/>
      <c r="C1102" s="306"/>
      <c r="D1102" s="305"/>
      <c r="E1102" s="306"/>
      <c r="F1102" s="306"/>
      <c r="G1102" s="306"/>
      <c r="H1102" s="306"/>
      <c r="I1102" s="306"/>
      <c r="J1102" s="306"/>
      <c r="K1102" s="307"/>
      <c r="L1102" s="306"/>
      <c r="M1102" s="306"/>
      <c r="N1102" s="306"/>
      <c r="O1102" s="306"/>
      <c r="P1102" s="306"/>
      <c r="Q1102" s="306"/>
      <c r="R1102" s="306"/>
      <c r="S1102" s="306"/>
      <c r="T1102" s="306"/>
      <c r="U1102" s="306"/>
      <c r="V1102" s="305"/>
      <c r="W1102" s="306"/>
      <c r="X1102" s="306"/>
      <c r="Y1102" s="306"/>
      <c r="Z1102" s="307"/>
      <c r="AA1102" s="306"/>
      <c r="AB1102" s="306"/>
      <c r="AC1102" s="306"/>
    </row>
    <row r="1103">
      <c r="A1103" s="306"/>
      <c r="B1103" s="306"/>
      <c r="C1103" s="306"/>
      <c r="D1103" s="305"/>
      <c r="E1103" s="306"/>
      <c r="F1103" s="306"/>
      <c r="G1103" s="306"/>
      <c r="H1103" s="306"/>
      <c r="I1103" s="306"/>
      <c r="J1103" s="306"/>
      <c r="K1103" s="307"/>
      <c r="L1103" s="306"/>
      <c r="M1103" s="306"/>
      <c r="N1103" s="306"/>
      <c r="O1103" s="306"/>
      <c r="P1103" s="306"/>
      <c r="Q1103" s="306"/>
      <c r="R1103" s="306"/>
      <c r="S1103" s="306"/>
      <c r="T1103" s="306"/>
      <c r="U1103" s="306"/>
      <c r="V1103" s="305"/>
      <c r="W1103" s="306"/>
      <c r="X1103" s="306"/>
      <c r="Y1103" s="306"/>
      <c r="Z1103" s="307"/>
      <c r="AA1103" s="306"/>
      <c r="AB1103" s="306"/>
      <c r="AC1103" s="306"/>
    </row>
    <row r="1104">
      <c r="A1104" s="306"/>
      <c r="B1104" s="306"/>
      <c r="C1104" s="306"/>
      <c r="D1104" s="305"/>
      <c r="E1104" s="306"/>
      <c r="F1104" s="306"/>
      <c r="G1104" s="306"/>
      <c r="H1104" s="306"/>
      <c r="I1104" s="306"/>
      <c r="J1104" s="306"/>
      <c r="K1104" s="307"/>
      <c r="L1104" s="306"/>
      <c r="M1104" s="306"/>
      <c r="N1104" s="306"/>
      <c r="O1104" s="306"/>
      <c r="P1104" s="306"/>
      <c r="Q1104" s="306"/>
      <c r="R1104" s="306"/>
      <c r="S1104" s="306"/>
      <c r="T1104" s="306"/>
      <c r="U1104" s="306"/>
      <c r="V1104" s="305"/>
      <c r="W1104" s="306"/>
      <c r="X1104" s="306"/>
      <c r="Y1104" s="306"/>
      <c r="Z1104" s="307"/>
      <c r="AA1104" s="306"/>
      <c r="AB1104" s="306"/>
      <c r="AC1104" s="306"/>
    </row>
    <row r="1105">
      <c r="A1105" s="306"/>
      <c r="B1105" s="306"/>
      <c r="C1105" s="306"/>
      <c r="D1105" s="305"/>
      <c r="E1105" s="306"/>
      <c r="F1105" s="306"/>
      <c r="G1105" s="306"/>
      <c r="H1105" s="306"/>
      <c r="I1105" s="306"/>
      <c r="J1105" s="306"/>
      <c r="K1105" s="307"/>
      <c r="L1105" s="306"/>
      <c r="M1105" s="306"/>
      <c r="N1105" s="306"/>
      <c r="O1105" s="306"/>
      <c r="P1105" s="306"/>
      <c r="Q1105" s="306"/>
      <c r="R1105" s="306"/>
      <c r="S1105" s="306"/>
      <c r="T1105" s="306"/>
      <c r="U1105" s="306"/>
      <c r="V1105" s="305"/>
      <c r="W1105" s="306"/>
      <c r="X1105" s="306"/>
      <c r="Y1105" s="306"/>
      <c r="Z1105" s="307"/>
      <c r="AA1105" s="306"/>
      <c r="AB1105" s="306"/>
      <c r="AC1105" s="306"/>
    </row>
    <row r="1106">
      <c r="A1106" s="306"/>
      <c r="B1106" s="306"/>
      <c r="C1106" s="306"/>
      <c r="D1106" s="305"/>
      <c r="E1106" s="306"/>
      <c r="F1106" s="306"/>
      <c r="G1106" s="306"/>
      <c r="H1106" s="306"/>
      <c r="I1106" s="306"/>
      <c r="J1106" s="306"/>
      <c r="K1106" s="307"/>
      <c r="L1106" s="306"/>
      <c r="M1106" s="306"/>
      <c r="N1106" s="306"/>
      <c r="O1106" s="306"/>
      <c r="P1106" s="306"/>
      <c r="Q1106" s="306"/>
      <c r="R1106" s="306"/>
      <c r="S1106" s="306"/>
      <c r="T1106" s="306"/>
      <c r="U1106" s="306"/>
      <c r="V1106" s="305"/>
      <c r="W1106" s="306"/>
      <c r="X1106" s="306"/>
      <c r="Y1106" s="306"/>
      <c r="Z1106" s="307"/>
      <c r="AA1106" s="306"/>
      <c r="AB1106" s="306"/>
      <c r="AC1106" s="306"/>
    </row>
    <row r="1107">
      <c r="A1107" s="306"/>
      <c r="B1107" s="306"/>
      <c r="C1107" s="306"/>
      <c r="D1107" s="305"/>
      <c r="E1107" s="306"/>
      <c r="F1107" s="306"/>
      <c r="G1107" s="306"/>
      <c r="H1107" s="306"/>
      <c r="I1107" s="306"/>
      <c r="J1107" s="306"/>
      <c r="K1107" s="307"/>
      <c r="L1107" s="306"/>
      <c r="M1107" s="306"/>
      <c r="N1107" s="306"/>
      <c r="O1107" s="306"/>
      <c r="P1107" s="306"/>
      <c r="Q1107" s="306"/>
      <c r="R1107" s="306"/>
      <c r="S1107" s="306"/>
      <c r="T1107" s="306"/>
      <c r="U1107" s="306"/>
      <c r="V1107" s="305"/>
      <c r="W1107" s="306"/>
      <c r="X1107" s="306"/>
      <c r="Y1107" s="306"/>
      <c r="Z1107" s="307"/>
      <c r="AA1107" s="306"/>
      <c r="AB1107" s="306"/>
      <c r="AC1107" s="306"/>
    </row>
    <row r="1108">
      <c r="A1108" s="306"/>
      <c r="B1108" s="306"/>
      <c r="C1108" s="306"/>
      <c r="D1108" s="305"/>
      <c r="E1108" s="306"/>
      <c r="F1108" s="306"/>
      <c r="G1108" s="306"/>
      <c r="H1108" s="306"/>
      <c r="I1108" s="306"/>
      <c r="J1108" s="306"/>
      <c r="K1108" s="307"/>
      <c r="L1108" s="306"/>
      <c r="M1108" s="306"/>
      <c r="N1108" s="306"/>
      <c r="O1108" s="306"/>
      <c r="P1108" s="306"/>
      <c r="Q1108" s="306"/>
      <c r="R1108" s="306"/>
      <c r="S1108" s="306"/>
      <c r="T1108" s="306"/>
      <c r="U1108" s="306"/>
      <c r="V1108" s="305"/>
      <c r="W1108" s="306"/>
      <c r="X1108" s="306"/>
      <c r="Y1108" s="306"/>
      <c r="Z1108" s="307"/>
      <c r="AA1108" s="306"/>
      <c r="AB1108" s="306"/>
      <c r="AC1108" s="306"/>
    </row>
    <row r="1109">
      <c r="A1109" s="306"/>
      <c r="B1109" s="306"/>
      <c r="C1109" s="306"/>
      <c r="D1109" s="305"/>
      <c r="E1109" s="306"/>
      <c r="F1109" s="306"/>
      <c r="G1109" s="306"/>
      <c r="H1109" s="306"/>
      <c r="I1109" s="306"/>
      <c r="J1109" s="306"/>
      <c r="K1109" s="307"/>
      <c r="L1109" s="306"/>
      <c r="M1109" s="306"/>
      <c r="N1109" s="306"/>
      <c r="O1109" s="306"/>
      <c r="P1109" s="306"/>
      <c r="Q1109" s="306"/>
      <c r="R1109" s="306"/>
      <c r="S1109" s="306"/>
      <c r="T1109" s="306"/>
      <c r="U1109" s="306"/>
      <c r="V1109" s="305"/>
      <c r="W1109" s="306"/>
      <c r="X1109" s="306"/>
      <c r="Y1109" s="306"/>
      <c r="Z1109" s="307"/>
      <c r="AA1109" s="306"/>
      <c r="AB1109" s="306"/>
      <c r="AC1109" s="306"/>
    </row>
    <row r="1110">
      <c r="A1110" s="306"/>
      <c r="B1110" s="306"/>
      <c r="C1110" s="306"/>
      <c r="D1110" s="305"/>
      <c r="E1110" s="306"/>
      <c r="F1110" s="306"/>
      <c r="G1110" s="306"/>
      <c r="H1110" s="306"/>
      <c r="I1110" s="306"/>
      <c r="J1110" s="306"/>
      <c r="K1110" s="307"/>
      <c r="L1110" s="306"/>
      <c r="M1110" s="306"/>
      <c r="N1110" s="306"/>
      <c r="O1110" s="306"/>
      <c r="P1110" s="306"/>
      <c r="Q1110" s="306"/>
      <c r="R1110" s="306"/>
      <c r="S1110" s="306"/>
      <c r="T1110" s="306"/>
      <c r="U1110" s="306"/>
      <c r="V1110" s="305"/>
      <c r="W1110" s="306"/>
      <c r="X1110" s="306"/>
      <c r="Y1110" s="306"/>
      <c r="Z1110" s="307"/>
      <c r="AA1110" s="306"/>
      <c r="AB1110" s="306"/>
      <c r="AC1110" s="306"/>
    </row>
    <row r="1111">
      <c r="A1111" s="306"/>
      <c r="B1111" s="306"/>
      <c r="C1111" s="306"/>
      <c r="D1111" s="305"/>
      <c r="E1111" s="306"/>
      <c r="F1111" s="306"/>
      <c r="G1111" s="306"/>
      <c r="H1111" s="306"/>
      <c r="I1111" s="306"/>
      <c r="J1111" s="306"/>
      <c r="K1111" s="307"/>
      <c r="L1111" s="306"/>
      <c r="M1111" s="306"/>
      <c r="N1111" s="306"/>
      <c r="O1111" s="306"/>
      <c r="P1111" s="306"/>
      <c r="Q1111" s="306"/>
      <c r="R1111" s="306"/>
      <c r="S1111" s="306"/>
      <c r="T1111" s="306"/>
      <c r="U1111" s="306"/>
      <c r="V1111" s="305"/>
      <c r="W1111" s="306"/>
      <c r="X1111" s="306"/>
      <c r="Y1111" s="306"/>
      <c r="Z1111" s="307"/>
      <c r="AA1111" s="306"/>
      <c r="AB1111" s="306"/>
      <c r="AC1111" s="306"/>
    </row>
    <row r="1112">
      <c r="A1112" s="306"/>
      <c r="B1112" s="306"/>
      <c r="C1112" s="306"/>
      <c r="D1112" s="305"/>
      <c r="E1112" s="306"/>
      <c r="F1112" s="306"/>
      <c r="G1112" s="306"/>
      <c r="H1112" s="306"/>
      <c r="I1112" s="306"/>
      <c r="J1112" s="306"/>
      <c r="K1112" s="307"/>
      <c r="L1112" s="306"/>
      <c r="M1112" s="306"/>
      <c r="N1112" s="306"/>
      <c r="O1112" s="306"/>
      <c r="P1112" s="306"/>
      <c r="Q1112" s="306"/>
      <c r="R1112" s="306"/>
      <c r="S1112" s="306"/>
      <c r="T1112" s="306"/>
      <c r="U1112" s="306"/>
      <c r="V1112" s="305"/>
      <c r="W1112" s="306"/>
      <c r="X1112" s="306"/>
      <c r="Y1112" s="306"/>
      <c r="Z1112" s="307"/>
      <c r="AA1112" s="306"/>
      <c r="AB1112" s="306"/>
      <c r="AC1112" s="306"/>
    </row>
    <row r="1113">
      <c r="A1113" s="306"/>
      <c r="B1113" s="306"/>
      <c r="C1113" s="306"/>
      <c r="D1113" s="305"/>
      <c r="E1113" s="306"/>
      <c r="F1113" s="306"/>
      <c r="G1113" s="306"/>
      <c r="H1113" s="306"/>
      <c r="I1113" s="306"/>
      <c r="J1113" s="306"/>
      <c r="K1113" s="307"/>
      <c r="L1113" s="306"/>
      <c r="M1113" s="306"/>
      <c r="N1113" s="306"/>
      <c r="O1113" s="306"/>
      <c r="P1113" s="306"/>
      <c r="Q1113" s="306"/>
      <c r="R1113" s="306"/>
      <c r="S1113" s="306"/>
      <c r="T1113" s="306"/>
      <c r="U1113" s="306"/>
      <c r="V1113" s="305"/>
      <c r="W1113" s="306"/>
      <c r="X1113" s="306"/>
      <c r="Y1113" s="306"/>
      <c r="Z1113" s="307"/>
      <c r="AA1113" s="306"/>
      <c r="AB1113" s="306"/>
      <c r="AC1113" s="306"/>
    </row>
    <row r="1114">
      <c r="A1114" s="306"/>
      <c r="B1114" s="306"/>
      <c r="C1114" s="306"/>
      <c r="D1114" s="305"/>
      <c r="E1114" s="306"/>
      <c r="F1114" s="306"/>
      <c r="G1114" s="306"/>
      <c r="H1114" s="306"/>
      <c r="I1114" s="306"/>
      <c r="J1114" s="306"/>
      <c r="K1114" s="307"/>
      <c r="L1114" s="306"/>
      <c r="M1114" s="306"/>
      <c r="N1114" s="306"/>
      <c r="O1114" s="306"/>
      <c r="P1114" s="306"/>
      <c r="Q1114" s="306"/>
      <c r="R1114" s="306"/>
      <c r="S1114" s="306"/>
      <c r="T1114" s="306"/>
      <c r="U1114" s="306"/>
      <c r="V1114" s="305"/>
      <c r="W1114" s="306"/>
      <c r="X1114" s="306"/>
      <c r="Y1114" s="306"/>
      <c r="Z1114" s="307"/>
      <c r="AA1114" s="306"/>
      <c r="AB1114" s="306"/>
      <c r="AC1114" s="306"/>
    </row>
    <row r="1115">
      <c r="A1115" s="306"/>
      <c r="B1115" s="306"/>
      <c r="C1115" s="306"/>
      <c r="D1115" s="305"/>
      <c r="E1115" s="306"/>
      <c r="F1115" s="306"/>
      <c r="G1115" s="306"/>
      <c r="H1115" s="306"/>
      <c r="I1115" s="306"/>
      <c r="J1115" s="306"/>
      <c r="K1115" s="307"/>
      <c r="L1115" s="306"/>
      <c r="M1115" s="306"/>
      <c r="N1115" s="306"/>
      <c r="O1115" s="306"/>
      <c r="P1115" s="306"/>
      <c r="Q1115" s="306"/>
      <c r="R1115" s="306"/>
      <c r="S1115" s="306"/>
      <c r="T1115" s="306"/>
      <c r="U1115" s="306"/>
      <c r="V1115" s="305"/>
      <c r="W1115" s="306"/>
      <c r="X1115" s="306"/>
      <c r="Y1115" s="306"/>
      <c r="Z1115" s="307"/>
      <c r="AA1115" s="306"/>
      <c r="AB1115" s="306"/>
      <c r="AC1115" s="306"/>
    </row>
    <row r="1116">
      <c r="A1116" s="306"/>
      <c r="B1116" s="306"/>
      <c r="C1116" s="306"/>
      <c r="D1116" s="305"/>
      <c r="E1116" s="306"/>
      <c r="F1116" s="306"/>
      <c r="G1116" s="306"/>
      <c r="H1116" s="306"/>
      <c r="I1116" s="306"/>
      <c r="J1116" s="306"/>
      <c r="K1116" s="307"/>
      <c r="L1116" s="306"/>
      <c r="M1116" s="306"/>
      <c r="N1116" s="306"/>
      <c r="O1116" s="306"/>
      <c r="P1116" s="306"/>
      <c r="Q1116" s="306"/>
      <c r="R1116" s="306"/>
      <c r="S1116" s="306"/>
      <c r="T1116" s="306"/>
      <c r="U1116" s="306"/>
      <c r="V1116" s="305"/>
      <c r="W1116" s="306"/>
      <c r="X1116" s="306"/>
      <c r="Y1116" s="306"/>
      <c r="Z1116" s="307"/>
      <c r="AA1116" s="306"/>
      <c r="AB1116" s="306"/>
      <c r="AC1116" s="306"/>
    </row>
    <row r="1117">
      <c r="A1117" s="306"/>
      <c r="B1117" s="306"/>
      <c r="C1117" s="306"/>
      <c r="D1117" s="305"/>
      <c r="E1117" s="306"/>
      <c r="F1117" s="306"/>
      <c r="G1117" s="306"/>
      <c r="H1117" s="306"/>
      <c r="I1117" s="306"/>
      <c r="J1117" s="306"/>
      <c r="K1117" s="307"/>
      <c r="L1117" s="306"/>
      <c r="M1117" s="306"/>
      <c r="N1117" s="306"/>
      <c r="O1117" s="306"/>
      <c r="P1117" s="306"/>
      <c r="Q1117" s="306"/>
      <c r="R1117" s="306"/>
      <c r="S1117" s="306"/>
      <c r="T1117" s="306"/>
      <c r="U1117" s="306"/>
      <c r="V1117" s="305"/>
      <c r="W1117" s="306"/>
      <c r="X1117" s="306"/>
      <c r="Y1117" s="306"/>
      <c r="Z1117" s="307"/>
      <c r="AA1117" s="306"/>
      <c r="AB1117" s="306"/>
      <c r="AC1117" s="306"/>
    </row>
    <row r="1118">
      <c r="A1118" s="306"/>
      <c r="B1118" s="306"/>
      <c r="C1118" s="306"/>
      <c r="D1118" s="305"/>
      <c r="E1118" s="306"/>
      <c r="F1118" s="306"/>
      <c r="G1118" s="306"/>
      <c r="H1118" s="306"/>
      <c r="I1118" s="306"/>
      <c r="J1118" s="306"/>
      <c r="K1118" s="307"/>
      <c r="L1118" s="306"/>
      <c r="M1118" s="306"/>
      <c r="N1118" s="306"/>
      <c r="O1118" s="306"/>
      <c r="P1118" s="306"/>
      <c r="Q1118" s="306"/>
      <c r="R1118" s="306"/>
      <c r="S1118" s="306"/>
      <c r="T1118" s="306"/>
      <c r="U1118" s="306"/>
      <c r="V1118" s="305"/>
      <c r="W1118" s="306"/>
      <c r="X1118" s="306"/>
      <c r="Y1118" s="306"/>
      <c r="Z1118" s="307"/>
      <c r="AA1118" s="306"/>
      <c r="AB1118" s="306"/>
      <c r="AC1118" s="306"/>
    </row>
    <row r="1119">
      <c r="A1119" s="306"/>
      <c r="B1119" s="306"/>
      <c r="C1119" s="306"/>
      <c r="D1119" s="305"/>
      <c r="E1119" s="306"/>
      <c r="F1119" s="306"/>
      <c r="G1119" s="306"/>
      <c r="H1119" s="306"/>
      <c r="I1119" s="306"/>
      <c r="J1119" s="306"/>
      <c r="K1119" s="307"/>
      <c r="L1119" s="306"/>
      <c r="M1119" s="306"/>
      <c r="N1119" s="306"/>
      <c r="O1119" s="306"/>
      <c r="P1119" s="306"/>
      <c r="Q1119" s="306"/>
      <c r="R1119" s="306"/>
      <c r="S1119" s="306"/>
      <c r="T1119" s="306"/>
      <c r="U1119" s="306"/>
      <c r="V1119" s="305"/>
      <c r="W1119" s="306"/>
      <c r="X1119" s="306"/>
      <c r="Y1119" s="306"/>
      <c r="Z1119" s="307"/>
      <c r="AA1119" s="306"/>
      <c r="AB1119" s="306"/>
      <c r="AC1119" s="306"/>
    </row>
    <row r="1120">
      <c r="A1120" s="306"/>
      <c r="B1120" s="306"/>
      <c r="C1120" s="306"/>
      <c r="D1120" s="305"/>
      <c r="E1120" s="306"/>
      <c r="F1120" s="306"/>
      <c r="G1120" s="306"/>
      <c r="H1120" s="306"/>
      <c r="I1120" s="306"/>
      <c r="J1120" s="306"/>
      <c r="K1120" s="307"/>
      <c r="L1120" s="306"/>
      <c r="M1120" s="306"/>
      <c r="N1120" s="306"/>
      <c r="O1120" s="306"/>
      <c r="P1120" s="306"/>
      <c r="Q1120" s="306"/>
      <c r="R1120" s="306"/>
      <c r="S1120" s="306"/>
      <c r="T1120" s="306"/>
      <c r="U1120" s="306"/>
      <c r="V1120" s="305"/>
      <c r="W1120" s="306"/>
      <c r="X1120" s="306"/>
      <c r="Y1120" s="306"/>
      <c r="Z1120" s="307"/>
      <c r="AA1120" s="306"/>
      <c r="AB1120" s="306"/>
      <c r="AC1120" s="306"/>
    </row>
    <row r="1121">
      <c r="A1121" s="306"/>
      <c r="B1121" s="306"/>
      <c r="C1121" s="306"/>
      <c r="D1121" s="305"/>
      <c r="E1121" s="306"/>
      <c r="F1121" s="306"/>
      <c r="G1121" s="306"/>
      <c r="H1121" s="306"/>
      <c r="I1121" s="306"/>
      <c r="J1121" s="306"/>
      <c r="K1121" s="307"/>
      <c r="L1121" s="306"/>
      <c r="M1121" s="306"/>
      <c r="N1121" s="306"/>
      <c r="O1121" s="306"/>
      <c r="P1121" s="306"/>
      <c r="Q1121" s="306"/>
      <c r="R1121" s="306"/>
      <c r="S1121" s="306"/>
      <c r="T1121" s="306"/>
      <c r="U1121" s="306"/>
      <c r="V1121" s="305"/>
      <c r="W1121" s="306"/>
      <c r="X1121" s="306"/>
      <c r="Y1121" s="306"/>
      <c r="Z1121" s="307"/>
      <c r="AA1121" s="306"/>
      <c r="AB1121" s="306"/>
      <c r="AC1121" s="306"/>
    </row>
    <row r="1122">
      <c r="A1122" s="306"/>
      <c r="B1122" s="306"/>
      <c r="C1122" s="306"/>
      <c r="D1122" s="305"/>
      <c r="E1122" s="306"/>
      <c r="F1122" s="306"/>
      <c r="G1122" s="306"/>
      <c r="H1122" s="306"/>
      <c r="I1122" s="306"/>
      <c r="J1122" s="306"/>
      <c r="K1122" s="307"/>
      <c r="L1122" s="306"/>
      <c r="M1122" s="306"/>
      <c r="N1122" s="306"/>
      <c r="O1122" s="306"/>
      <c r="P1122" s="306"/>
      <c r="Q1122" s="306"/>
      <c r="R1122" s="306"/>
      <c r="S1122" s="306"/>
      <c r="T1122" s="306"/>
      <c r="U1122" s="306"/>
      <c r="V1122" s="305"/>
      <c r="W1122" s="306"/>
      <c r="X1122" s="306"/>
      <c r="Y1122" s="306"/>
      <c r="Z1122" s="307"/>
      <c r="AA1122" s="306"/>
      <c r="AB1122" s="306"/>
      <c r="AC1122" s="306"/>
    </row>
    <row r="1123">
      <c r="A1123" s="306"/>
      <c r="B1123" s="306"/>
      <c r="C1123" s="306"/>
      <c r="D1123" s="305"/>
      <c r="E1123" s="306"/>
      <c r="F1123" s="306"/>
      <c r="G1123" s="306"/>
      <c r="H1123" s="306"/>
      <c r="I1123" s="306"/>
      <c r="J1123" s="306"/>
      <c r="K1123" s="307"/>
      <c r="L1123" s="306"/>
      <c r="M1123" s="306"/>
      <c r="N1123" s="306"/>
      <c r="O1123" s="306"/>
      <c r="P1123" s="306"/>
      <c r="Q1123" s="306"/>
      <c r="R1123" s="306"/>
      <c r="S1123" s="306"/>
      <c r="T1123" s="306"/>
      <c r="U1123" s="306"/>
      <c r="V1123" s="305"/>
      <c r="W1123" s="306"/>
      <c r="X1123" s="306"/>
      <c r="Y1123" s="306"/>
      <c r="Z1123" s="307"/>
      <c r="AA1123" s="306"/>
      <c r="AB1123" s="306"/>
      <c r="AC1123" s="306"/>
    </row>
    <row r="1124">
      <c r="A1124" s="306"/>
      <c r="B1124" s="306"/>
      <c r="C1124" s="306"/>
      <c r="D1124" s="305"/>
      <c r="E1124" s="306"/>
      <c r="F1124" s="306"/>
      <c r="G1124" s="306"/>
      <c r="H1124" s="306"/>
      <c r="I1124" s="306"/>
      <c r="J1124" s="306"/>
      <c r="K1124" s="307"/>
      <c r="L1124" s="306"/>
      <c r="M1124" s="306"/>
      <c r="N1124" s="306"/>
      <c r="O1124" s="306"/>
      <c r="P1124" s="306"/>
      <c r="Q1124" s="306"/>
      <c r="R1124" s="306"/>
      <c r="S1124" s="306"/>
      <c r="T1124" s="306"/>
      <c r="U1124" s="306"/>
      <c r="V1124" s="305"/>
      <c r="W1124" s="306"/>
      <c r="X1124" s="306"/>
      <c r="Y1124" s="306"/>
      <c r="Z1124" s="307"/>
      <c r="AA1124" s="306"/>
      <c r="AB1124" s="306"/>
      <c r="AC1124" s="306"/>
    </row>
    <row r="1125">
      <c r="A1125" s="306"/>
      <c r="B1125" s="306"/>
      <c r="C1125" s="306"/>
      <c r="D1125" s="305"/>
      <c r="E1125" s="306"/>
      <c r="F1125" s="306"/>
      <c r="G1125" s="306"/>
      <c r="H1125" s="306"/>
      <c r="I1125" s="306"/>
      <c r="J1125" s="306"/>
      <c r="K1125" s="307"/>
      <c r="L1125" s="306"/>
      <c r="M1125" s="306"/>
      <c r="N1125" s="306"/>
      <c r="O1125" s="306"/>
      <c r="P1125" s="306"/>
      <c r="Q1125" s="306"/>
      <c r="R1125" s="306"/>
      <c r="S1125" s="306"/>
      <c r="T1125" s="306"/>
      <c r="U1125" s="306"/>
      <c r="V1125" s="305"/>
      <c r="W1125" s="306"/>
      <c r="X1125" s="306"/>
      <c r="Y1125" s="306"/>
      <c r="Z1125" s="307"/>
      <c r="AA1125" s="306"/>
      <c r="AB1125" s="306"/>
      <c r="AC1125" s="306"/>
    </row>
    <row r="1126">
      <c r="A1126" s="306"/>
      <c r="B1126" s="306"/>
      <c r="C1126" s="306"/>
      <c r="D1126" s="305"/>
      <c r="E1126" s="306"/>
      <c r="F1126" s="306"/>
      <c r="G1126" s="306"/>
      <c r="H1126" s="306"/>
      <c r="I1126" s="306"/>
      <c r="J1126" s="306"/>
      <c r="K1126" s="307"/>
      <c r="L1126" s="306"/>
      <c r="M1126" s="306"/>
      <c r="N1126" s="306"/>
      <c r="O1126" s="306"/>
      <c r="P1126" s="306"/>
      <c r="Q1126" s="306"/>
      <c r="R1126" s="306"/>
      <c r="S1126" s="306"/>
      <c r="T1126" s="306"/>
      <c r="U1126" s="306"/>
      <c r="V1126" s="305"/>
      <c r="W1126" s="306"/>
      <c r="X1126" s="306"/>
      <c r="Y1126" s="306"/>
      <c r="Z1126" s="307"/>
      <c r="AA1126" s="306"/>
      <c r="AB1126" s="306"/>
      <c r="AC1126" s="306"/>
    </row>
    <row r="1127">
      <c r="A1127" s="306"/>
      <c r="B1127" s="306"/>
      <c r="C1127" s="306"/>
      <c r="D1127" s="305"/>
      <c r="E1127" s="306"/>
      <c r="F1127" s="306"/>
      <c r="G1127" s="306"/>
      <c r="H1127" s="306"/>
      <c r="I1127" s="306"/>
      <c r="J1127" s="306"/>
      <c r="K1127" s="307"/>
      <c r="L1127" s="306"/>
      <c r="M1127" s="306"/>
      <c r="N1127" s="306"/>
      <c r="O1127" s="306"/>
      <c r="P1127" s="306"/>
      <c r="Q1127" s="306"/>
      <c r="R1127" s="306"/>
      <c r="S1127" s="306"/>
      <c r="T1127" s="306"/>
      <c r="U1127" s="306"/>
      <c r="V1127" s="305"/>
      <c r="W1127" s="306"/>
      <c r="X1127" s="306"/>
      <c r="Y1127" s="306"/>
      <c r="Z1127" s="307"/>
      <c r="AA1127" s="306"/>
      <c r="AB1127" s="306"/>
      <c r="AC1127" s="306"/>
    </row>
    <row r="1128">
      <c r="A1128" s="306"/>
      <c r="B1128" s="306"/>
      <c r="C1128" s="306"/>
      <c r="D1128" s="305"/>
      <c r="E1128" s="306"/>
      <c r="F1128" s="306"/>
      <c r="G1128" s="306"/>
      <c r="H1128" s="306"/>
      <c r="I1128" s="306"/>
      <c r="J1128" s="306"/>
      <c r="K1128" s="307"/>
      <c r="L1128" s="306"/>
      <c r="M1128" s="306"/>
      <c r="N1128" s="306"/>
      <c r="O1128" s="306"/>
      <c r="P1128" s="306"/>
      <c r="Q1128" s="306"/>
      <c r="R1128" s="306"/>
      <c r="S1128" s="306"/>
      <c r="T1128" s="306"/>
      <c r="U1128" s="306"/>
      <c r="V1128" s="305"/>
      <c r="W1128" s="306"/>
      <c r="X1128" s="306"/>
      <c r="Y1128" s="306"/>
      <c r="Z1128" s="307"/>
      <c r="AA1128" s="306"/>
      <c r="AB1128" s="306"/>
      <c r="AC1128" s="306"/>
    </row>
    <row r="1129">
      <c r="A1129" s="306"/>
      <c r="B1129" s="306"/>
      <c r="C1129" s="306"/>
      <c r="D1129" s="305"/>
      <c r="E1129" s="306"/>
      <c r="F1129" s="306"/>
      <c r="G1129" s="306"/>
      <c r="H1129" s="306"/>
      <c r="I1129" s="306"/>
      <c r="J1129" s="306"/>
      <c r="K1129" s="307"/>
      <c r="L1129" s="306"/>
      <c r="M1129" s="306"/>
      <c r="N1129" s="306"/>
      <c r="O1129" s="306"/>
      <c r="P1129" s="306"/>
      <c r="Q1129" s="306"/>
      <c r="R1129" s="306"/>
      <c r="S1129" s="306"/>
      <c r="T1129" s="306"/>
      <c r="U1129" s="306"/>
      <c r="V1129" s="305"/>
      <c r="W1129" s="306"/>
      <c r="X1129" s="306"/>
      <c r="Y1129" s="306"/>
      <c r="Z1129" s="307"/>
      <c r="AA1129" s="306"/>
      <c r="AB1129" s="306"/>
      <c r="AC1129" s="306"/>
    </row>
    <row r="1130">
      <c r="A1130" s="306"/>
      <c r="B1130" s="306"/>
      <c r="C1130" s="306"/>
      <c r="D1130" s="305"/>
      <c r="E1130" s="306"/>
      <c r="F1130" s="306"/>
      <c r="G1130" s="306"/>
      <c r="H1130" s="306"/>
      <c r="I1130" s="306"/>
      <c r="J1130" s="306"/>
      <c r="K1130" s="307"/>
      <c r="L1130" s="306"/>
      <c r="M1130" s="306"/>
      <c r="N1130" s="306"/>
      <c r="O1130" s="306"/>
      <c r="P1130" s="306"/>
      <c r="Q1130" s="306"/>
      <c r="R1130" s="306"/>
      <c r="S1130" s="306"/>
      <c r="T1130" s="306"/>
      <c r="U1130" s="306"/>
      <c r="V1130" s="305"/>
      <c r="W1130" s="306"/>
      <c r="X1130" s="306"/>
      <c r="Y1130" s="306"/>
      <c r="Z1130" s="307"/>
      <c r="AA1130" s="306"/>
      <c r="AB1130" s="306"/>
      <c r="AC1130" s="306"/>
    </row>
    <row r="1131">
      <c r="A1131" s="306"/>
      <c r="B1131" s="306"/>
      <c r="C1131" s="306"/>
      <c r="D1131" s="305"/>
      <c r="E1131" s="306"/>
      <c r="F1131" s="306"/>
      <c r="G1131" s="306"/>
      <c r="H1131" s="306"/>
      <c r="I1131" s="306"/>
      <c r="J1131" s="306"/>
      <c r="K1131" s="307"/>
      <c r="L1131" s="306"/>
      <c r="M1131" s="306"/>
      <c r="N1131" s="306"/>
      <c r="O1131" s="306"/>
      <c r="P1131" s="306"/>
      <c r="Q1131" s="306"/>
      <c r="R1131" s="306"/>
      <c r="S1131" s="306"/>
      <c r="T1131" s="306"/>
      <c r="U1131" s="306"/>
      <c r="V1131" s="305"/>
      <c r="W1131" s="306"/>
      <c r="X1131" s="306"/>
      <c r="Y1131" s="306"/>
      <c r="Z1131" s="307"/>
      <c r="AA1131" s="306"/>
      <c r="AB1131" s="306"/>
      <c r="AC1131" s="306"/>
    </row>
    <row r="1132">
      <c r="A1132" s="306"/>
      <c r="B1132" s="306"/>
      <c r="C1132" s="306"/>
      <c r="D1132" s="305"/>
      <c r="E1132" s="306"/>
      <c r="F1132" s="306"/>
      <c r="G1132" s="306"/>
      <c r="H1132" s="306"/>
      <c r="I1132" s="306"/>
      <c r="J1132" s="306"/>
      <c r="K1132" s="307"/>
      <c r="L1132" s="306"/>
      <c r="M1132" s="306"/>
      <c r="N1132" s="306"/>
      <c r="O1132" s="306"/>
      <c r="P1132" s="306"/>
      <c r="Q1132" s="306"/>
      <c r="R1132" s="306"/>
      <c r="S1132" s="306"/>
      <c r="T1132" s="306"/>
      <c r="U1132" s="306"/>
      <c r="V1132" s="305"/>
      <c r="W1132" s="306"/>
      <c r="X1132" s="306"/>
      <c r="Y1132" s="306"/>
      <c r="Z1132" s="307"/>
      <c r="AA1132" s="306"/>
      <c r="AB1132" s="306"/>
      <c r="AC1132" s="306"/>
    </row>
    <row r="1133">
      <c r="A1133" s="306"/>
      <c r="B1133" s="306"/>
      <c r="C1133" s="306"/>
      <c r="D1133" s="305"/>
      <c r="E1133" s="306"/>
      <c r="F1133" s="306"/>
      <c r="G1133" s="306"/>
      <c r="H1133" s="306"/>
      <c r="I1133" s="306"/>
      <c r="J1133" s="306"/>
      <c r="K1133" s="307"/>
      <c r="L1133" s="306"/>
      <c r="M1133" s="306"/>
      <c r="N1133" s="306"/>
      <c r="O1133" s="306"/>
      <c r="P1133" s="306"/>
      <c r="Q1133" s="306"/>
      <c r="R1133" s="306"/>
      <c r="S1133" s="306"/>
      <c r="T1133" s="306"/>
      <c r="U1133" s="306"/>
      <c r="V1133" s="305"/>
      <c r="W1133" s="306"/>
      <c r="X1133" s="306"/>
      <c r="Y1133" s="306"/>
      <c r="Z1133" s="307"/>
      <c r="AA1133" s="306"/>
      <c r="AB1133" s="306"/>
      <c r="AC1133" s="306"/>
    </row>
    <row r="1134">
      <c r="A1134" s="306"/>
      <c r="B1134" s="306"/>
      <c r="C1134" s="306"/>
      <c r="D1134" s="305"/>
      <c r="E1134" s="306"/>
      <c r="F1134" s="306"/>
      <c r="G1134" s="306"/>
      <c r="H1134" s="306"/>
      <c r="I1134" s="306"/>
      <c r="J1134" s="306"/>
      <c r="K1134" s="307"/>
      <c r="L1134" s="306"/>
      <c r="M1134" s="306"/>
      <c r="N1134" s="306"/>
      <c r="O1134" s="306"/>
      <c r="P1134" s="306"/>
      <c r="Q1134" s="306"/>
      <c r="R1134" s="306"/>
      <c r="S1134" s="306"/>
      <c r="T1134" s="306"/>
      <c r="U1134" s="306"/>
      <c r="V1134" s="305"/>
      <c r="W1134" s="306"/>
      <c r="X1134" s="306"/>
      <c r="Y1134" s="306"/>
      <c r="Z1134" s="307"/>
      <c r="AA1134" s="306"/>
      <c r="AB1134" s="306"/>
      <c r="AC1134" s="306"/>
    </row>
    <row r="1135">
      <c r="A1135" s="306"/>
      <c r="B1135" s="306"/>
      <c r="C1135" s="306"/>
      <c r="D1135" s="305"/>
      <c r="E1135" s="306"/>
      <c r="F1135" s="306"/>
      <c r="G1135" s="306"/>
      <c r="H1135" s="306"/>
      <c r="I1135" s="306"/>
      <c r="J1135" s="306"/>
      <c r="K1135" s="307"/>
      <c r="L1135" s="306"/>
      <c r="M1135" s="306"/>
      <c r="N1135" s="306"/>
      <c r="O1135" s="306"/>
      <c r="P1135" s="306"/>
      <c r="Q1135" s="306"/>
      <c r="R1135" s="306"/>
      <c r="S1135" s="306"/>
      <c r="T1135" s="306"/>
      <c r="U1135" s="306"/>
      <c r="V1135" s="305"/>
      <c r="W1135" s="306"/>
      <c r="X1135" s="306"/>
      <c r="Y1135" s="306"/>
      <c r="Z1135" s="307"/>
      <c r="AA1135" s="306"/>
      <c r="AB1135" s="306"/>
      <c r="AC1135" s="306"/>
    </row>
    <row r="1136">
      <c r="A1136" s="306"/>
      <c r="B1136" s="306"/>
      <c r="C1136" s="306"/>
      <c r="D1136" s="305"/>
      <c r="E1136" s="306"/>
      <c r="F1136" s="306"/>
      <c r="G1136" s="306"/>
      <c r="H1136" s="306"/>
      <c r="I1136" s="306"/>
      <c r="J1136" s="306"/>
      <c r="K1136" s="307"/>
      <c r="L1136" s="306"/>
      <c r="M1136" s="306"/>
      <c r="N1136" s="306"/>
      <c r="O1136" s="306"/>
      <c r="P1136" s="306"/>
      <c r="Q1136" s="306"/>
      <c r="R1136" s="306"/>
      <c r="S1136" s="306"/>
      <c r="T1136" s="306"/>
      <c r="U1136" s="306"/>
      <c r="V1136" s="305"/>
      <c r="W1136" s="306"/>
      <c r="X1136" s="306"/>
      <c r="Y1136" s="306"/>
      <c r="Z1136" s="307"/>
      <c r="AA1136" s="306"/>
      <c r="AB1136" s="306"/>
      <c r="AC1136" s="306"/>
    </row>
    <row r="1137">
      <c r="A1137" s="306"/>
      <c r="B1137" s="306"/>
      <c r="C1137" s="306"/>
      <c r="D1137" s="305"/>
      <c r="E1137" s="306"/>
      <c r="F1137" s="306"/>
      <c r="G1137" s="306"/>
      <c r="H1137" s="306"/>
      <c r="I1137" s="306"/>
      <c r="J1137" s="306"/>
      <c r="K1137" s="307"/>
      <c r="L1137" s="306"/>
      <c r="M1137" s="306"/>
      <c r="N1137" s="306"/>
      <c r="O1137" s="306"/>
      <c r="P1137" s="306"/>
      <c r="Q1137" s="306"/>
      <c r="R1137" s="306"/>
      <c r="S1137" s="306"/>
      <c r="T1137" s="306"/>
      <c r="U1137" s="306"/>
      <c r="V1137" s="305"/>
      <c r="W1137" s="306"/>
      <c r="X1137" s="306"/>
      <c r="Y1137" s="306"/>
      <c r="Z1137" s="307"/>
      <c r="AA1137" s="306"/>
      <c r="AB1137" s="306"/>
      <c r="AC1137" s="306"/>
    </row>
    <row r="1138">
      <c r="A1138" s="306"/>
      <c r="B1138" s="306"/>
      <c r="C1138" s="306"/>
      <c r="D1138" s="305"/>
      <c r="E1138" s="306"/>
      <c r="F1138" s="306"/>
      <c r="G1138" s="306"/>
      <c r="H1138" s="306"/>
      <c r="I1138" s="306"/>
      <c r="J1138" s="306"/>
      <c r="K1138" s="307"/>
      <c r="L1138" s="306"/>
      <c r="M1138" s="306"/>
      <c r="N1138" s="306"/>
      <c r="O1138" s="306"/>
      <c r="P1138" s="306"/>
      <c r="Q1138" s="306"/>
      <c r="R1138" s="306"/>
      <c r="S1138" s="306"/>
      <c r="T1138" s="306"/>
      <c r="U1138" s="306"/>
      <c r="V1138" s="305"/>
      <c r="W1138" s="306"/>
      <c r="X1138" s="306"/>
      <c r="Y1138" s="306"/>
      <c r="Z1138" s="307"/>
      <c r="AA1138" s="306"/>
      <c r="AB1138" s="306"/>
      <c r="AC1138" s="306"/>
    </row>
    <row r="1139">
      <c r="A1139" s="306"/>
      <c r="B1139" s="306"/>
      <c r="C1139" s="306"/>
      <c r="D1139" s="305"/>
      <c r="E1139" s="306"/>
      <c r="F1139" s="306"/>
      <c r="G1139" s="306"/>
      <c r="H1139" s="306"/>
      <c r="I1139" s="306"/>
      <c r="J1139" s="306"/>
      <c r="K1139" s="307"/>
      <c r="L1139" s="306"/>
      <c r="M1139" s="306"/>
      <c r="N1139" s="306"/>
      <c r="O1139" s="306"/>
      <c r="P1139" s="306"/>
      <c r="Q1139" s="306"/>
      <c r="R1139" s="306"/>
      <c r="S1139" s="306"/>
      <c r="T1139" s="306"/>
      <c r="U1139" s="306"/>
      <c r="V1139" s="305"/>
      <c r="W1139" s="306"/>
      <c r="X1139" s="306"/>
      <c r="Y1139" s="306"/>
      <c r="Z1139" s="307"/>
      <c r="AA1139" s="306"/>
      <c r="AB1139" s="306"/>
      <c r="AC1139" s="306"/>
    </row>
    <row r="1140">
      <c r="A1140" s="306"/>
      <c r="B1140" s="306"/>
      <c r="C1140" s="306"/>
      <c r="D1140" s="305"/>
      <c r="E1140" s="306"/>
      <c r="F1140" s="306"/>
      <c r="G1140" s="306"/>
      <c r="H1140" s="306"/>
      <c r="I1140" s="306"/>
      <c r="J1140" s="306"/>
      <c r="K1140" s="307"/>
      <c r="L1140" s="306"/>
      <c r="M1140" s="306"/>
      <c r="N1140" s="306"/>
      <c r="O1140" s="306"/>
      <c r="P1140" s="306"/>
      <c r="Q1140" s="306"/>
      <c r="R1140" s="306"/>
      <c r="S1140" s="306"/>
      <c r="T1140" s="306"/>
      <c r="U1140" s="306"/>
      <c r="V1140" s="305"/>
      <c r="W1140" s="306"/>
      <c r="X1140" s="306"/>
      <c r="Y1140" s="306"/>
      <c r="Z1140" s="307"/>
      <c r="AA1140" s="306"/>
      <c r="AB1140" s="306"/>
      <c r="AC1140" s="306"/>
    </row>
    <row r="1141">
      <c r="A1141" s="306"/>
      <c r="B1141" s="306"/>
      <c r="C1141" s="306"/>
      <c r="D1141" s="305"/>
      <c r="E1141" s="306"/>
      <c r="F1141" s="306"/>
      <c r="G1141" s="306"/>
      <c r="H1141" s="306"/>
      <c r="I1141" s="306"/>
      <c r="J1141" s="306"/>
      <c r="K1141" s="307"/>
      <c r="L1141" s="306"/>
      <c r="M1141" s="306"/>
      <c r="N1141" s="306"/>
      <c r="O1141" s="306"/>
      <c r="P1141" s="306"/>
      <c r="Q1141" s="306"/>
      <c r="R1141" s="306"/>
      <c r="S1141" s="306"/>
      <c r="T1141" s="306"/>
      <c r="U1141" s="306"/>
      <c r="V1141" s="305"/>
      <c r="W1141" s="306"/>
      <c r="X1141" s="306"/>
      <c r="Y1141" s="306"/>
      <c r="Z1141" s="307"/>
      <c r="AA1141" s="306"/>
      <c r="AB1141" s="306"/>
      <c r="AC1141" s="306"/>
    </row>
    <row r="1142">
      <c r="A1142" s="306"/>
      <c r="B1142" s="306"/>
      <c r="C1142" s="306"/>
      <c r="D1142" s="305"/>
      <c r="E1142" s="306"/>
      <c r="F1142" s="306"/>
      <c r="G1142" s="306"/>
      <c r="H1142" s="306"/>
      <c r="I1142" s="306"/>
      <c r="J1142" s="306"/>
      <c r="K1142" s="307"/>
      <c r="L1142" s="306"/>
      <c r="M1142" s="306"/>
      <c r="N1142" s="306"/>
      <c r="O1142" s="306"/>
      <c r="P1142" s="306"/>
      <c r="Q1142" s="306"/>
      <c r="R1142" s="306"/>
      <c r="S1142" s="306"/>
      <c r="T1142" s="306"/>
      <c r="U1142" s="306"/>
      <c r="V1142" s="305"/>
      <c r="W1142" s="306"/>
      <c r="X1142" s="306"/>
      <c r="Y1142" s="306"/>
      <c r="Z1142" s="307"/>
      <c r="AA1142" s="306"/>
      <c r="AB1142" s="306"/>
      <c r="AC1142" s="306"/>
    </row>
    <row r="1143">
      <c r="A1143" s="306"/>
      <c r="B1143" s="306"/>
      <c r="C1143" s="306"/>
      <c r="D1143" s="305"/>
      <c r="E1143" s="306"/>
      <c r="F1143" s="306"/>
      <c r="G1143" s="306"/>
      <c r="H1143" s="306"/>
      <c r="I1143" s="306"/>
      <c r="J1143" s="306"/>
      <c r="K1143" s="307"/>
      <c r="L1143" s="306"/>
      <c r="M1143" s="306"/>
      <c r="N1143" s="306"/>
      <c r="O1143" s="306"/>
      <c r="P1143" s="306"/>
      <c r="Q1143" s="306"/>
      <c r="R1143" s="306"/>
      <c r="S1143" s="306"/>
      <c r="T1143" s="306"/>
      <c r="U1143" s="306"/>
      <c r="V1143" s="305"/>
      <c r="W1143" s="306"/>
      <c r="X1143" s="306"/>
      <c r="Y1143" s="306"/>
      <c r="Z1143" s="307"/>
      <c r="AA1143" s="306"/>
      <c r="AB1143" s="306"/>
      <c r="AC1143" s="306"/>
    </row>
    <row r="1144">
      <c r="A1144" s="306"/>
      <c r="B1144" s="306"/>
      <c r="C1144" s="306"/>
      <c r="D1144" s="305"/>
      <c r="E1144" s="306"/>
      <c r="F1144" s="306"/>
      <c r="G1144" s="306"/>
      <c r="H1144" s="306"/>
      <c r="I1144" s="306"/>
      <c r="J1144" s="306"/>
      <c r="K1144" s="307"/>
      <c r="L1144" s="306"/>
      <c r="M1144" s="306"/>
      <c r="N1144" s="306"/>
      <c r="O1144" s="306"/>
      <c r="P1144" s="306"/>
      <c r="Q1144" s="306"/>
      <c r="R1144" s="306"/>
      <c r="S1144" s="306"/>
      <c r="T1144" s="306"/>
      <c r="U1144" s="306"/>
      <c r="V1144" s="305"/>
      <c r="W1144" s="306"/>
      <c r="X1144" s="306"/>
      <c r="Y1144" s="306"/>
      <c r="Z1144" s="307"/>
      <c r="AA1144" s="306"/>
      <c r="AB1144" s="306"/>
      <c r="AC1144" s="306"/>
    </row>
    <row r="1145">
      <c r="A1145" s="306"/>
      <c r="B1145" s="306"/>
      <c r="C1145" s="306"/>
      <c r="D1145" s="305"/>
      <c r="E1145" s="306"/>
      <c r="F1145" s="306"/>
      <c r="G1145" s="306"/>
      <c r="H1145" s="306"/>
      <c r="I1145" s="306"/>
      <c r="J1145" s="306"/>
      <c r="K1145" s="307"/>
      <c r="L1145" s="306"/>
      <c r="M1145" s="306"/>
      <c r="N1145" s="306"/>
      <c r="O1145" s="306"/>
      <c r="P1145" s="306"/>
      <c r="Q1145" s="306"/>
      <c r="R1145" s="306"/>
      <c r="S1145" s="306"/>
      <c r="T1145" s="306"/>
      <c r="U1145" s="306"/>
      <c r="V1145" s="305"/>
      <c r="W1145" s="306"/>
      <c r="X1145" s="306"/>
      <c r="Y1145" s="306"/>
      <c r="Z1145" s="307"/>
      <c r="AA1145" s="306"/>
      <c r="AB1145" s="306"/>
      <c r="AC1145" s="306"/>
    </row>
    <row r="1146">
      <c r="A1146" s="306"/>
      <c r="B1146" s="306"/>
      <c r="C1146" s="306"/>
      <c r="D1146" s="305"/>
      <c r="E1146" s="306"/>
      <c r="F1146" s="306"/>
      <c r="G1146" s="306"/>
      <c r="H1146" s="306"/>
      <c r="I1146" s="306"/>
      <c r="J1146" s="306"/>
      <c r="K1146" s="307"/>
      <c r="L1146" s="306"/>
      <c r="M1146" s="306"/>
      <c r="N1146" s="306"/>
      <c r="O1146" s="306"/>
      <c r="P1146" s="306"/>
      <c r="Q1146" s="306"/>
      <c r="R1146" s="306"/>
      <c r="S1146" s="306"/>
      <c r="T1146" s="306"/>
      <c r="U1146" s="306"/>
      <c r="V1146" s="305"/>
      <c r="W1146" s="306"/>
      <c r="X1146" s="306"/>
      <c r="Y1146" s="306"/>
      <c r="Z1146" s="307"/>
      <c r="AA1146" s="306"/>
      <c r="AB1146" s="306"/>
      <c r="AC1146" s="306"/>
    </row>
    <row r="1147">
      <c r="A1147" s="306"/>
      <c r="B1147" s="306"/>
      <c r="C1147" s="306"/>
      <c r="D1147" s="305"/>
      <c r="E1147" s="306"/>
      <c r="F1147" s="306"/>
      <c r="G1147" s="306"/>
      <c r="H1147" s="306"/>
      <c r="I1147" s="306"/>
      <c r="J1147" s="306"/>
      <c r="K1147" s="307"/>
      <c r="L1147" s="306"/>
      <c r="M1147" s="306"/>
      <c r="N1147" s="306"/>
      <c r="O1147" s="306"/>
      <c r="P1147" s="306"/>
      <c r="Q1147" s="306"/>
      <c r="R1147" s="306"/>
      <c r="S1147" s="306"/>
      <c r="T1147" s="306"/>
      <c r="U1147" s="306"/>
      <c r="V1147" s="305"/>
      <c r="W1147" s="306"/>
      <c r="X1147" s="306"/>
      <c r="Y1147" s="306"/>
      <c r="Z1147" s="307"/>
      <c r="AA1147" s="306"/>
      <c r="AB1147" s="306"/>
      <c r="AC1147" s="306"/>
    </row>
    <row r="1148">
      <c r="A1148" s="306"/>
      <c r="B1148" s="306"/>
      <c r="C1148" s="306"/>
      <c r="D1148" s="305"/>
      <c r="E1148" s="306"/>
      <c r="F1148" s="306"/>
      <c r="G1148" s="306"/>
      <c r="H1148" s="306"/>
      <c r="I1148" s="306"/>
      <c r="J1148" s="306"/>
      <c r="K1148" s="307"/>
      <c r="L1148" s="306"/>
      <c r="M1148" s="306"/>
      <c r="N1148" s="306"/>
      <c r="O1148" s="306"/>
      <c r="P1148" s="306"/>
      <c r="Q1148" s="306"/>
      <c r="R1148" s="306"/>
      <c r="S1148" s="306"/>
      <c r="T1148" s="306"/>
      <c r="U1148" s="306"/>
      <c r="V1148" s="305"/>
      <c r="W1148" s="306"/>
      <c r="X1148" s="306"/>
      <c r="Y1148" s="306"/>
      <c r="Z1148" s="307"/>
      <c r="AA1148" s="306"/>
      <c r="AB1148" s="306"/>
      <c r="AC1148" s="306"/>
    </row>
    <row r="1149">
      <c r="A1149" s="306"/>
      <c r="B1149" s="306"/>
      <c r="C1149" s="306"/>
      <c r="D1149" s="305"/>
      <c r="E1149" s="306"/>
      <c r="F1149" s="306"/>
      <c r="G1149" s="306"/>
      <c r="H1149" s="306"/>
      <c r="I1149" s="306"/>
      <c r="J1149" s="306"/>
      <c r="K1149" s="307"/>
      <c r="L1149" s="306"/>
      <c r="M1149" s="306"/>
      <c r="N1149" s="306"/>
      <c r="O1149" s="306"/>
      <c r="P1149" s="306"/>
      <c r="Q1149" s="306"/>
      <c r="R1149" s="306"/>
      <c r="S1149" s="306"/>
      <c r="T1149" s="306"/>
      <c r="U1149" s="306"/>
      <c r="V1149" s="305"/>
      <c r="W1149" s="306"/>
      <c r="X1149" s="306"/>
      <c r="Y1149" s="306"/>
      <c r="Z1149" s="307"/>
      <c r="AA1149" s="306"/>
      <c r="AB1149" s="306"/>
      <c r="AC1149" s="306"/>
    </row>
    <row r="1150">
      <c r="A1150" s="306"/>
      <c r="B1150" s="306"/>
      <c r="C1150" s="306"/>
      <c r="D1150" s="305"/>
      <c r="E1150" s="306"/>
      <c r="F1150" s="306"/>
      <c r="G1150" s="306"/>
      <c r="H1150" s="306"/>
      <c r="I1150" s="306"/>
      <c r="J1150" s="306"/>
      <c r="K1150" s="307"/>
      <c r="L1150" s="306"/>
      <c r="M1150" s="306"/>
      <c r="N1150" s="306"/>
      <c r="O1150" s="306"/>
      <c r="P1150" s="306"/>
      <c r="Q1150" s="306"/>
      <c r="R1150" s="306"/>
      <c r="S1150" s="306"/>
      <c r="T1150" s="306"/>
      <c r="U1150" s="306"/>
      <c r="V1150" s="305"/>
      <c r="W1150" s="306"/>
      <c r="X1150" s="306"/>
      <c r="Y1150" s="306"/>
      <c r="Z1150" s="307"/>
      <c r="AA1150" s="306"/>
      <c r="AB1150" s="306"/>
      <c r="AC1150" s="306"/>
    </row>
    <row r="1151">
      <c r="A1151" s="306"/>
      <c r="B1151" s="306"/>
      <c r="C1151" s="306"/>
      <c r="D1151" s="305"/>
      <c r="E1151" s="306"/>
      <c r="F1151" s="306"/>
      <c r="G1151" s="306"/>
      <c r="H1151" s="306"/>
      <c r="I1151" s="306"/>
      <c r="J1151" s="306"/>
      <c r="K1151" s="307"/>
      <c r="L1151" s="306"/>
      <c r="M1151" s="306"/>
      <c r="N1151" s="306"/>
      <c r="O1151" s="306"/>
      <c r="P1151" s="306"/>
      <c r="Q1151" s="306"/>
      <c r="R1151" s="306"/>
      <c r="S1151" s="306"/>
      <c r="T1151" s="306"/>
      <c r="U1151" s="306"/>
      <c r="V1151" s="305"/>
      <c r="W1151" s="306"/>
      <c r="X1151" s="306"/>
      <c r="Y1151" s="306"/>
      <c r="Z1151" s="307"/>
      <c r="AA1151" s="306"/>
      <c r="AB1151" s="306"/>
      <c r="AC1151" s="306"/>
    </row>
    <row r="1152">
      <c r="A1152" s="306"/>
      <c r="B1152" s="306"/>
      <c r="C1152" s="306"/>
      <c r="D1152" s="305"/>
      <c r="E1152" s="306"/>
      <c r="F1152" s="306"/>
      <c r="G1152" s="306"/>
      <c r="H1152" s="306"/>
      <c r="I1152" s="306"/>
      <c r="J1152" s="306"/>
      <c r="K1152" s="307"/>
      <c r="L1152" s="306"/>
      <c r="M1152" s="306"/>
      <c r="N1152" s="306"/>
      <c r="O1152" s="306"/>
      <c r="P1152" s="306"/>
      <c r="Q1152" s="306"/>
      <c r="R1152" s="306"/>
      <c r="S1152" s="306"/>
      <c r="T1152" s="306"/>
      <c r="U1152" s="306"/>
      <c r="V1152" s="305"/>
      <c r="W1152" s="306"/>
      <c r="X1152" s="306"/>
      <c r="Y1152" s="306"/>
      <c r="Z1152" s="307"/>
      <c r="AA1152" s="306"/>
      <c r="AB1152" s="306"/>
      <c r="AC1152" s="306"/>
    </row>
    <row r="1153">
      <c r="A1153" s="306"/>
      <c r="B1153" s="306"/>
      <c r="C1153" s="306"/>
      <c r="D1153" s="305"/>
      <c r="E1153" s="306"/>
      <c r="F1153" s="306"/>
      <c r="G1153" s="306"/>
      <c r="H1153" s="306"/>
      <c r="I1153" s="306"/>
      <c r="J1153" s="306"/>
      <c r="K1153" s="307"/>
      <c r="L1153" s="306"/>
      <c r="M1153" s="306"/>
      <c r="N1153" s="306"/>
      <c r="O1153" s="306"/>
      <c r="P1153" s="306"/>
      <c r="Q1153" s="306"/>
      <c r="R1153" s="306"/>
      <c r="S1153" s="306"/>
      <c r="T1153" s="306"/>
      <c r="U1153" s="306"/>
      <c r="V1153" s="305"/>
      <c r="W1153" s="306"/>
      <c r="X1153" s="306"/>
      <c r="Y1153" s="306"/>
      <c r="Z1153" s="307"/>
      <c r="AA1153" s="306"/>
      <c r="AB1153" s="306"/>
      <c r="AC1153" s="306"/>
    </row>
    <row r="1154">
      <c r="A1154" s="306"/>
      <c r="B1154" s="306"/>
      <c r="C1154" s="306"/>
      <c r="D1154" s="305"/>
      <c r="E1154" s="306"/>
      <c r="F1154" s="306"/>
      <c r="G1154" s="306"/>
      <c r="H1154" s="306"/>
      <c r="I1154" s="306"/>
      <c r="J1154" s="306"/>
      <c r="K1154" s="307"/>
      <c r="L1154" s="306"/>
      <c r="M1154" s="306"/>
      <c r="N1154" s="306"/>
      <c r="O1154" s="306"/>
      <c r="P1154" s="306"/>
      <c r="Q1154" s="306"/>
      <c r="R1154" s="306"/>
      <c r="S1154" s="306"/>
      <c r="T1154" s="306"/>
      <c r="U1154" s="306"/>
      <c r="V1154" s="305"/>
      <c r="W1154" s="306"/>
      <c r="X1154" s="306"/>
      <c r="Y1154" s="306"/>
      <c r="Z1154" s="307"/>
      <c r="AA1154" s="306"/>
      <c r="AB1154" s="306"/>
      <c r="AC1154" s="306"/>
    </row>
    <row r="1155">
      <c r="A1155" s="306"/>
      <c r="B1155" s="306"/>
      <c r="C1155" s="306"/>
      <c r="D1155" s="305"/>
      <c r="E1155" s="306"/>
      <c r="F1155" s="306"/>
      <c r="G1155" s="306"/>
      <c r="H1155" s="306"/>
      <c r="I1155" s="306"/>
      <c r="J1155" s="306"/>
      <c r="K1155" s="307"/>
      <c r="L1155" s="306"/>
      <c r="M1155" s="306"/>
      <c r="N1155" s="306"/>
      <c r="O1155" s="306"/>
      <c r="P1155" s="306"/>
      <c r="Q1155" s="306"/>
      <c r="R1155" s="306"/>
      <c r="S1155" s="306"/>
      <c r="T1155" s="306"/>
      <c r="U1155" s="306"/>
      <c r="V1155" s="305"/>
      <c r="W1155" s="306"/>
      <c r="X1155" s="306"/>
      <c r="Y1155" s="306"/>
      <c r="Z1155" s="307"/>
      <c r="AA1155" s="306"/>
      <c r="AB1155" s="306"/>
      <c r="AC1155" s="306"/>
    </row>
    <row r="1156">
      <c r="A1156" s="306"/>
      <c r="B1156" s="306"/>
      <c r="C1156" s="306"/>
      <c r="D1156" s="305"/>
      <c r="E1156" s="306"/>
      <c r="F1156" s="306"/>
      <c r="G1156" s="306"/>
      <c r="H1156" s="306"/>
      <c r="I1156" s="306"/>
      <c r="J1156" s="306"/>
      <c r="K1156" s="307"/>
      <c r="L1156" s="306"/>
      <c r="M1156" s="306"/>
      <c r="N1156" s="306"/>
      <c r="O1156" s="306"/>
      <c r="P1156" s="306"/>
      <c r="Q1156" s="306"/>
      <c r="R1156" s="306"/>
      <c r="S1156" s="306"/>
      <c r="T1156" s="306"/>
      <c r="U1156" s="306"/>
      <c r="V1156" s="305"/>
      <c r="W1156" s="306"/>
      <c r="X1156" s="306"/>
      <c r="Y1156" s="306"/>
      <c r="Z1156" s="307"/>
      <c r="AA1156" s="306"/>
      <c r="AB1156" s="306"/>
      <c r="AC1156" s="306"/>
    </row>
    <row r="1157">
      <c r="A1157" s="306"/>
      <c r="B1157" s="306"/>
      <c r="C1157" s="306"/>
      <c r="D1157" s="305"/>
      <c r="E1157" s="306"/>
      <c r="F1157" s="306"/>
      <c r="G1157" s="306"/>
      <c r="H1157" s="306"/>
      <c r="I1157" s="306"/>
      <c r="J1157" s="306"/>
      <c r="K1157" s="307"/>
      <c r="L1157" s="306"/>
      <c r="M1157" s="306"/>
      <c r="N1157" s="306"/>
      <c r="O1157" s="306"/>
      <c r="P1157" s="306"/>
      <c r="Q1157" s="306"/>
      <c r="R1157" s="306"/>
      <c r="S1157" s="306"/>
      <c r="T1157" s="306"/>
      <c r="U1157" s="306"/>
      <c r="V1157" s="305"/>
      <c r="W1157" s="306"/>
      <c r="X1157" s="306"/>
      <c r="Y1157" s="306"/>
      <c r="Z1157" s="307"/>
      <c r="AA1157" s="306"/>
      <c r="AB1157" s="306"/>
      <c r="AC1157" s="306"/>
    </row>
    <row r="1158">
      <c r="A1158" s="306"/>
      <c r="B1158" s="306"/>
      <c r="C1158" s="306"/>
      <c r="D1158" s="305"/>
      <c r="E1158" s="306"/>
      <c r="F1158" s="306"/>
      <c r="G1158" s="306"/>
      <c r="H1158" s="306"/>
      <c r="I1158" s="306"/>
      <c r="J1158" s="306"/>
      <c r="K1158" s="307"/>
      <c r="L1158" s="306"/>
      <c r="M1158" s="306"/>
      <c r="N1158" s="306"/>
      <c r="O1158" s="306"/>
      <c r="P1158" s="306"/>
      <c r="Q1158" s="306"/>
      <c r="R1158" s="306"/>
      <c r="S1158" s="306"/>
      <c r="T1158" s="306"/>
      <c r="U1158" s="306"/>
      <c r="V1158" s="305"/>
      <c r="W1158" s="306"/>
      <c r="X1158" s="306"/>
      <c r="Y1158" s="306"/>
      <c r="Z1158" s="307"/>
      <c r="AA1158" s="306"/>
      <c r="AB1158" s="306"/>
      <c r="AC1158" s="306"/>
    </row>
    <row r="1159">
      <c r="A1159" s="306"/>
      <c r="B1159" s="306"/>
      <c r="C1159" s="306"/>
      <c r="D1159" s="305"/>
      <c r="E1159" s="306"/>
      <c r="F1159" s="306"/>
      <c r="G1159" s="306"/>
      <c r="H1159" s="306"/>
      <c r="I1159" s="306"/>
      <c r="J1159" s="306"/>
      <c r="K1159" s="307"/>
      <c r="L1159" s="306"/>
      <c r="M1159" s="306"/>
      <c r="N1159" s="306"/>
      <c r="O1159" s="306"/>
      <c r="P1159" s="306"/>
      <c r="Q1159" s="306"/>
      <c r="R1159" s="306"/>
      <c r="S1159" s="306"/>
      <c r="T1159" s="306"/>
      <c r="U1159" s="306"/>
      <c r="V1159" s="305"/>
      <c r="W1159" s="306"/>
      <c r="X1159" s="306"/>
      <c r="Y1159" s="306"/>
      <c r="Z1159" s="307"/>
      <c r="AA1159" s="306"/>
      <c r="AB1159" s="306"/>
      <c r="AC1159" s="306"/>
    </row>
    <row r="1160">
      <c r="A1160" s="306"/>
      <c r="B1160" s="306"/>
      <c r="C1160" s="306"/>
      <c r="D1160" s="305"/>
      <c r="E1160" s="306"/>
      <c r="F1160" s="306"/>
      <c r="G1160" s="306"/>
      <c r="H1160" s="306"/>
      <c r="I1160" s="306"/>
      <c r="J1160" s="306"/>
      <c r="K1160" s="307"/>
      <c r="L1160" s="306"/>
      <c r="M1160" s="306"/>
      <c r="N1160" s="306"/>
      <c r="O1160" s="306"/>
      <c r="P1160" s="306"/>
      <c r="Q1160" s="306"/>
      <c r="R1160" s="306"/>
      <c r="S1160" s="306"/>
      <c r="T1160" s="306"/>
      <c r="U1160" s="306"/>
      <c r="V1160" s="305"/>
      <c r="W1160" s="306"/>
      <c r="X1160" s="306"/>
      <c r="Y1160" s="306"/>
      <c r="Z1160" s="307"/>
      <c r="AA1160" s="306"/>
      <c r="AB1160" s="306"/>
      <c r="AC1160" s="306"/>
    </row>
    <row r="1161">
      <c r="A1161" s="306"/>
      <c r="B1161" s="306"/>
      <c r="C1161" s="306"/>
      <c r="D1161" s="305"/>
      <c r="E1161" s="306"/>
      <c r="F1161" s="306"/>
      <c r="G1161" s="306"/>
      <c r="H1161" s="306"/>
      <c r="I1161" s="306"/>
      <c r="J1161" s="306"/>
      <c r="K1161" s="307"/>
      <c r="L1161" s="306"/>
      <c r="M1161" s="306"/>
      <c r="N1161" s="306"/>
      <c r="O1161" s="306"/>
      <c r="P1161" s="306"/>
      <c r="Q1161" s="306"/>
      <c r="R1161" s="306"/>
      <c r="S1161" s="306"/>
      <c r="T1161" s="306"/>
      <c r="U1161" s="306"/>
      <c r="V1161" s="305"/>
      <c r="W1161" s="306"/>
      <c r="X1161" s="306"/>
      <c r="Y1161" s="306"/>
      <c r="Z1161" s="307"/>
      <c r="AA1161" s="306"/>
      <c r="AB1161" s="306"/>
      <c r="AC1161" s="306"/>
    </row>
    <row r="1162">
      <c r="A1162" s="306"/>
      <c r="B1162" s="306"/>
      <c r="C1162" s="306"/>
      <c r="D1162" s="305"/>
      <c r="E1162" s="306"/>
      <c r="F1162" s="306"/>
      <c r="G1162" s="306"/>
      <c r="H1162" s="306"/>
      <c r="I1162" s="306"/>
      <c r="J1162" s="306"/>
      <c r="K1162" s="307"/>
      <c r="L1162" s="306"/>
      <c r="M1162" s="306"/>
      <c r="N1162" s="306"/>
      <c r="O1162" s="306"/>
      <c r="P1162" s="306"/>
      <c r="Q1162" s="306"/>
      <c r="R1162" s="306"/>
      <c r="S1162" s="306"/>
      <c r="T1162" s="306"/>
      <c r="U1162" s="306"/>
      <c r="V1162" s="305"/>
      <c r="W1162" s="306"/>
      <c r="X1162" s="306"/>
      <c r="Y1162" s="306"/>
      <c r="Z1162" s="307"/>
      <c r="AA1162" s="306"/>
      <c r="AB1162" s="306"/>
      <c r="AC1162" s="306"/>
    </row>
    <row r="1163">
      <c r="A1163" s="306"/>
      <c r="B1163" s="306"/>
      <c r="C1163" s="306"/>
      <c r="D1163" s="305"/>
      <c r="E1163" s="306"/>
      <c r="F1163" s="306"/>
      <c r="G1163" s="306"/>
      <c r="H1163" s="306"/>
      <c r="I1163" s="306"/>
      <c r="J1163" s="306"/>
      <c r="K1163" s="307"/>
      <c r="L1163" s="306"/>
      <c r="M1163" s="306"/>
      <c r="N1163" s="306"/>
      <c r="O1163" s="306"/>
      <c r="P1163" s="306"/>
      <c r="Q1163" s="306"/>
      <c r="R1163" s="306"/>
      <c r="S1163" s="306"/>
      <c r="T1163" s="306"/>
      <c r="U1163" s="306"/>
      <c r="V1163" s="305"/>
      <c r="W1163" s="306"/>
      <c r="X1163" s="306"/>
      <c r="Y1163" s="306"/>
      <c r="Z1163" s="307"/>
      <c r="AA1163" s="306"/>
      <c r="AB1163" s="306"/>
      <c r="AC1163" s="306"/>
    </row>
    <row r="1164">
      <c r="A1164" s="306"/>
      <c r="B1164" s="306"/>
      <c r="C1164" s="306"/>
      <c r="D1164" s="305"/>
      <c r="E1164" s="306"/>
      <c r="F1164" s="306"/>
      <c r="G1164" s="306"/>
      <c r="H1164" s="306"/>
      <c r="I1164" s="306"/>
      <c r="J1164" s="306"/>
      <c r="K1164" s="307"/>
      <c r="L1164" s="306"/>
      <c r="M1164" s="306"/>
      <c r="N1164" s="306"/>
      <c r="O1164" s="306"/>
      <c r="P1164" s="306"/>
      <c r="Q1164" s="306"/>
      <c r="R1164" s="306"/>
      <c r="S1164" s="306"/>
      <c r="T1164" s="306"/>
      <c r="U1164" s="306"/>
      <c r="V1164" s="305"/>
      <c r="W1164" s="306"/>
      <c r="X1164" s="306"/>
      <c r="Y1164" s="306"/>
      <c r="Z1164" s="307"/>
      <c r="AA1164" s="306"/>
      <c r="AB1164" s="306"/>
      <c r="AC1164" s="306"/>
    </row>
    <row r="1165">
      <c r="A1165" s="306"/>
      <c r="B1165" s="306"/>
      <c r="C1165" s="306"/>
      <c r="D1165" s="305"/>
      <c r="E1165" s="306"/>
      <c r="F1165" s="306"/>
      <c r="G1165" s="306"/>
      <c r="H1165" s="306"/>
      <c r="I1165" s="306"/>
      <c r="J1165" s="306"/>
      <c r="K1165" s="307"/>
      <c r="L1165" s="306"/>
      <c r="M1165" s="306"/>
      <c r="N1165" s="306"/>
      <c r="O1165" s="306"/>
      <c r="P1165" s="306"/>
      <c r="Q1165" s="306"/>
      <c r="R1165" s="306"/>
      <c r="S1165" s="306"/>
      <c r="T1165" s="306"/>
      <c r="U1165" s="306"/>
      <c r="V1165" s="305"/>
      <c r="W1165" s="306"/>
      <c r="X1165" s="306"/>
      <c r="Y1165" s="306"/>
      <c r="Z1165" s="307"/>
      <c r="AA1165" s="306"/>
      <c r="AB1165" s="306"/>
      <c r="AC1165" s="306"/>
    </row>
    <row r="1166">
      <c r="A1166" s="306"/>
      <c r="B1166" s="306"/>
      <c r="C1166" s="306"/>
      <c r="D1166" s="305"/>
      <c r="E1166" s="306"/>
      <c r="F1166" s="306"/>
      <c r="G1166" s="306"/>
      <c r="H1166" s="306"/>
      <c r="I1166" s="306"/>
      <c r="J1166" s="306"/>
      <c r="K1166" s="307"/>
      <c r="L1166" s="306"/>
      <c r="M1166" s="306"/>
      <c r="N1166" s="306"/>
      <c r="O1166" s="306"/>
      <c r="P1166" s="306"/>
      <c r="Q1166" s="306"/>
      <c r="R1166" s="306"/>
      <c r="S1166" s="306"/>
      <c r="T1166" s="306"/>
      <c r="U1166" s="306"/>
      <c r="V1166" s="305"/>
      <c r="W1166" s="306"/>
      <c r="X1166" s="306"/>
      <c r="Y1166" s="306"/>
      <c r="Z1166" s="307"/>
      <c r="AA1166" s="306"/>
      <c r="AB1166" s="306"/>
      <c r="AC1166" s="306"/>
    </row>
    <row r="1167">
      <c r="A1167" s="306"/>
      <c r="B1167" s="306"/>
      <c r="C1167" s="306"/>
      <c r="D1167" s="305"/>
      <c r="E1167" s="306"/>
      <c r="F1167" s="306"/>
      <c r="G1167" s="306"/>
      <c r="H1167" s="306"/>
      <c r="I1167" s="306"/>
      <c r="J1167" s="306"/>
      <c r="K1167" s="307"/>
      <c r="L1167" s="306"/>
      <c r="M1167" s="306"/>
      <c r="N1167" s="306"/>
      <c r="O1167" s="306"/>
      <c r="P1167" s="306"/>
      <c r="Q1167" s="306"/>
      <c r="R1167" s="306"/>
      <c r="S1167" s="306"/>
      <c r="T1167" s="306"/>
      <c r="U1167" s="306"/>
      <c r="V1167" s="305"/>
      <c r="W1167" s="306"/>
      <c r="X1167" s="306"/>
      <c r="Y1167" s="306"/>
      <c r="Z1167" s="307"/>
      <c r="AA1167" s="306"/>
      <c r="AB1167" s="306"/>
      <c r="AC1167" s="306"/>
    </row>
    <row r="1168">
      <c r="A1168" s="306"/>
      <c r="B1168" s="306"/>
      <c r="C1168" s="306"/>
      <c r="D1168" s="305"/>
      <c r="E1168" s="306"/>
      <c r="F1168" s="306"/>
      <c r="G1168" s="306"/>
      <c r="H1168" s="306"/>
      <c r="I1168" s="306"/>
      <c r="J1168" s="306"/>
      <c r="K1168" s="307"/>
      <c r="L1168" s="306"/>
      <c r="M1168" s="306"/>
      <c r="N1168" s="306"/>
      <c r="O1168" s="306"/>
      <c r="P1168" s="306"/>
      <c r="Q1168" s="306"/>
      <c r="R1168" s="306"/>
      <c r="S1168" s="306"/>
      <c r="T1168" s="306"/>
      <c r="U1168" s="306"/>
      <c r="V1168" s="305"/>
      <c r="W1168" s="306"/>
      <c r="X1168" s="306"/>
      <c r="Y1168" s="306"/>
      <c r="Z1168" s="307"/>
      <c r="AA1168" s="306"/>
      <c r="AB1168" s="306"/>
      <c r="AC1168" s="306"/>
    </row>
    <row r="1169">
      <c r="A1169" s="306"/>
      <c r="B1169" s="306"/>
      <c r="C1169" s="306"/>
      <c r="D1169" s="305"/>
      <c r="E1169" s="306"/>
      <c r="F1169" s="306"/>
      <c r="G1169" s="306"/>
      <c r="H1169" s="306"/>
      <c r="I1169" s="306"/>
      <c r="J1169" s="306"/>
      <c r="K1169" s="307"/>
      <c r="L1169" s="306"/>
      <c r="M1169" s="306"/>
      <c r="N1169" s="306"/>
      <c r="O1169" s="306"/>
      <c r="P1169" s="306"/>
      <c r="Q1169" s="306"/>
      <c r="R1169" s="306"/>
      <c r="S1169" s="306"/>
      <c r="T1169" s="306"/>
      <c r="U1169" s="306"/>
      <c r="V1169" s="305"/>
      <c r="W1169" s="306"/>
      <c r="X1169" s="306"/>
      <c r="Y1169" s="306"/>
      <c r="Z1169" s="307"/>
      <c r="AA1169" s="306"/>
      <c r="AB1169" s="306"/>
      <c r="AC1169" s="306"/>
    </row>
    <row r="1170">
      <c r="A1170" s="306"/>
      <c r="B1170" s="306"/>
      <c r="C1170" s="306"/>
      <c r="D1170" s="305"/>
      <c r="E1170" s="306"/>
      <c r="F1170" s="306"/>
      <c r="G1170" s="306"/>
      <c r="H1170" s="306"/>
      <c r="I1170" s="306"/>
      <c r="J1170" s="306"/>
      <c r="K1170" s="307"/>
      <c r="L1170" s="306"/>
      <c r="M1170" s="306"/>
      <c r="N1170" s="306"/>
      <c r="O1170" s="306"/>
      <c r="P1170" s="306"/>
      <c r="Q1170" s="306"/>
      <c r="R1170" s="306"/>
      <c r="S1170" s="306"/>
      <c r="T1170" s="306"/>
      <c r="U1170" s="306"/>
      <c r="V1170" s="305"/>
      <c r="W1170" s="306"/>
      <c r="X1170" s="306"/>
      <c r="Y1170" s="306"/>
      <c r="Z1170" s="307"/>
      <c r="AA1170" s="306"/>
      <c r="AB1170" s="306"/>
      <c r="AC1170" s="306"/>
    </row>
    <row r="1171">
      <c r="A1171" s="306"/>
      <c r="B1171" s="306"/>
      <c r="C1171" s="306"/>
      <c r="D1171" s="305"/>
      <c r="E1171" s="306"/>
      <c r="F1171" s="306"/>
      <c r="G1171" s="306"/>
      <c r="H1171" s="306"/>
      <c r="I1171" s="306"/>
      <c r="J1171" s="306"/>
      <c r="K1171" s="307"/>
      <c r="L1171" s="306"/>
      <c r="M1171" s="306"/>
      <c r="N1171" s="306"/>
      <c r="O1171" s="306"/>
      <c r="P1171" s="306"/>
      <c r="Q1171" s="306"/>
      <c r="R1171" s="306"/>
      <c r="S1171" s="306"/>
      <c r="T1171" s="306"/>
      <c r="U1171" s="306"/>
      <c r="V1171" s="305"/>
      <c r="W1171" s="306"/>
      <c r="X1171" s="306"/>
      <c r="Y1171" s="306"/>
      <c r="Z1171" s="307"/>
      <c r="AA1171" s="306"/>
      <c r="AB1171" s="306"/>
      <c r="AC1171" s="306"/>
    </row>
    <row r="1172">
      <c r="A1172" s="306"/>
      <c r="B1172" s="306"/>
      <c r="C1172" s="306"/>
      <c r="D1172" s="305"/>
      <c r="E1172" s="306"/>
      <c r="F1172" s="306"/>
      <c r="G1172" s="306"/>
      <c r="H1172" s="306"/>
      <c r="I1172" s="306"/>
      <c r="J1172" s="306"/>
      <c r="K1172" s="307"/>
      <c r="L1172" s="306"/>
      <c r="M1172" s="306"/>
      <c r="N1172" s="306"/>
      <c r="O1172" s="306"/>
      <c r="P1172" s="306"/>
      <c r="Q1172" s="306"/>
      <c r="R1172" s="306"/>
      <c r="S1172" s="306"/>
      <c r="T1172" s="306"/>
      <c r="U1172" s="306"/>
      <c r="V1172" s="305"/>
      <c r="W1172" s="306"/>
      <c r="X1172" s="306"/>
      <c r="Y1172" s="306"/>
      <c r="Z1172" s="307"/>
      <c r="AA1172" s="306"/>
      <c r="AB1172" s="306"/>
      <c r="AC1172" s="306"/>
    </row>
    <row r="1173">
      <c r="A1173" s="306"/>
      <c r="B1173" s="306"/>
      <c r="C1173" s="306"/>
      <c r="D1173" s="305"/>
      <c r="E1173" s="306"/>
      <c r="F1173" s="306"/>
      <c r="G1173" s="306"/>
      <c r="H1173" s="306"/>
      <c r="I1173" s="306"/>
      <c r="J1173" s="306"/>
      <c r="K1173" s="307"/>
      <c r="L1173" s="306"/>
      <c r="M1173" s="306"/>
      <c r="N1173" s="306"/>
      <c r="O1173" s="306"/>
      <c r="P1173" s="306"/>
      <c r="Q1173" s="306"/>
      <c r="R1173" s="306"/>
      <c r="S1173" s="306"/>
      <c r="T1173" s="306"/>
      <c r="U1173" s="306"/>
      <c r="V1173" s="305"/>
      <c r="W1173" s="306"/>
      <c r="X1173" s="306"/>
      <c r="Y1173" s="306"/>
      <c r="Z1173" s="307"/>
      <c r="AA1173" s="306"/>
      <c r="AB1173" s="306"/>
      <c r="AC1173" s="306"/>
    </row>
    <row r="1174">
      <c r="A1174" s="306"/>
      <c r="B1174" s="306"/>
      <c r="C1174" s="306"/>
      <c r="D1174" s="305"/>
      <c r="E1174" s="306"/>
      <c r="F1174" s="306"/>
      <c r="G1174" s="306"/>
      <c r="H1174" s="306"/>
      <c r="I1174" s="306"/>
      <c r="J1174" s="306"/>
      <c r="K1174" s="307"/>
      <c r="L1174" s="306"/>
      <c r="M1174" s="306"/>
      <c r="N1174" s="306"/>
      <c r="O1174" s="306"/>
      <c r="P1174" s="306"/>
      <c r="Q1174" s="306"/>
      <c r="R1174" s="306"/>
      <c r="S1174" s="306"/>
      <c r="T1174" s="306"/>
      <c r="U1174" s="306"/>
      <c r="V1174" s="305"/>
      <c r="W1174" s="306"/>
      <c r="X1174" s="306"/>
      <c r="Y1174" s="306"/>
      <c r="Z1174" s="307"/>
      <c r="AA1174" s="306"/>
      <c r="AB1174" s="306"/>
      <c r="AC1174" s="306"/>
    </row>
    <row r="1175">
      <c r="A1175" s="306"/>
      <c r="B1175" s="306"/>
      <c r="C1175" s="306"/>
      <c r="D1175" s="305"/>
      <c r="E1175" s="306"/>
      <c r="F1175" s="306"/>
      <c r="G1175" s="306"/>
      <c r="H1175" s="306"/>
      <c r="I1175" s="306"/>
      <c r="J1175" s="306"/>
      <c r="K1175" s="307"/>
      <c r="L1175" s="306"/>
      <c r="M1175" s="306"/>
      <c r="N1175" s="306"/>
      <c r="O1175" s="306"/>
      <c r="P1175" s="306"/>
      <c r="Q1175" s="306"/>
      <c r="R1175" s="306"/>
      <c r="S1175" s="306"/>
      <c r="T1175" s="306"/>
      <c r="U1175" s="306"/>
      <c r="V1175" s="305"/>
      <c r="W1175" s="306"/>
      <c r="X1175" s="306"/>
      <c r="Y1175" s="306"/>
      <c r="Z1175" s="307"/>
      <c r="AA1175" s="306"/>
      <c r="AB1175" s="306"/>
      <c r="AC1175" s="306"/>
    </row>
    <row r="1176">
      <c r="A1176" s="306"/>
      <c r="B1176" s="306"/>
      <c r="C1176" s="306"/>
      <c r="D1176" s="305"/>
      <c r="E1176" s="306"/>
      <c r="F1176" s="306"/>
      <c r="G1176" s="306"/>
      <c r="H1176" s="306"/>
      <c r="I1176" s="306"/>
      <c r="J1176" s="306"/>
      <c r="K1176" s="307"/>
      <c r="L1176" s="306"/>
      <c r="M1176" s="306"/>
      <c r="N1176" s="306"/>
      <c r="O1176" s="306"/>
      <c r="P1176" s="306"/>
      <c r="Q1176" s="306"/>
      <c r="R1176" s="306"/>
      <c r="S1176" s="306"/>
      <c r="T1176" s="306"/>
      <c r="U1176" s="306"/>
      <c r="V1176" s="305"/>
      <c r="W1176" s="306"/>
      <c r="X1176" s="306"/>
      <c r="Y1176" s="306"/>
      <c r="Z1176" s="307"/>
      <c r="AA1176" s="306"/>
      <c r="AB1176" s="306"/>
      <c r="AC1176" s="306"/>
    </row>
    <row r="1177">
      <c r="A1177" s="306"/>
      <c r="B1177" s="306"/>
      <c r="C1177" s="306"/>
      <c r="D1177" s="305"/>
      <c r="E1177" s="306"/>
      <c r="F1177" s="306"/>
      <c r="G1177" s="306"/>
      <c r="H1177" s="306"/>
      <c r="I1177" s="306"/>
      <c r="J1177" s="306"/>
      <c r="K1177" s="307"/>
      <c r="L1177" s="306"/>
      <c r="M1177" s="306"/>
      <c r="N1177" s="306"/>
      <c r="O1177" s="306"/>
      <c r="P1177" s="306"/>
      <c r="Q1177" s="306"/>
      <c r="R1177" s="306"/>
      <c r="S1177" s="306"/>
      <c r="T1177" s="306"/>
      <c r="U1177" s="306"/>
      <c r="V1177" s="305"/>
      <c r="W1177" s="306"/>
      <c r="X1177" s="306"/>
      <c r="Y1177" s="306"/>
      <c r="Z1177" s="307"/>
      <c r="AA1177" s="306"/>
      <c r="AB1177" s="306"/>
      <c r="AC1177" s="306"/>
    </row>
    <row r="1178">
      <c r="A1178" s="306"/>
      <c r="B1178" s="306"/>
      <c r="C1178" s="306"/>
      <c r="D1178" s="305"/>
      <c r="E1178" s="306"/>
      <c r="F1178" s="306"/>
      <c r="G1178" s="306"/>
      <c r="H1178" s="306"/>
      <c r="I1178" s="306"/>
      <c r="J1178" s="306"/>
      <c r="K1178" s="307"/>
      <c r="L1178" s="306"/>
      <c r="M1178" s="306"/>
      <c r="N1178" s="306"/>
      <c r="O1178" s="306"/>
      <c r="P1178" s="306"/>
      <c r="Q1178" s="306"/>
      <c r="R1178" s="306"/>
      <c r="S1178" s="306"/>
      <c r="T1178" s="306"/>
      <c r="U1178" s="306"/>
      <c r="V1178" s="305"/>
      <c r="W1178" s="306"/>
      <c r="X1178" s="306"/>
      <c r="Y1178" s="306"/>
      <c r="Z1178" s="307"/>
      <c r="AA1178" s="306"/>
      <c r="AB1178" s="306"/>
      <c r="AC1178" s="306"/>
    </row>
    <row r="1179">
      <c r="A1179" s="306"/>
      <c r="B1179" s="306"/>
      <c r="C1179" s="306"/>
      <c r="D1179" s="305"/>
      <c r="E1179" s="306"/>
      <c r="F1179" s="306"/>
      <c r="G1179" s="306"/>
      <c r="H1179" s="306"/>
      <c r="I1179" s="306"/>
      <c r="J1179" s="306"/>
      <c r="K1179" s="307"/>
      <c r="L1179" s="306"/>
      <c r="M1179" s="306"/>
      <c r="N1179" s="306"/>
      <c r="O1179" s="306"/>
      <c r="P1179" s="306"/>
      <c r="Q1179" s="306"/>
      <c r="R1179" s="306"/>
      <c r="S1179" s="306"/>
      <c r="T1179" s="306"/>
      <c r="U1179" s="306"/>
      <c r="V1179" s="305"/>
      <c r="W1179" s="306"/>
      <c r="X1179" s="306"/>
      <c r="Y1179" s="306"/>
      <c r="Z1179" s="307"/>
      <c r="AA1179" s="306"/>
      <c r="AB1179" s="306"/>
      <c r="AC1179" s="306"/>
    </row>
    <row r="1180">
      <c r="A1180" s="306"/>
      <c r="B1180" s="306"/>
      <c r="C1180" s="306"/>
      <c r="D1180" s="305"/>
      <c r="E1180" s="306"/>
      <c r="F1180" s="306"/>
      <c r="G1180" s="306"/>
      <c r="H1180" s="306"/>
      <c r="I1180" s="306"/>
      <c r="J1180" s="306"/>
      <c r="K1180" s="307"/>
      <c r="L1180" s="306"/>
      <c r="M1180" s="306"/>
      <c r="N1180" s="306"/>
      <c r="O1180" s="306"/>
      <c r="P1180" s="306"/>
      <c r="Q1180" s="306"/>
      <c r="R1180" s="306"/>
      <c r="S1180" s="306"/>
      <c r="T1180" s="306"/>
      <c r="U1180" s="306"/>
      <c r="V1180" s="305"/>
      <c r="W1180" s="306"/>
      <c r="X1180" s="306"/>
      <c r="Y1180" s="306"/>
      <c r="Z1180" s="307"/>
      <c r="AA1180" s="306"/>
      <c r="AB1180" s="306"/>
      <c r="AC1180" s="306"/>
    </row>
    <row r="1181">
      <c r="A1181" s="306"/>
      <c r="B1181" s="306"/>
      <c r="C1181" s="306"/>
      <c r="D1181" s="305"/>
      <c r="E1181" s="306"/>
      <c r="F1181" s="306"/>
      <c r="G1181" s="306"/>
      <c r="H1181" s="306"/>
      <c r="I1181" s="306"/>
      <c r="J1181" s="306"/>
      <c r="K1181" s="307"/>
      <c r="L1181" s="306"/>
      <c r="M1181" s="306"/>
      <c r="N1181" s="306"/>
      <c r="O1181" s="306"/>
      <c r="P1181" s="306"/>
      <c r="Q1181" s="306"/>
      <c r="R1181" s="306"/>
      <c r="S1181" s="306"/>
      <c r="T1181" s="306"/>
      <c r="U1181" s="306"/>
      <c r="V1181" s="305"/>
      <c r="W1181" s="306"/>
      <c r="X1181" s="306"/>
      <c r="Y1181" s="306"/>
      <c r="Z1181" s="307"/>
      <c r="AA1181" s="306"/>
      <c r="AB1181" s="306"/>
      <c r="AC1181" s="306"/>
    </row>
    <row r="1182">
      <c r="A1182" s="306"/>
      <c r="B1182" s="306"/>
      <c r="C1182" s="306"/>
      <c r="D1182" s="305"/>
      <c r="E1182" s="306"/>
      <c r="F1182" s="306"/>
      <c r="G1182" s="306"/>
      <c r="H1182" s="306"/>
      <c r="I1182" s="306"/>
      <c r="J1182" s="306"/>
      <c r="K1182" s="307"/>
      <c r="L1182" s="306"/>
      <c r="M1182" s="306"/>
      <c r="N1182" s="306"/>
      <c r="O1182" s="306"/>
      <c r="P1182" s="306"/>
      <c r="Q1182" s="306"/>
      <c r="R1182" s="306"/>
      <c r="S1182" s="306"/>
      <c r="T1182" s="306"/>
      <c r="U1182" s="306"/>
      <c r="V1182" s="305"/>
      <c r="W1182" s="306"/>
      <c r="X1182" s="306"/>
      <c r="Y1182" s="306"/>
      <c r="Z1182" s="307"/>
      <c r="AA1182" s="306"/>
      <c r="AB1182" s="306"/>
      <c r="AC1182" s="306"/>
    </row>
    <row r="1183">
      <c r="A1183" s="306"/>
      <c r="B1183" s="306"/>
      <c r="C1183" s="306"/>
      <c r="D1183" s="305"/>
      <c r="E1183" s="306"/>
      <c r="F1183" s="306"/>
      <c r="G1183" s="306"/>
      <c r="H1183" s="306"/>
      <c r="I1183" s="306"/>
      <c r="J1183" s="306"/>
      <c r="K1183" s="307"/>
      <c r="L1183" s="306"/>
      <c r="M1183" s="306"/>
      <c r="N1183" s="306"/>
      <c r="O1183" s="306"/>
      <c r="P1183" s="306"/>
      <c r="Q1183" s="306"/>
      <c r="R1183" s="306"/>
      <c r="S1183" s="306"/>
      <c r="T1183" s="306"/>
      <c r="U1183" s="306"/>
      <c r="V1183" s="305"/>
      <c r="W1183" s="306"/>
      <c r="X1183" s="306"/>
      <c r="Y1183" s="306"/>
      <c r="Z1183" s="307"/>
      <c r="AA1183" s="306"/>
      <c r="AB1183" s="306"/>
      <c r="AC1183" s="306"/>
    </row>
    <row r="1184">
      <c r="A1184" s="306"/>
      <c r="B1184" s="306"/>
      <c r="C1184" s="306"/>
      <c r="D1184" s="305"/>
      <c r="E1184" s="306"/>
      <c r="F1184" s="306"/>
      <c r="G1184" s="306"/>
      <c r="H1184" s="306"/>
      <c r="I1184" s="306"/>
      <c r="J1184" s="306"/>
      <c r="K1184" s="307"/>
      <c r="L1184" s="306"/>
      <c r="M1184" s="306"/>
      <c r="N1184" s="306"/>
      <c r="O1184" s="306"/>
      <c r="P1184" s="306"/>
      <c r="Q1184" s="306"/>
      <c r="R1184" s="306"/>
      <c r="S1184" s="306"/>
      <c r="T1184" s="306"/>
      <c r="U1184" s="306"/>
      <c r="V1184" s="305"/>
      <c r="W1184" s="306"/>
      <c r="X1184" s="306"/>
      <c r="Y1184" s="306"/>
      <c r="Z1184" s="307"/>
      <c r="AA1184" s="306"/>
      <c r="AB1184" s="306"/>
      <c r="AC1184" s="306"/>
    </row>
    <row r="1185">
      <c r="A1185" s="306"/>
      <c r="B1185" s="306"/>
      <c r="C1185" s="306"/>
      <c r="D1185" s="305"/>
      <c r="E1185" s="306"/>
      <c r="F1185" s="306"/>
      <c r="G1185" s="306"/>
      <c r="H1185" s="306"/>
      <c r="I1185" s="306"/>
      <c r="J1185" s="306"/>
      <c r="K1185" s="307"/>
      <c r="L1185" s="306"/>
      <c r="M1185" s="306"/>
      <c r="N1185" s="306"/>
      <c r="O1185" s="306"/>
      <c r="P1185" s="306"/>
      <c r="Q1185" s="306"/>
      <c r="R1185" s="306"/>
      <c r="S1185" s="306"/>
      <c r="T1185" s="306"/>
      <c r="U1185" s="306"/>
      <c r="V1185" s="305"/>
      <c r="W1185" s="306"/>
      <c r="X1185" s="306"/>
      <c r="Y1185" s="306"/>
      <c r="Z1185" s="307"/>
      <c r="AA1185" s="306"/>
      <c r="AB1185" s="306"/>
      <c r="AC1185" s="306"/>
    </row>
    <row r="1186">
      <c r="A1186" s="306"/>
      <c r="B1186" s="306"/>
      <c r="C1186" s="306"/>
      <c r="D1186" s="305"/>
      <c r="E1186" s="306"/>
      <c r="F1186" s="306"/>
      <c r="G1186" s="306"/>
      <c r="H1186" s="306"/>
      <c r="I1186" s="306"/>
      <c r="J1186" s="306"/>
      <c r="K1186" s="307"/>
      <c r="L1186" s="306"/>
      <c r="M1186" s="306"/>
      <c r="N1186" s="306"/>
      <c r="O1186" s="306"/>
      <c r="P1186" s="306"/>
      <c r="Q1186" s="306"/>
      <c r="R1186" s="306"/>
      <c r="S1186" s="306"/>
      <c r="T1186" s="306"/>
      <c r="U1186" s="306"/>
      <c r="V1186" s="305"/>
      <c r="W1186" s="306"/>
      <c r="X1186" s="306"/>
      <c r="Y1186" s="306"/>
      <c r="Z1186" s="307"/>
      <c r="AA1186" s="306"/>
      <c r="AB1186" s="306"/>
      <c r="AC1186" s="306"/>
    </row>
    <row r="1187">
      <c r="A1187" s="306"/>
      <c r="B1187" s="306"/>
      <c r="C1187" s="306"/>
      <c r="D1187" s="305"/>
      <c r="E1187" s="306"/>
      <c r="F1187" s="306"/>
      <c r="G1187" s="306"/>
      <c r="H1187" s="306"/>
      <c r="I1187" s="306"/>
      <c r="J1187" s="306"/>
      <c r="K1187" s="307"/>
      <c r="L1187" s="306"/>
      <c r="M1187" s="306"/>
      <c r="N1187" s="306"/>
      <c r="O1187" s="306"/>
      <c r="P1187" s="306"/>
      <c r="Q1187" s="306"/>
      <c r="R1187" s="306"/>
      <c r="S1187" s="306"/>
      <c r="T1187" s="306"/>
      <c r="U1187" s="306"/>
      <c r="V1187" s="305"/>
      <c r="W1187" s="306"/>
      <c r="X1187" s="306"/>
      <c r="Y1187" s="306"/>
      <c r="Z1187" s="307"/>
      <c r="AA1187" s="306"/>
      <c r="AB1187" s="306"/>
      <c r="AC1187" s="306"/>
    </row>
    <row r="1188">
      <c r="A1188" s="306"/>
      <c r="B1188" s="306"/>
      <c r="C1188" s="306"/>
      <c r="D1188" s="305"/>
      <c r="E1188" s="306"/>
      <c r="F1188" s="306"/>
      <c r="G1188" s="306"/>
      <c r="H1188" s="306"/>
      <c r="I1188" s="306"/>
      <c r="J1188" s="306"/>
      <c r="K1188" s="307"/>
      <c r="L1188" s="306"/>
      <c r="M1188" s="306"/>
      <c r="N1188" s="306"/>
      <c r="O1188" s="306"/>
      <c r="P1188" s="306"/>
      <c r="Q1188" s="306"/>
      <c r="R1188" s="306"/>
      <c r="S1188" s="306"/>
      <c r="T1188" s="306"/>
      <c r="U1188" s="306"/>
      <c r="V1188" s="305"/>
      <c r="W1188" s="306"/>
      <c r="X1188" s="306"/>
      <c r="Y1188" s="306"/>
      <c r="Z1188" s="307"/>
      <c r="AA1188" s="306"/>
      <c r="AB1188" s="306"/>
      <c r="AC1188" s="306"/>
    </row>
    <row r="1189">
      <c r="A1189" s="306"/>
      <c r="B1189" s="306"/>
      <c r="C1189" s="306"/>
      <c r="D1189" s="305"/>
      <c r="E1189" s="306"/>
      <c r="F1189" s="306"/>
      <c r="G1189" s="306"/>
      <c r="H1189" s="306"/>
      <c r="I1189" s="306"/>
      <c r="J1189" s="306"/>
      <c r="K1189" s="307"/>
      <c r="L1189" s="306"/>
      <c r="M1189" s="306"/>
      <c r="N1189" s="306"/>
      <c r="O1189" s="306"/>
      <c r="P1189" s="306"/>
      <c r="Q1189" s="306"/>
      <c r="R1189" s="306"/>
      <c r="S1189" s="306"/>
      <c r="T1189" s="306"/>
      <c r="U1189" s="306"/>
      <c r="V1189" s="305"/>
      <c r="W1189" s="306"/>
      <c r="X1189" s="306"/>
      <c r="Y1189" s="306"/>
      <c r="Z1189" s="307"/>
      <c r="AA1189" s="306"/>
      <c r="AB1189" s="306"/>
      <c r="AC1189" s="306"/>
    </row>
    <row r="1190">
      <c r="A1190" s="306"/>
      <c r="B1190" s="306"/>
      <c r="C1190" s="306"/>
      <c r="D1190" s="305"/>
      <c r="E1190" s="306"/>
      <c r="F1190" s="306"/>
      <c r="G1190" s="306"/>
      <c r="H1190" s="306"/>
      <c r="I1190" s="306"/>
      <c r="J1190" s="306"/>
      <c r="K1190" s="307"/>
      <c r="L1190" s="306"/>
      <c r="M1190" s="306"/>
      <c r="N1190" s="306"/>
      <c r="O1190" s="306"/>
      <c r="P1190" s="306"/>
      <c r="Q1190" s="306"/>
      <c r="R1190" s="306"/>
      <c r="S1190" s="306"/>
      <c r="T1190" s="306"/>
      <c r="U1190" s="306"/>
      <c r="V1190" s="305"/>
      <c r="W1190" s="306"/>
      <c r="X1190" s="306"/>
      <c r="Y1190" s="306"/>
      <c r="Z1190" s="307"/>
      <c r="AA1190" s="306"/>
      <c r="AB1190" s="306"/>
      <c r="AC1190" s="306"/>
    </row>
    <row r="1191">
      <c r="A1191" s="306"/>
      <c r="B1191" s="306"/>
      <c r="C1191" s="306"/>
      <c r="D1191" s="305"/>
      <c r="E1191" s="306"/>
      <c r="F1191" s="306"/>
      <c r="G1191" s="306"/>
      <c r="H1191" s="306"/>
      <c r="I1191" s="306"/>
      <c r="J1191" s="306"/>
      <c r="K1191" s="307"/>
      <c r="L1191" s="306"/>
      <c r="M1191" s="306"/>
      <c r="N1191" s="306"/>
      <c r="O1191" s="306"/>
      <c r="P1191" s="306"/>
      <c r="Q1191" s="306"/>
      <c r="R1191" s="306"/>
      <c r="S1191" s="306"/>
      <c r="T1191" s="306"/>
      <c r="U1191" s="306"/>
      <c r="V1191" s="305"/>
      <c r="W1191" s="306"/>
      <c r="X1191" s="306"/>
      <c r="Y1191" s="306"/>
      <c r="Z1191" s="307"/>
      <c r="AA1191" s="306"/>
      <c r="AB1191" s="306"/>
      <c r="AC1191" s="306"/>
    </row>
    <row r="1192">
      <c r="A1192" s="306"/>
      <c r="B1192" s="306"/>
      <c r="C1192" s="306"/>
      <c r="D1192" s="305"/>
      <c r="E1192" s="306"/>
      <c r="F1192" s="306"/>
      <c r="G1192" s="306"/>
      <c r="H1192" s="306"/>
      <c r="I1192" s="306"/>
      <c r="J1192" s="306"/>
      <c r="K1192" s="307"/>
      <c r="L1192" s="306"/>
      <c r="M1192" s="306"/>
      <c r="N1192" s="306"/>
      <c r="O1192" s="306"/>
      <c r="P1192" s="306"/>
      <c r="Q1192" s="306"/>
      <c r="R1192" s="306"/>
      <c r="S1192" s="306"/>
      <c r="T1192" s="306"/>
      <c r="U1192" s="306"/>
      <c r="V1192" s="305"/>
      <c r="W1192" s="306"/>
      <c r="X1192" s="306"/>
      <c r="Y1192" s="306"/>
      <c r="Z1192" s="307"/>
      <c r="AA1192" s="306"/>
      <c r="AB1192" s="306"/>
      <c r="AC1192" s="306"/>
    </row>
    <row r="1193">
      <c r="A1193" s="306"/>
      <c r="B1193" s="306"/>
      <c r="C1193" s="306"/>
      <c r="D1193" s="305"/>
      <c r="E1193" s="306"/>
      <c r="F1193" s="306"/>
      <c r="G1193" s="306"/>
      <c r="H1193" s="306"/>
      <c r="I1193" s="306"/>
      <c r="J1193" s="306"/>
      <c r="K1193" s="307"/>
      <c r="L1193" s="306"/>
      <c r="M1193" s="306"/>
      <c r="N1193" s="306"/>
      <c r="O1193" s="306"/>
      <c r="P1193" s="306"/>
      <c r="Q1193" s="306"/>
      <c r="R1193" s="306"/>
      <c r="S1193" s="306"/>
      <c r="T1193" s="306"/>
      <c r="U1193" s="306"/>
      <c r="V1193" s="305"/>
      <c r="W1193" s="306"/>
      <c r="X1193" s="306"/>
      <c r="Y1193" s="306"/>
      <c r="Z1193" s="307"/>
      <c r="AA1193" s="306"/>
      <c r="AB1193" s="306"/>
      <c r="AC1193" s="306"/>
    </row>
    <row r="1194">
      <c r="A1194" s="306"/>
      <c r="B1194" s="306"/>
      <c r="C1194" s="306"/>
      <c r="D1194" s="305"/>
      <c r="E1194" s="306"/>
      <c r="F1194" s="306"/>
      <c r="G1194" s="306"/>
      <c r="H1194" s="306"/>
      <c r="I1194" s="306"/>
      <c r="J1194" s="306"/>
      <c r="K1194" s="307"/>
      <c r="L1194" s="306"/>
      <c r="M1194" s="306"/>
      <c r="N1194" s="306"/>
      <c r="O1194" s="306"/>
      <c r="P1194" s="306"/>
      <c r="Q1194" s="306"/>
      <c r="R1194" s="306"/>
      <c r="S1194" s="306"/>
      <c r="T1194" s="306"/>
      <c r="U1194" s="306"/>
      <c r="V1194" s="305"/>
      <c r="W1194" s="306"/>
      <c r="X1194" s="306"/>
      <c r="Y1194" s="306"/>
      <c r="Z1194" s="307"/>
      <c r="AA1194" s="306"/>
      <c r="AB1194" s="306"/>
      <c r="AC1194" s="306"/>
    </row>
    <row r="1195">
      <c r="A1195" s="306"/>
      <c r="B1195" s="306"/>
      <c r="C1195" s="306"/>
      <c r="D1195" s="305"/>
      <c r="E1195" s="306"/>
      <c r="F1195" s="306"/>
      <c r="G1195" s="306"/>
      <c r="H1195" s="306"/>
      <c r="I1195" s="306"/>
      <c r="J1195" s="306"/>
      <c r="K1195" s="307"/>
      <c r="L1195" s="306"/>
      <c r="M1195" s="306"/>
      <c r="N1195" s="306"/>
      <c r="O1195" s="306"/>
      <c r="P1195" s="306"/>
      <c r="Q1195" s="306"/>
      <c r="R1195" s="306"/>
      <c r="S1195" s="306"/>
      <c r="T1195" s="306"/>
      <c r="U1195" s="306"/>
      <c r="V1195" s="305"/>
      <c r="W1195" s="306"/>
      <c r="X1195" s="306"/>
      <c r="Y1195" s="306"/>
      <c r="Z1195" s="307"/>
      <c r="AA1195" s="306"/>
      <c r="AB1195" s="306"/>
      <c r="AC1195" s="306"/>
    </row>
    <row r="1196">
      <c r="A1196" s="306"/>
      <c r="B1196" s="306"/>
      <c r="C1196" s="306"/>
      <c r="D1196" s="305"/>
      <c r="E1196" s="306"/>
      <c r="F1196" s="306"/>
      <c r="G1196" s="306"/>
      <c r="H1196" s="306"/>
      <c r="I1196" s="306"/>
      <c r="J1196" s="306"/>
      <c r="K1196" s="307"/>
      <c r="L1196" s="306"/>
      <c r="M1196" s="306"/>
      <c r="N1196" s="306"/>
      <c r="O1196" s="306"/>
      <c r="P1196" s="306"/>
      <c r="Q1196" s="306"/>
      <c r="R1196" s="306"/>
      <c r="S1196" s="306"/>
      <c r="T1196" s="306"/>
      <c r="U1196" s="306"/>
      <c r="V1196" s="305"/>
      <c r="W1196" s="306"/>
      <c r="X1196" s="306"/>
      <c r="Y1196" s="306"/>
      <c r="Z1196" s="307"/>
      <c r="AA1196" s="306"/>
      <c r="AB1196" s="306"/>
      <c r="AC1196" s="306"/>
    </row>
    <row r="1197">
      <c r="A1197" s="306"/>
      <c r="B1197" s="306"/>
      <c r="C1197" s="306"/>
      <c r="D1197" s="305"/>
      <c r="E1197" s="306"/>
      <c r="F1197" s="306"/>
      <c r="G1197" s="306"/>
      <c r="H1197" s="306"/>
      <c r="I1197" s="306"/>
      <c r="J1197" s="306"/>
      <c r="K1197" s="307"/>
      <c r="L1197" s="306"/>
      <c r="M1197" s="306"/>
      <c r="N1197" s="306"/>
      <c r="O1197" s="306"/>
      <c r="P1197" s="306"/>
      <c r="Q1197" s="306"/>
      <c r="R1197" s="306"/>
      <c r="S1197" s="306"/>
      <c r="T1197" s="306"/>
      <c r="U1197" s="306"/>
      <c r="V1197" s="305"/>
      <c r="W1197" s="306"/>
      <c r="X1197" s="306"/>
      <c r="Y1197" s="306"/>
      <c r="Z1197" s="307"/>
      <c r="AA1197" s="306"/>
      <c r="AB1197" s="306"/>
      <c r="AC1197" s="306"/>
    </row>
    <row r="1198">
      <c r="A1198" s="306"/>
      <c r="B1198" s="306"/>
      <c r="C1198" s="306"/>
      <c r="D1198" s="305"/>
      <c r="E1198" s="306"/>
      <c r="F1198" s="306"/>
      <c r="G1198" s="306"/>
      <c r="H1198" s="306"/>
      <c r="I1198" s="306"/>
      <c r="J1198" s="306"/>
      <c r="K1198" s="307"/>
      <c r="L1198" s="306"/>
      <c r="M1198" s="306"/>
      <c r="N1198" s="306"/>
      <c r="O1198" s="306"/>
      <c r="P1198" s="306"/>
      <c r="Q1198" s="306"/>
      <c r="R1198" s="306"/>
      <c r="S1198" s="306"/>
      <c r="T1198" s="306"/>
      <c r="U1198" s="306"/>
      <c r="V1198" s="305"/>
      <c r="W1198" s="306"/>
      <c r="X1198" s="306"/>
      <c r="Y1198" s="306"/>
      <c r="Z1198" s="307"/>
      <c r="AA1198" s="306"/>
      <c r="AB1198" s="306"/>
      <c r="AC1198" s="306"/>
    </row>
    <row r="1199">
      <c r="A1199" s="306"/>
      <c r="B1199" s="306"/>
      <c r="C1199" s="306"/>
      <c r="D1199" s="305"/>
      <c r="E1199" s="306"/>
      <c r="F1199" s="306"/>
      <c r="G1199" s="306"/>
      <c r="H1199" s="306"/>
      <c r="I1199" s="306"/>
      <c r="J1199" s="306"/>
      <c r="K1199" s="307"/>
      <c r="L1199" s="306"/>
      <c r="M1199" s="306"/>
      <c r="N1199" s="306"/>
      <c r="O1199" s="306"/>
      <c r="P1199" s="306"/>
      <c r="Q1199" s="306"/>
      <c r="R1199" s="306"/>
      <c r="S1199" s="306"/>
      <c r="T1199" s="306"/>
      <c r="U1199" s="306"/>
      <c r="V1199" s="305"/>
      <c r="W1199" s="306"/>
      <c r="X1199" s="306"/>
      <c r="Y1199" s="306"/>
      <c r="Z1199" s="307"/>
      <c r="AA1199" s="306"/>
      <c r="AB1199" s="306"/>
      <c r="AC1199" s="306"/>
    </row>
    <row r="1200">
      <c r="A1200" s="306"/>
      <c r="B1200" s="306"/>
      <c r="C1200" s="306"/>
      <c r="D1200" s="305"/>
      <c r="E1200" s="306"/>
      <c r="F1200" s="306"/>
      <c r="G1200" s="306"/>
      <c r="H1200" s="306"/>
      <c r="I1200" s="306"/>
      <c r="J1200" s="306"/>
      <c r="K1200" s="307"/>
      <c r="L1200" s="306"/>
      <c r="M1200" s="306"/>
      <c r="N1200" s="306"/>
      <c r="O1200" s="306"/>
      <c r="P1200" s="306"/>
      <c r="Q1200" s="306"/>
      <c r="R1200" s="306"/>
      <c r="S1200" s="306"/>
      <c r="T1200" s="306"/>
      <c r="U1200" s="306"/>
      <c r="V1200" s="305"/>
      <c r="W1200" s="306"/>
      <c r="X1200" s="306"/>
      <c r="Y1200" s="306"/>
      <c r="Z1200" s="307"/>
      <c r="AA1200" s="306"/>
      <c r="AB1200" s="306"/>
      <c r="AC1200" s="306"/>
    </row>
    <row r="1201">
      <c r="A1201" s="306"/>
      <c r="B1201" s="306"/>
      <c r="C1201" s="306"/>
      <c r="D1201" s="305"/>
      <c r="E1201" s="306"/>
      <c r="F1201" s="306"/>
      <c r="G1201" s="306"/>
      <c r="H1201" s="306"/>
      <c r="I1201" s="306"/>
      <c r="J1201" s="306"/>
      <c r="K1201" s="307"/>
      <c r="L1201" s="306"/>
      <c r="M1201" s="306"/>
      <c r="N1201" s="306"/>
      <c r="O1201" s="306"/>
      <c r="P1201" s="306"/>
      <c r="Q1201" s="306"/>
      <c r="R1201" s="306"/>
      <c r="S1201" s="306"/>
      <c r="T1201" s="306"/>
      <c r="U1201" s="306"/>
      <c r="V1201" s="305"/>
      <c r="W1201" s="306"/>
      <c r="X1201" s="306"/>
      <c r="Y1201" s="306"/>
      <c r="Z1201" s="307"/>
      <c r="AA1201" s="306"/>
      <c r="AB1201" s="306"/>
      <c r="AC1201" s="306"/>
    </row>
    <row r="1202">
      <c r="A1202" s="306"/>
      <c r="B1202" s="306"/>
      <c r="C1202" s="306"/>
      <c r="D1202" s="305"/>
      <c r="E1202" s="306"/>
      <c r="F1202" s="306"/>
      <c r="G1202" s="306"/>
      <c r="H1202" s="306"/>
      <c r="I1202" s="306"/>
      <c r="J1202" s="306"/>
      <c r="K1202" s="307"/>
      <c r="L1202" s="306"/>
      <c r="M1202" s="306"/>
      <c r="N1202" s="306"/>
      <c r="O1202" s="306"/>
      <c r="P1202" s="306"/>
      <c r="Q1202" s="306"/>
      <c r="R1202" s="306"/>
      <c r="S1202" s="306"/>
      <c r="T1202" s="306"/>
      <c r="U1202" s="306"/>
      <c r="V1202" s="305"/>
      <c r="W1202" s="306"/>
      <c r="X1202" s="306"/>
      <c r="Y1202" s="306"/>
      <c r="Z1202" s="307"/>
      <c r="AA1202" s="306"/>
      <c r="AB1202" s="306"/>
      <c r="AC1202" s="306"/>
    </row>
    <row r="1203">
      <c r="A1203" s="306"/>
      <c r="B1203" s="306"/>
      <c r="C1203" s="306"/>
      <c r="D1203" s="305"/>
      <c r="E1203" s="306"/>
      <c r="F1203" s="306"/>
      <c r="G1203" s="306"/>
      <c r="H1203" s="306"/>
      <c r="I1203" s="306"/>
      <c r="J1203" s="306"/>
      <c r="K1203" s="307"/>
      <c r="L1203" s="306"/>
      <c r="M1203" s="306"/>
      <c r="N1203" s="306"/>
      <c r="O1203" s="306"/>
      <c r="P1203" s="306"/>
      <c r="Q1203" s="306"/>
      <c r="R1203" s="306"/>
      <c r="S1203" s="306"/>
      <c r="T1203" s="306"/>
      <c r="U1203" s="306"/>
      <c r="V1203" s="305"/>
      <c r="W1203" s="306"/>
      <c r="X1203" s="306"/>
      <c r="Y1203" s="306"/>
      <c r="Z1203" s="307"/>
      <c r="AA1203" s="306"/>
      <c r="AB1203" s="306"/>
      <c r="AC1203" s="306"/>
    </row>
    <row r="1204">
      <c r="A1204" s="306"/>
      <c r="B1204" s="306"/>
      <c r="C1204" s="306"/>
      <c r="D1204" s="305"/>
      <c r="E1204" s="306"/>
      <c r="F1204" s="306"/>
      <c r="G1204" s="306"/>
      <c r="H1204" s="306"/>
      <c r="I1204" s="306"/>
      <c r="J1204" s="306"/>
      <c r="K1204" s="307"/>
      <c r="L1204" s="306"/>
      <c r="M1204" s="306"/>
      <c r="N1204" s="306"/>
      <c r="O1204" s="306"/>
      <c r="P1204" s="306"/>
      <c r="Q1204" s="306"/>
      <c r="R1204" s="306"/>
      <c r="S1204" s="306"/>
      <c r="T1204" s="306"/>
      <c r="U1204" s="306"/>
      <c r="V1204" s="305"/>
      <c r="W1204" s="306"/>
      <c r="X1204" s="306"/>
      <c r="Y1204" s="306"/>
      <c r="Z1204" s="307"/>
      <c r="AA1204" s="306"/>
      <c r="AB1204" s="306"/>
      <c r="AC1204" s="306"/>
    </row>
    <row r="1205">
      <c r="A1205" s="306"/>
      <c r="B1205" s="306"/>
      <c r="C1205" s="306"/>
      <c r="D1205" s="305"/>
      <c r="E1205" s="306"/>
      <c r="F1205" s="306"/>
      <c r="G1205" s="306"/>
      <c r="H1205" s="306"/>
      <c r="I1205" s="306"/>
      <c r="J1205" s="306"/>
      <c r="K1205" s="307"/>
      <c r="L1205" s="306"/>
      <c r="M1205" s="306"/>
      <c r="N1205" s="306"/>
      <c r="O1205" s="306"/>
      <c r="P1205" s="306"/>
      <c r="Q1205" s="306"/>
      <c r="R1205" s="306"/>
      <c r="S1205" s="306"/>
      <c r="T1205" s="306"/>
      <c r="U1205" s="306"/>
      <c r="V1205" s="305"/>
      <c r="W1205" s="306"/>
      <c r="X1205" s="306"/>
      <c r="Y1205" s="306"/>
      <c r="Z1205" s="307"/>
      <c r="AA1205" s="306"/>
      <c r="AB1205" s="306"/>
      <c r="AC1205" s="306"/>
    </row>
    <row r="1206">
      <c r="A1206" s="306"/>
      <c r="B1206" s="306"/>
      <c r="C1206" s="306"/>
      <c r="D1206" s="305"/>
      <c r="E1206" s="306"/>
      <c r="F1206" s="306"/>
      <c r="G1206" s="306"/>
      <c r="H1206" s="306"/>
      <c r="I1206" s="306"/>
      <c r="J1206" s="306"/>
      <c r="K1206" s="307"/>
      <c r="L1206" s="306"/>
      <c r="M1206" s="306"/>
      <c r="N1206" s="306"/>
      <c r="O1206" s="306"/>
      <c r="P1206" s="306"/>
      <c r="Q1206" s="306"/>
      <c r="R1206" s="306"/>
      <c r="S1206" s="306"/>
      <c r="T1206" s="306"/>
      <c r="U1206" s="306"/>
      <c r="V1206" s="305"/>
      <c r="W1206" s="306"/>
      <c r="X1206" s="306"/>
      <c r="Y1206" s="306"/>
      <c r="Z1206" s="307"/>
      <c r="AA1206" s="306"/>
      <c r="AB1206" s="306"/>
      <c r="AC1206" s="306"/>
    </row>
    <row r="1207">
      <c r="A1207" s="306"/>
      <c r="B1207" s="306"/>
      <c r="C1207" s="306"/>
      <c r="D1207" s="305"/>
      <c r="E1207" s="306"/>
      <c r="F1207" s="306"/>
      <c r="G1207" s="306"/>
      <c r="H1207" s="306"/>
      <c r="I1207" s="306"/>
      <c r="J1207" s="306"/>
      <c r="K1207" s="307"/>
      <c r="L1207" s="306"/>
      <c r="M1207" s="306"/>
      <c r="N1207" s="306"/>
      <c r="O1207" s="306"/>
      <c r="P1207" s="306"/>
      <c r="Q1207" s="306"/>
      <c r="R1207" s="306"/>
      <c r="S1207" s="306"/>
      <c r="T1207" s="306"/>
      <c r="U1207" s="306"/>
      <c r="V1207" s="305"/>
      <c r="W1207" s="306"/>
      <c r="X1207" s="306"/>
      <c r="Y1207" s="306"/>
      <c r="Z1207" s="307"/>
      <c r="AA1207" s="306"/>
      <c r="AB1207" s="306"/>
      <c r="AC1207" s="306"/>
    </row>
    <row r="1208">
      <c r="A1208" s="306"/>
      <c r="B1208" s="306"/>
      <c r="C1208" s="306"/>
      <c r="D1208" s="305"/>
      <c r="E1208" s="306"/>
      <c r="F1208" s="306"/>
      <c r="G1208" s="306"/>
      <c r="H1208" s="306"/>
      <c r="I1208" s="306"/>
      <c r="J1208" s="306"/>
      <c r="K1208" s="307"/>
      <c r="L1208" s="306"/>
      <c r="M1208" s="306"/>
      <c r="N1208" s="306"/>
      <c r="O1208" s="306"/>
      <c r="P1208" s="306"/>
      <c r="Q1208" s="306"/>
      <c r="R1208" s="306"/>
      <c r="S1208" s="306"/>
      <c r="T1208" s="306"/>
      <c r="U1208" s="306"/>
      <c r="V1208" s="305"/>
      <c r="W1208" s="306"/>
      <c r="X1208" s="306"/>
      <c r="Y1208" s="306"/>
      <c r="Z1208" s="307"/>
      <c r="AA1208" s="306"/>
      <c r="AB1208" s="306"/>
      <c r="AC1208" s="306"/>
    </row>
    <row r="1209">
      <c r="A1209" s="306"/>
      <c r="B1209" s="306"/>
      <c r="C1209" s="306"/>
      <c r="D1209" s="305"/>
      <c r="E1209" s="306"/>
      <c r="F1209" s="306"/>
      <c r="G1209" s="306"/>
      <c r="H1209" s="306"/>
      <c r="I1209" s="306"/>
      <c r="J1209" s="306"/>
      <c r="K1209" s="307"/>
      <c r="L1209" s="306"/>
      <c r="M1209" s="306"/>
      <c r="N1209" s="306"/>
      <c r="O1209" s="306"/>
      <c r="P1209" s="306"/>
      <c r="Q1209" s="306"/>
      <c r="R1209" s="306"/>
      <c r="S1209" s="306"/>
      <c r="T1209" s="306"/>
      <c r="U1209" s="306"/>
      <c r="V1209" s="305"/>
      <c r="W1209" s="306"/>
      <c r="X1209" s="306"/>
      <c r="Y1209" s="306"/>
      <c r="Z1209" s="307"/>
      <c r="AA1209" s="306"/>
      <c r="AB1209" s="306"/>
      <c r="AC1209" s="306"/>
    </row>
    <row r="1210">
      <c r="A1210" s="306"/>
      <c r="B1210" s="306"/>
      <c r="C1210" s="306"/>
      <c r="D1210" s="305"/>
      <c r="E1210" s="306"/>
      <c r="F1210" s="306"/>
      <c r="G1210" s="306"/>
      <c r="H1210" s="306"/>
      <c r="I1210" s="306"/>
      <c r="J1210" s="306"/>
      <c r="K1210" s="307"/>
      <c r="L1210" s="306"/>
      <c r="M1210" s="306"/>
      <c r="N1210" s="306"/>
      <c r="O1210" s="306"/>
      <c r="P1210" s="306"/>
      <c r="Q1210" s="306"/>
      <c r="R1210" s="306"/>
      <c r="S1210" s="306"/>
      <c r="T1210" s="306"/>
      <c r="U1210" s="306"/>
      <c r="V1210" s="305"/>
      <c r="W1210" s="306"/>
      <c r="X1210" s="306"/>
      <c r="Y1210" s="306"/>
      <c r="Z1210" s="307"/>
      <c r="AA1210" s="306"/>
      <c r="AB1210" s="306"/>
      <c r="AC1210" s="306"/>
    </row>
    <row r="1211">
      <c r="A1211" s="306"/>
      <c r="B1211" s="306"/>
      <c r="C1211" s="306"/>
      <c r="D1211" s="305"/>
      <c r="E1211" s="306"/>
      <c r="F1211" s="306"/>
      <c r="G1211" s="306"/>
      <c r="H1211" s="306"/>
      <c r="I1211" s="306"/>
      <c r="J1211" s="306"/>
      <c r="K1211" s="307"/>
      <c r="L1211" s="306"/>
      <c r="M1211" s="306"/>
      <c r="N1211" s="306"/>
      <c r="O1211" s="306"/>
      <c r="P1211" s="306"/>
      <c r="Q1211" s="306"/>
      <c r="R1211" s="306"/>
      <c r="S1211" s="306"/>
      <c r="T1211" s="306"/>
      <c r="U1211" s="306"/>
      <c r="V1211" s="305"/>
      <c r="W1211" s="306"/>
      <c r="X1211" s="306"/>
      <c r="Y1211" s="306"/>
      <c r="Z1211" s="307"/>
      <c r="AA1211" s="306"/>
      <c r="AB1211" s="306"/>
      <c r="AC1211" s="306"/>
    </row>
    <row r="1212">
      <c r="A1212" s="306"/>
      <c r="B1212" s="306"/>
      <c r="C1212" s="306"/>
      <c r="D1212" s="305"/>
      <c r="E1212" s="306"/>
      <c r="F1212" s="306"/>
      <c r="G1212" s="306"/>
      <c r="H1212" s="306"/>
      <c r="I1212" s="306"/>
      <c r="J1212" s="306"/>
      <c r="K1212" s="307"/>
      <c r="L1212" s="306"/>
      <c r="M1212" s="306"/>
      <c r="N1212" s="306"/>
      <c r="O1212" s="306"/>
      <c r="P1212" s="306"/>
      <c r="Q1212" s="306"/>
      <c r="R1212" s="306"/>
      <c r="S1212" s="306"/>
      <c r="T1212" s="306"/>
      <c r="U1212" s="306"/>
      <c r="V1212" s="305"/>
      <c r="W1212" s="306"/>
      <c r="X1212" s="306"/>
      <c r="Y1212" s="306"/>
      <c r="Z1212" s="307"/>
      <c r="AA1212" s="306"/>
      <c r="AB1212" s="306"/>
      <c r="AC1212" s="306"/>
    </row>
    <row r="1213">
      <c r="A1213" s="306"/>
      <c r="B1213" s="306"/>
      <c r="C1213" s="306"/>
      <c r="D1213" s="305"/>
      <c r="E1213" s="306"/>
      <c r="F1213" s="306"/>
      <c r="G1213" s="306"/>
      <c r="H1213" s="306"/>
      <c r="I1213" s="306"/>
      <c r="J1213" s="306"/>
      <c r="K1213" s="307"/>
      <c r="L1213" s="306"/>
      <c r="M1213" s="306"/>
      <c r="N1213" s="306"/>
      <c r="O1213" s="306"/>
      <c r="P1213" s="306"/>
      <c r="Q1213" s="306"/>
      <c r="R1213" s="306"/>
      <c r="S1213" s="306"/>
      <c r="T1213" s="306"/>
      <c r="U1213" s="306"/>
      <c r="V1213" s="305"/>
      <c r="W1213" s="306"/>
      <c r="X1213" s="306"/>
      <c r="Y1213" s="306"/>
      <c r="Z1213" s="307"/>
      <c r="AA1213" s="306"/>
      <c r="AB1213" s="306"/>
      <c r="AC1213" s="306"/>
    </row>
    <row r="1214">
      <c r="A1214" s="306"/>
      <c r="B1214" s="306"/>
      <c r="C1214" s="306"/>
      <c r="D1214" s="305"/>
      <c r="E1214" s="306"/>
      <c r="F1214" s="306"/>
      <c r="G1214" s="306"/>
      <c r="H1214" s="306"/>
      <c r="I1214" s="306"/>
      <c r="J1214" s="306"/>
      <c r="K1214" s="307"/>
      <c r="L1214" s="306"/>
      <c r="M1214" s="306"/>
      <c r="N1214" s="306"/>
      <c r="O1214" s="306"/>
      <c r="P1214" s="306"/>
      <c r="Q1214" s="306"/>
      <c r="R1214" s="306"/>
      <c r="S1214" s="306"/>
      <c r="T1214" s="306"/>
      <c r="U1214" s="306"/>
      <c r="V1214" s="305"/>
      <c r="W1214" s="306"/>
      <c r="X1214" s="306"/>
      <c r="Y1214" s="306"/>
      <c r="Z1214" s="307"/>
      <c r="AA1214" s="306"/>
      <c r="AB1214" s="306"/>
      <c r="AC1214" s="306"/>
    </row>
    <row r="1215">
      <c r="A1215" s="306"/>
      <c r="B1215" s="306"/>
      <c r="C1215" s="306"/>
      <c r="D1215" s="305"/>
      <c r="E1215" s="306"/>
      <c r="F1215" s="306"/>
      <c r="G1215" s="306"/>
      <c r="H1215" s="306"/>
      <c r="I1215" s="306"/>
      <c r="J1215" s="306"/>
      <c r="K1215" s="307"/>
      <c r="L1215" s="306"/>
      <c r="M1215" s="306"/>
      <c r="N1215" s="306"/>
      <c r="O1215" s="306"/>
      <c r="P1215" s="306"/>
      <c r="Q1215" s="306"/>
      <c r="R1215" s="306"/>
      <c r="S1215" s="306"/>
      <c r="T1215" s="306"/>
      <c r="U1215" s="306"/>
      <c r="V1215" s="305"/>
      <c r="W1215" s="306"/>
      <c r="X1215" s="306"/>
      <c r="Y1215" s="306"/>
      <c r="Z1215" s="307"/>
      <c r="AA1215" s="306"/>
      <c r="AB1215" s="306"/>
      <c r="AC1215" s="306"/>
    </row>
    <row r="1216">
      <c r="A1216" s="306"/>
      <c r="B1216" s="306"/>
      <c r="C1216" s="306"/>
      <c r="D1216" s="305"/>
      <c r="E1216" s="306"/>
      <c r="F1216" s="306"/>
      <c r="G1216" s="306"/>
      <c r="H1216" s="306"/>
      <c r="I1216" s="306"/>
      <c r="J1216" s="306"/>
      <c r="K1216" s="307"/>
      <c r="L1216" s="306"/>
      <c r="M1216" s="306"/>
      <c r="N1216" s="306"/>
      <c r="O1216" s="306"/>
      <c r="P1216" s="306"/>
      <c r="Q1216" s="306"/>
      <c r="R1216" s="306"/>
      <c r="S1216" s="306"/>
      <c r="T1216" s="306"/>
      <c r="U1216" s="306"/>
      <c r="V1216" s="305"/>
      <c r="W1216" s="306"/>
      <c r="X1216" s="306"/>
      <c r="Y1216" s="306"/>
      <c r="Z1216" s="307"/>
      <c r="AA1216" s="306"/>
      <c r="AB1216" s="306"/>
      <c r="AC1216" s="306"/>
    </row>
    <row r="1217">
      <c r="A1217" s="306"/>
      <c r="B1217" s="306"/>
      <c r="C1217" s="306"/>
      <c r="D1217" s="305"/>
      <c r="E1217" s="306"/>
      <c r="F1217" s="306"/>
      <c r="G1217" s="306"/>
      <c r="H1217" s="306"/>
      <c r="I1217" s="306"/>
      <c r="J1217" s="306"/>
      <c r="K1217" s="307"/>
      <c r="L1217" s="306"/>
      <c r="M1217" s="306"/>
      <c r="N1217" s="306"/>
      <c r="O1217" s="306"/>
      <c r="P1217" s="306"/>
      <c r="Q1217" s="306"/>
      <c r="R1217" s="306"/>
      <c r="S1217" s="306"/>
      <c r="T1217" s="306"/>
      <c r="U1217" s="306"/>
      <c r="V1217" s="305"/>
      <c r="W1217" s="306"/>
      <c r="X1217" s="306"/>
      <c r="Y1217" s="306"/>
      <c r="Z1217" s="307"/>
      <c r="AA1217" s="306"/>
      <c r="AB1217" s="306"/>
      <c r="AC1217" s="306"/>
    </row>
    <row r="1218">
      <c r="A1218" s="306"/>
      <c r="B1218" s="306"/>
      <c r="C1218" s="306"/>
      <c r="D1218" s="305"/>
      <c r="E1218" s="306"/>
      <c r="F1218" s="306"/>
      <c r="G1218" s="306"/>
      <c r="H1218" s="306"/>
      <c r="I1218" s="306"/>
      <c r="J1218" s="306"/>
      <c r="K1218" s="307"/>
      <c r="L1218" s="306"/>
      <c r="M1218" s="306"/>
      <c r="N1218" s="306"/>
      <c r="O1218" s="306"/>
      <c r="P1218" s="306"/>
      <c r="Q1218" s="306"/>
      <c r="R1218" s="306"/>
      <c r="S1218" s="306"/>
      <c r="T1218" s="306"/>
      <c r="U1218" s="306"/>
      <c r="V1218" s="305"/>
      <c r="W1218" s="306"/>
      <c r="X1218" s="306"/>
      <c r="Y1218" s="306"/>
      <c r="Z1218" s="307"/>
      <c r="AA1218" s="306"/>
      <c r="AB1218" s="306"/>
      <c r="AC1218" s="306"/>
    </row>
    <row r="1219">
      <c r="A1219" s="306"/>
      <c r="B1219" s="306"/>
      <c r="C1219" s="306"/>
      <c r="D1219" s="305"/>
      <c r="E1219" s="306"/>
      <c r="F1219" s="306"/>
      <c r="G1219" s="306"/>
      <c r="H1219" s="306"/>
      <c r="I1219" s="306"/>
      <c r="J1219" s="306"/>
      <c r="K1219" s="307"/>
      <c r="L1219" s="306"/>
      <c r="M1219" s="306"/>
      <c r="N1219" s="306"/>
      <c r="O1219" s="306"/>
      <c r="P1219" s="306"/>
      <c r="Q1219" s="306"/>
      <c r="R1219" s="306"/>
      <c r="S1219" s="306"/>
      <c r="T1219" s="306"/>
      <c r="U1219" s="306"/>
      <c r="V1219" s="305"/>
      <c r="W1219" s="306"/>
      <c r="X1219" s="306"/>
      <c r="Y1219" s="306"/>
      <c r="Z1219" s="307"/>
      <c r="AA1219" s="306"/>
      <c r="AB1219" s="306"/>
      <c r="AC1219" s="306"/>
    </row>
    <row r="1220">
      <c r="A1220" s="306"/>
      <c r="B1220" s="306"/>
      <c r="C1220" s="306"/>
      <c r="D1220" s="305"/>
      <c r="E1220" s="306"/>
      <c r="F1220" s="306"/>
      <c r="G1220" s="306"/>
      <c r="H1220" s="306"/>
      <c r="I1220" s="306"/>
      <c r="J1220" s="306"/>
      <c r="K1220" s="307"/>
      <c r="L1220" s="306"/>
      <c r="M1220" s="306"/>
      <c r="N1220" s="306"/>
      <c r="O1220" s="306"/>
      <c r="P1220" s="306"/>
      <c r="Q1220" s="306"/>
      <c r="R1220" s="306"/>
      <c r="S1220" s="306"/>
      <c r="T1220" s="306"/>
      <c r="U1220" s="306"/>
      <c r="V1220" s="305"/>
      <c r="W1220" s="306"/>
      <c r="X1220" s="306"/>
      <c r="Y1220" s="306"/>
      <c r="Z1220" s="307"/>
      <c r="AA1220" s="306"/>
      <c r="AB1220" s="306"/>
      <c r="AC1220" s="306"/>
    </row>
    <row r="1221">
      <c r="A1221" s="306"/>
      <c r="B1221" s="306"/>
      <c r="C1221" s="306"/>
      <c r="D1221" s="305"/>
      <c r="E1221" s="306"/>
      <c r="F1221" s="306"/>
      <c r="G1221" s="306"/>
      <c r="H1221" s="306"/>
      <c r="I1221" s="306"/>
      <c r="J1221" s="306"/>
      <c r="K1221" s="307"/>
      <c r="L1221" s="306"/>
      <c r="M1221" s="306"/>
      <c r="N1221" s="306"/>
      <c r="O1221" s="306"/>
      <c r="P1221" s="306"/>
      <c r="Q1221" s="306"/>
      <c r="R1221" s="306"/>
      <c r="S1221" s="306"/>
      <c r="T1221" s="306"/>
      <c r="U1221" s="306"/>
      <c r="V1221" s="305"/>
      <c r="W1221" s="306"/>
      <c r="X1221" s="306"/>
      <c r="Y1221" s="306"/>
      <c r="Z1221" s="307"/>
      <c r="AA1221" s="306"/>
      <c r="AB1221" s="306"/>
      <c r="AC1221" s="306"/>
    </row>
    <row r="1222">
      <c r="A1222" s="306"/>
      <c r="B1222" s="306"/>
      <c r="C1222" s="306"/>
      <c r="D1222" s="305"/>
      <c r="E1222" s="306"/>
      <c r="F1222" s="306"/>
      <c r="G1222" s="306"/>
      <c r="H1222" s="306"/>
      <c r="I1222" s="306"/>
      <c r="J1222" s="306"/>
      <c r="K1222" s="307"/>
      <c r="L1222" s="306"/>
      <c r="M1222" s="306"/>
      <c r="N1222" s="306"/>
      <c r="O1222" s="306"/>
      <c r="P1222" s="306"/>
      <c r="Q1222" s="306"/>
      <c r="R1222" s="306"/>
      <c r="S1222" s="306"/>
      <c r="T1222" s="306"/>
      <c r="U1222" s="306"/>
      <c r="V1222" s="305"/>
      <c r="W1222" s="306"/>
      <c r="X1222" s="306"/>
      <c r="Y1222" s="306"/>
      <c r="Z1222" s="307"/>
      <c r="AA1222" s="306"/>
      <c r="AB1222" s="306"/>
      <c r="AC1222" s="306"/>
    </row>
    <row r="1223">
      <c r="A1223" s="306"/>
      <c r="B1223" s="306"/>
      <c r="C1223" s="306"/>
      <c r="D1223" s="305"/>
      <c r="E1223" s="306"/>
      <c r="F1223" s="306"/>
      <c r="G1223" s="306"/>
      <c r="H1223" s="306"/>
      <c r="I1223" s="306"/>
      <c r="J1223" s="306"/>
      <c r="K1223" s="307"/>
      <c r="L1223" s="306"/>
      <c r="M1223" s="306"/>
      <c r="N1223" s="306"/>
      <c r="O1223" s="306"/>
      <c r="P1223" s="306"/>
      <c r="Q1223" s="306"/>
      <c r="R1223" s="306"/>
      <c r="S1223" s="306"/>
      <c r="T1223" s="306"/>
      <c r="U1223" s="306"/>
      <c r="V1223" s="305"/>
      <c r="W1223" s="306"/>
      <c r="X1223" s="306"/>
      <c r="Y1223" s="306"/>
      <c r="Z1223" s="307"/>
      <c r="AA1223" s="306"/>
      <c r="AB1223" s="306"/>
      <c r="AC1223" s="306"/>
    </row>
    <row r="1224">
      <c r="A1224" s="306"/>
      <c r="B1224" s="306"/>
      <c r="C1224" s="306"/>
      <c r="D1224" s="305"/>
      <c r="E1224" s="306"/>
      <c r="F1224" s="306"/>
      <c r="G1224" s="306"/>
      <c r="H1224" s="306"/>
      <c r="I1224" s="306"/>
      <c r="J1224" s="306"/>
      <c r="K1224" s="307"/>
      <c r="L1224" s="306"/>
      <c r="M1224" s="306"/>
      <c r="N1224" s="306"/>
      <c r="O1224" s="306"/>
      <c r="P1224" s="306"/>
      <c r="Q1224" s="306"/>
      <c r="R1224" s="306"/>
      <c r="S1224" s="306"/>
      <c r="T1224" s="306"/>
      <c r="U1224" s="306"/>
      <c r="V1224" s="305"/>
      <c r="W1224" s="306"/>
      <c r="X1224" s="306"/>
      <c r="Y1224" s="306"/>
      <c r="Z1224" s="307"/>
      <c r="AA1224" s="306"/>
      <c r="AB1224" s="306"/>
      <c r="AC1224" s="306"/>
    </row>
    <row r="1225">
      <c r="A1225" s="306"/>
      <c r="B1225" s="306"/>
      <c r="C1225" s="306"/>
      <c r="D1225" s="305"/>
      <c r="E1225" s="306"/>
      <c r="F1225" s="306"/>
      <c r="G1225" s="306"/>
      <c r="H1225" s="306"/>
      <c r="I1225" s="306"/>
      <c r="J1225" s="306"/>
      <c r="K1225" s="307"/>
      <c r="L1225" s="306"/>
      <c r="M1225" s="306"/>
      <c r="N1225" s="306"/>
      <c r="O1225" s="306"/>
      <c r="P1225" s="306"/>
      <c r="Q1225" s="306"/>
      <c r="R1225" s="306"/>
      <c r="S1225" s="306"/>
      <c r="T1225" s="306"/>
      <c r="U1225" s="306"/>
      <c r="V1225" s="305"/>
      <c r="W1225" s="306"/>
      <c r="X1225" s="306"/>
      <c r="Y1225" s="306"/>
      <c r="Z1225" s="307"/>
      <c r="AA1225" s="306"/>
      <c r="AB1225" s="306"/>
      <c r="AC1225" s="306"/>
    </row>
    <row r="1226">
      <c r="A1226" s="306"/>
      <c r="B1226" s="306"/>
      <c r="C1226" s="306"/>
      <c r="D1226" s="305"/>
      <c r="E1226" s="306"/>
      <c r="F1226" s="306"/>
      <c r="G1226" s="306"/>
      <c r="H1226" s="306"/>
      <c r="I1226" s="306"/>
      <c r="J1226" s="306"/>
      <c r="K1226" s="307"/>
      <c r="L1226" s="306"/>
      <c r="M1226" s="306"/>
      <c r="N1226" s="306"/>
      <c r="O1226" s="306"/>
      <c r="P1226" s="306"/>
      <c r="Q1226" s="306"/>
      <c r="R1226" s="306"/>
      <c r="S1226" s="306"/>
      <c r="T1226" s="306"/>
      <c r="U1226" s="306"/>
      <c r="V1226" s="305"/>
      <c r="W1226" s="306"/>
      <c r="X1226" s="306"/>
      <c r="Y1226" s="306"/>
      <c r="Z1226" s="307"/>
      <c r="AA1226" s="306"/>
      <c r="AB1226" s="306"/>
      <c r="AC1226" s="306"/>
    </row>
    <row r="1227">
      <c r="A1227" s="306"/>
      <c r="B1227" s="306"/>
      <c r="C1227" s="306"/>
      <c r="D1227" s="305"/>
      <c r="E1227" s="306"/>
      <c r="F1227" s="306"/>
      <c r="G1227" s="306"/>
      <c r="H1227" s="306"/>
      <c r="I1227" s="306"/>
      <c r="J1227" s="306"/>
      <c r="K1227" s="307"/>
      <c r="L1227" s="306"/>
      <c r="M1227" s="306"/>
      <c r="N1227" s="306"/>
      <c r="O1227" s="306"/>
      <c r="P1227" s="306"/>
      <c r="Q1227" s="306"/>
      <c r="R1227" s="306"/>
      <c r="S1227" s="306"/>
      <c r="T1227" s="306"/>
      <c r="U1227" s="306"/>
      <c r="V1227" s="305"/>
      <c r="W1227" s="306"/>
      <c r="X1227" s="306"/>
      <c r="Y1227" s="306"/>
      <c r="Z1227" s="307"/>
      <c r="AA1227" s="306"/>
      <c r="AB1227" s="306"/>
      <c r="AC1227" s="306"/>
    </row>
    <row r="1228">
      <c r="A1228" s="306"/>
      <c r="B1228" s="306"/>
      <c r="C1228" s="306"/>
      <c r="D1228" s="305"/>
      <c r="E1228" s="306"/>
      <c r="F1228" s="306"/>
      <c r="G1228" s="306"/>
      <c r="H1228" s="306"/>
      <c r="I1228" s="306"/>
      <c r="J1228" s="306"/>
      <c r="K1228" s="307"/>
      <c r="L1228" s="306"/>
      <c r="M1228" s="306"/>
      <c r="N1228" s="306"/>
      <c r="O1228" s="306"/>
      <c r="P1228" s="306"/>
      <c r="Q1228" s="306"/>
      <c r="R1228" s="306"/>
      <c r="S1228" s="306"/>
      <c r="T1228" s="306"/>
      <c r="U1228" s="306"/>
      <c r="V1228" s="305"/>
      <c r="W1228" s="306"/>
      <c r="X1228" s="306"/>
      <c r="Y1228" s="306"/>
      <c r="Z1228" s="307"/>
      <c r="AA1228" s="306"/>
      <c r="AB1228" s="306"/>
      <c r="AC1228" s="306"/>
    </row>
    <row r="1229">
      <c r="A1229" s="306"/>
      <c r="B1229" s="306"/>
      <c r="C1229" s="306"/>
      <c r="D1229" s="305"/>
      <c r="E1229" s="306"/>
      <c r="F1229" s="306"/>
      <c r="G1229" s="306"/>
      <c r="H1229" s="306"/>
      <c r="I1229" s="306"/>
      <c r="J1229" s="306"/>
      <c r="K1229" s="307"/>
      <c r="L1229" s="306"/>
      <c r="M1229" s="306"/>
      <c r="N1229" s="306"/>
      <c r="O1229" s="306"/>
      <c r="P1229" s="306"/>
      <c r="Q1229" s="306"/>
      <c r="R1229" s="306"/>
      <c r="S1229" s="306"/>
      <c r="T1229" s="306"/>
      <c r="U1229" s="306"/>
      <c r="V1229" s="305"/>
      <c r="W1229" s="306"/>
      <c r="X1229" s="306"/>
      <c r="Y1229" s="306"/>
      <c r="Z1229" s="307"/>
      <c r="AA1229" s="306"/>
      <c r="AB1229" s="306"/>
      <c r="AC1229" s="306"/>
    </row>
    <row r="1230">
      <c r="A1230" s="306"/>
      <c r="B1230" s="306"/>
      <c r="C1230" s="306"/>
      <c r="D1230" s="305"/>
      <c r="E1230" s="306"/>
      <c r="F1230" s="306"/>
      <c r="G1230" s="306"/>
      <c r="H1230" s="306"/>
      <c r="I1230" s="306"/>
      <c r="J1230" s="306"/>
      <c r="K1230" s="307"/>
      <c r="L1230" s="306"/>
      <c r="M1230" s="306"/>
      <c r="N1230" s="306"/>
      <c r="O1230" s="306"/>
      <c r="P1230" s="306"/>
      <c r="Q1230" s="306"/>
      <c r="R1230" s="306"/>
      <c r="S1230" s="306"/>
      <c r="T1230" s="306"/>
      <c r="U1230" s="306"/>
      <c r="V1230" s="305"/>
      <c r="W1230" s="306"/>
      <c r="X1230" s="306"/>
      <c r="Y1230" s="306"/>
      <c r="Z1230" s="307"/>
      <c r="AA1230" s="306"/>
      <c r="AB1230" s="306"/>
      <c r="AC1230" s="306"/>
    </row>
    <row r="1231">
      <c r="A1231" s="306"/>
      <c r="B1231" s="306"/>
      <c r="C1231" s="306"/>
      <c r="D1231" s="305"/>
      <c r="E1231" s="306"/>
      <c r="F1231" s="306"/>
      <c r="G1231" s="306"/>
      <c r="H1231" s="306"/>
      <c r="I1231" s="306"/>
      <c r="J1231" s="306"/>
      <c r="K1231" s="307"/>
      <c r="L1231" s="306"/>
      <c r="M1231" s="306"/>
      <c r="N1231" s="306"/>
      <c r="O1231" s="306"/>
      <c r="P1231" s="306"/>
      <c r="Q1231" s="306"/>
      <c r="R1231" s="306"/>
      <c r="S1231" s="306"/>
      <c r="T1231" s="306"/>
      <c r="U1231" s="306"/>
      <c r="V1231" s="305"/>
      <c r="W1231" s="306"/>
      <c r="X1231" s="306"/>
      <c r="Y1231" s="306"/>
      <c r="Z1231" s="307"/>
      <c r="AA1231" s="306"/>
      <c r="AB1231" s="306"/>
      <c r="AC1231" s="306"/>
    </row>
    <row r="1232">
      <c r="A1232" s="306"/>
      <c r="B1232" s="306"/>
      <c r="C1232" s="306"/>
      <c r="D1232" s="305"/>
      <c r="E1232" s="306"/>
      <c r="F1232" s="306"/>
      <c r="G1232" s="306"/>
      <c r="H1232" s="306"/>
      <c r="I1232" s="306"/>
      <c r="J1232" s="306"/>
      <c r="K1232" s="307"/>
      <c r="L1232" s="306"/>
      <c r="M1232" s="306"/>
      <c r="N1232" s="306"/>
      <c r="O1232" s="306"/>
      <c r="P1232" s="306"/>
      <c r="Q1232" s="306"/>
      <c r="R1232" s="306"/>
      <c r="S1232" s="306"/>
      <c r="T1232" s="306"/>
      <c r="U1232" s="306"/>
      <c r="V1232" s="305"/>
      <c r="W1232" s="306"/>
      <c r="X1232" s="306"/>
      <c r="Y1232" s="306"/>
      <c r="Z1232" s="307"/>
      <c r="AA1232" s="306"/>
      <c r="AB1232" s="306"/>
      <c r="AC1232" s="306"/>
    </row>
    <row r="1233">
      <c r="A1233" s="306"/>
      <c r="B1233" s="306"/>
      <c r="C1233" s="306"/>
      <c r="D1233" s="305"/>
      <c r="E1233" s="306"/>
      <c r="F1233" s="306"/>
      <c r="G1233" s="306"/>
      <c r="H1233" s="306"/>
      <c r="I1233" s="306"/>
      <c r="J1233" s="306"/>
      <c r="K1233" s="307"/>
      <c r="L1233" s="306"/>
      <c r="M1233" s="306"/>
      <c r="N1233" s="306"/>
      <c r="O1233" s="306"/>
      <c r="P1233" s="306"/>
      <c r="Q1233" s="306"/>
      <c r="R1233" s="306"/>
      <c r="S1233" s="306"/>
      <c r="T1233" s="306"/>
      <c r="U1233" s="306"/>
      <c r="V1233" s="305"/>
      <c r="W1233" s="306"/>
      <c r="X1233" s="306"/>
      <c r="Y1233" s="306"/>
      <c r="Z1233" s="307"/>
      <c r="AA1233" s="306"/>
      <c r="AB1233" s="306"/>
      <c r="AC1233" s="306"/>
    </row>
    <row r="1234">
      <c r="A1234" s="306"/>
      <c r="B1234" s="306"/>
      <c r="C1234" s="306"/>
      <c r="D1234" s="305"/>
      <c r="E1234" s="306"/>
      <c r="F1234" s="306"/>
      <c r="G1234" s="306"/>
      <c r="H1234" s="306"/>
      <c r="I1234" s="306"/>
      <c r="J1234" s="306"/>
      <c r="K1234" s="307"/>
      <c r="L1234" s="306"/>
      <c r="M1234" s="306"/>
      <c r="N1234" s="306"/>
      <c r="O1234" s="306"/>
      <c r="P1234" s="306"/>
      <c r="Q1234" s="306"/>
      <c r="R1234" s="306"/>
      <c r="S1234" s="306"/>
      <c r="T1234" s="306"/>
      <c r="U1234" s="306"/>
      <c r="V1234" s="305"/>
      <c r="W1234" s="306"/>
      <c r="X1234" s="306"/>
      <c r="Y1234" s="306"/>
      <c r="Z1234" s="307"/>
      <c r="AA1234" s="306"/>
      <c r="AB1234" s="306"/>
      <c r="AC1234" s="306"/>
    </row>
    <row r="1235">
      <c r="A1235" s="306"/>
      <c r="B1235" s="306"/>
      <c r="C1235" s="306"/>
      <c r="D1235" s="305"/>
      <c r="E1235" s="306"/>
      <c r="F1235" s="306"/>
      <c r="G1235" s="306"/>
      <c r="H1235" s="306"/>
      <c r="I1235" s="306"/>
      <c r="J1235" s="306"/>
      <c r="K1235" s="307"/>
      <c r="L1235" s="306"/>
      <c r="M1235" s="306"/>
      <c r="N1235" s="306"/>
      <c r="O1235" s="306"/>
      <c r="P1235" s="306"/>
      <c r="Q1235" s="306"/>
      <c r="R1235" s="306"/>
      <c r="S1235" s="306"/>
      <c r="T1235" s="306"/>
      <c r="U1235" s="306"/>
      <c r="V1235" s="305"/>
      <c r="W1235" s="306"/>
      <c r="X1235" s="306"/>
      <c r="Y1235" s="306"/>
      <c r="Z1235" s="307"/>
      <c r="AA1235" s="306"/>
      <c r="AB1235" s="306"/>
      <c r="AC1235" s="306"/>
    </row>
    <row r="1236">
      <c r="A1236" s="306"/>
      <c r="B1236" s="306"/>
      <c r="C1236" s="306"/>
      <c r="D1236" s="305"/>
      <c r="E1236" s="306"/>
      <c r="F1236" s="306"/>
      <c r="G1236" s="306"/>
      <c r="H1236" s="306"/>
      <c r="I1236" s="306"/>
      <c r="J1236" s="306"/>
      <c r="K1236" s="307"/>
      <c r="L1236" s="306"/>
      <c r="M1236" s="306"/>
      <c r="N1236" s="306"/>
      <c r="O1236" s="306"/>
      <c r="P1236" s="306"/>
      <c r="Q1236" s="306"/>
      <c r="R1236" s="306"/>
      <c r="S1236" s="306"/>
      <c r="T1236" s="306"/>
      <c r="U1236" s="306"/>
      <c r="V1236" s="305"/>
      <c r="W1236" s="306"/>
      <c r="X1236" s="306"/>
      <c r="Y1236" s="306"/>
      <c r="Z1236" s="307"/>
      <c r="AA1236" s="306"/>
      <c r="AB1236" s="306"/>
      <c r="AC1236" s="306"/>
    </row>
    <row r="1237">
      <c r="A1237" s="306"/>
      <c r="B1237" s="306"/>
      <c r="C1237" s="306"/>
      <c r="D1237" s="305"/>
      <c r="E1237" s="306"/>
      <c r="F1237" s="306"/>
      <c r="G1237" s="306"/>
      <c r="H1237" s="306"/>
      <c r="I1237" s="306"/>
      <c r="J1237" s="306"/>
      <c r="K1237" s="307"/>
      <c r="L1237" s="306"/>
      <c r="M1237" s="306"/>
      <c r="N1237" s="306"/>
      <c r="O1237" s="306"/>
      <c r="P1237" s="306"/>
      <c r="Q1237" s="306"/>
      <c r="R1237" s="306"/>
      <c r="S1237" s="306"/>
      <c r="T1237" s="306"/>
      <c r="U1237" s="306"/>
      <c r="V1237" s="305"/>
      <c r="W1237" s="306"/>
      <c r="X1237" s="306"/>
      <c r="Y1237" s="306"/>
      <c r="Z1237" s="307"/>
      <c r="AA1237" s="306"/>
      <c r="AB1237" s="306"/>
      <c r="AC1237" s="306"/>
    </row>
    <row r="1238">
      <c r="A1238" s="306"/>
      <c r="B1238" s="306"/>
      <c r="C1238" s="306"/>
      <c r="D1238" s="305"/>
      <c r="E1238" s="306"/>
      <c r="F1238" s="306"/>
      <c r="G1238" s="306"/>
      <c r="H1238" s="306"/>
      <c r="I1238" s="306"/>
      <c r="J1238" s="306"/>
      <c r="K1238" s="307"/>
      <c r="L1238" s="306"/>
      <c r="M1238" s="306"/>
      <c r="N1238" s="306"/>
      <c r="O1238" s="306"/>
      <c r="P1238" s="306"/>
      <c r="Q1238" s="306"/>
      <c r="R1238" s="306"/>
      <c r="S1238" s="306"/>
      <c r="T1238" s="306"/>
      <c r="U1238" s="306"/>
      <c r="V1238" s="305"/>
      <c r="W1238" s="306"/>
      <c r="X1238" s="306"/>
      <c r="Y1238" s="306"/>
      <c r="Z1238" s="307"/>
      <c r="AA1238" s="306"/>
      <c r="AB1238" s="306"/>
      <c r="AC1238" s="306"/>
    </row>
    <row r="1239">
      <c r="A1239" s="306"/>
      <c r="B1239" s="306"/>
      <c r="C1239" s="306"/>
      <c r="D1239" s="305"/>
      <c r="E1239" s="306"/>
      <c r="F1239" s="306"/>
      <c r="G1239" s="306"/>
      <c r="H1239" s="306"/>
      <c r="I1239" s="306"/>
      <c r="J1239" s="306"/>
      <c r="K1239" s="307"/>
      <c r="L1239" s="306"/>
      <c r="M1239" s="306"/>
      <c r="N1239" s="306"/>
      <c r="O1239" s="306"/>
      <c r="P1239" s="306"/>
      <c r="Q1239" s="306"/>
      <c r="R1239" s="306"/>
      <c r="S1239" s="306"/>
      <c r="T1239" s="306"/>
      <c r="U1239" s="306"/>
      <c r="V1239" s="305"/>
      <c r="W1239" s="306"/>
      <c r="X1239" s="306"/>
      <c r="Y1239" s="306"/>
      <c r="Z1239" s="307"/>
      <c r="AA1239" s="306"/>
      <c r="AB1239" s="306"/>
      <c r="AC1239" s="306"/>
    </row>
    <row r="1240">
      <c r="A1240" s="306"/>
      <c r="B1240" s="306"/>
      <c r="C1240" s="306"/>
      <c r="D1240" s="305"/>
      <c r="E1240" s="306"/>
      <c r="F1240" s="306"/>
      <c r="G1240" s="306"/>
      <c r="H1240" s="306"/>
      <c r="I1240" s="306"/>
      <c r="J1240" s="306"/>
      <c r="K1240" s="307"/>
      <c r="L1240" s="306"/>
      <c r="M1240" s="306"/>
      <c r="N1240" s="306"/>
      <c r="O1240" s="306"/>
      <c r="P1240" s="306"/>
      <c r="Q1240" s="306"/>
      <c r="R1240" s="306"/>
      <c r="S1240" s="306"/>
      <c r="T1240" s="306"/>
      <c r="U1240" s="306"/>
      <c r="V1240" s="305"/>
      <c r="W1240" s="306"/>
      <c r="X1240" s="306"/>
      <c r="Y1240" s="306"/>
      <c r="Z1240" s="307"/>
      <c r="AA1240" s="306"/>
      <c r="AB1240" s="306"/>
      <c r="AC1240" s="306"/>
    </row>
    <row r="1241">
      <c r="A1241" s="306"/>
      <c r="B1241" s="306"/>
      <c r="C1241" s="306"/>
      <c r="D1241" s="305"/>
      <c r="E1241" s="306"/>
      <c r="F1241" s="306"/>
      <c r="G1241" s="306"/>
      <c r="H1241" s="306"/>
      <c r="I1241" s="306"/>
      <c r="J1241" s="306"/>
      <c r="K1241" s="307"/>
      <c r="L1241" s="306"/>
      <c r="M1241" s="306"/>
      <c r="N1241" s="306"/>
      <c r="O1241" s="306"/>
      <c r="P1241" s="306"/>
      <c r="Q1241" s="306"/>
      <c r="R1241" s="306"/>
      <c r="S1241" s="306"/>
      <c r="T1241" s="306"/>
      <c r="U1241" s="306"/>
      <c r="V1241" s="305"/>
      <c r="W1241" s="306"/>
      <c r="X1241" s="306"/>
      <c r="Y1241" s="306"/>
      <c r="Z1241" s="307"/>
      <c r="AA1241" s="306"/>
      <c r="AB1241" s="306"/>
      <c r="AC1241" s="306"/>
    </row>
    <row r="1242">
      <c r="A1242" s="306"/>
      <c r="B1242" s="306"/>
      <c r="C1242" s="306"/>
      <c r="D1242" s="305"/>
      <c r="E1242" s="306"/>
      <c r="F1242" s="306"/>
      <c r="G1242" s="306"/>
      <c r="H1242" s="306"/>
      <c r="I1242" s="306"/>
      <c r="J1242" s="306"/>
      <c r="K1242" s="307"/>
      <c r="L1242" s="306"/>
      <c r="M1242" s="306"/>
      <c r="N1242" s="306"/>
      <c r="O1242" s="306"/>
      <c r="P1242" s="306"/>
      <c r="Q1242" s="306"/>
      <c r="R1242" s="306"/>
      <c r="S1242" s="306"/>
      <c r="T1242" s="306"/>
      <c r="U1242" s="306"/>
      <c r="V1242" s="305"/>
      <c r="W1242" s="306"/>
      <c r="X1242" s="306"/>
      <c r="Y1242" s="306"/>
      <c r="Z1242" s="307"/>
      <c r="AA1242" s="306"/>
      <c r="AB1242" s="306"/>
      <c r="AC1242" s="306"/>
    </row>
    <row r="1243">
      <c r="A1243" s="306"/>
      <c r="B1243" s="306"/>
      <c r="C1243" s="306"/>
      <c r="D1243" s="305"/>
      <c r="E1243" s="306"/>
      <c r="F1243" s="306"/>
      <c r="G1243" s="306"/>
      <c r="H1243" s="306"/>
      <c r="I1243" s="306"/>
      <c r="J1243" s="306"/>
      <c r="K1243" s="307"/>
      <c r="L1243" s="306"/>
      <c r="M1243" s="306"/>
      <c r="N1243" s="306"/>
      <c r="O1243" s="306"/>
      <c r="P1243" s="306"/>
      <c r="Q1243" s="306"/>
      <c r="R1243" s="306"/>
      <c r="S1243" s="306"/>
      <c r="T1243" s="306"/>
      <c r="U1243" s="306"/>
      <c r="V1243" s="305"/>
      <c r="W1243" s="306"/>
      <c r="X1243" s="306"/>
      <c r="Y1243" s="306"/>
      <c r="Z1243" s="307"/>
      <c r="AA1243" s="306"/>
      <c r="AB1243" s="306"/>
      <c r="AC1243" s="306"/>
    </row>
    <row r="1244">
      <c r="A1244" s="306"/>
      <c r="B1244" s="306"/>
      <c r="C1244" s="306"/>
      <c r="D1244" s="305"/>
      <c r="E1244" s="306"/>
      <c r="F1244" s="306"/>
      <c r="G1244" s="306"/>
      <c r="H1244" s="306"/>
      <c r="I1244" s="306"/>
      <c r="J1244" s="306"/>
      <c r="K1244" s="307"/>
      <c r="L1244" s="306"/>
      <c r="M1244" s="306"/>
      <c r="N1244" s="306"/>
      <c r="O1244" s="306"/>
      <c r="P1244" s="306"/>
      <c r="Q1244" s="306"/>
      <c r="R1244" s="306"/>
      <c r="S1244" s="306"/>
      <c r="T1244" s="306"/>
      <c r="U1244" s="306"/>
      <c r="V1244" s="305"/>
      <c r="W1244" s="306"/>
      <c r="X1244" s="306"/>
      <c r="Y1244" s="306"/>
      <c r="Z1244" s="307"/>
      <c r="AA1244" s="306"/>
      <c r="AB1244" s="306"/>
      <c r="AC1244" s="306"/>
    </row>
    <row r="1245">
      <c r="A1245" s="306"/>
      <c r="B1245" s="306"/>
      <c r="C1245" s="306"/>
      <c r="D1245" s="305"/>
      <c r="E1245" s="306"/>
      <c r="F1245" s="306"/>
      <c r="G1245" s="306"/>
      <c r="H1245" s="306"/>
      <c r="I1245" s="306"/>
      <c r="J1245" s="306"/>
      <c r="K1245" s="307"/>
      <c r="L1245" s="306"/>
      <c r="M1245" s="306"/>
      <c r="N1245" s="306"/>
      <c r="O1245" s="306"/>
      <c r="P1245" s="306"/>
      <c r="Q1245" s="306"/>
      <c r="R1245" s="306"/>
      <c r="S1245" s="306"/>
      <c r="T1245" s="306"/>
      <c r="U1245" s="306"/>
      <c r="V1245" s="305"/>
      <c r="W1245" s="306"/>
      <c r="X1245" s="306"/>
      <c r="Y1245" s="306"/>
      <c r="Z1245" s="307"/>
      <c r="AA1245" s="306"/>
      <c r="AB1245" s="306"/>
      <c r="AC1245" s="306"/>
    </row>
    <row r="1246">
      <c r="A1246" s="306"/>
      <c r="B1246" s="306"/>
      <c r="C1246" s="306"/>
      <c r="D1246" s="305"/>
      <c r="E1246" s="306"/>
      <c r="F1246" s="306"/>
      <c r="G1246" s="306"/>
      <c r="H1246" s="306"/>
      <c r="I1246" s="306"/>
      <c r="J1246" s="306"/>
      <c r="K1246" s="307"/>
      <c r="L1246" s="306"/>
      <c r="M1246" s="306"/>
      <c r="N1246" s="306"/>
      <c r="O1246" s="306"/>
      <c r="P1246" s="306"/>
      <c r="Q1246" s="306"/>
      <c r="R1246" s="306"/>
      <c r="S1246" s="306"/>
      <c r="T1246" s="306"/>
      <c r="U1246" s="306"/>
      <c r="V1246" s="305"/>
      <c r="W1246" s="306"/>
      <c r="X1246" s="306"/>
      <c r="Y1246" s="306"/>
      <c r="Z1246" s="307"/>
      <c r="AA1246" s="306"/>
      <c r="AB1246" s="306"/>
      <c r="AC1246" s="306"/>
    </row>
    <row r="1247">
      <c r="A1247" s="306"/>
      <c r="B1247" s="306"/>
      <c r="C1247" s="306"/>
      <c r="D1247" s="305"/>
      <c r="E1247" s="306"/>
      <c r="F1247" s="306"/>
      <c r="G1247" s="306"/>
      <c r="H1247" s="306"/>
      <c r="I1247" s="306"/>
      <c r="J1247" s="306"/>
      <c r="K1247" s="307"/>
      <c r="L1247" s="306"/>
      <c r="M1247" s="306"/>
      <c r="N1247" s="306"/>
      <c r="O1247" s="306"/>
      <c r="P1247" s="306"/>
      <c r="Q1247" s="306"/>
      <c r="R1247" s="306"/>
      <c r="S1247" s="306"/>
      <c r="T1247" s="306"/>
      <c r="U1247" s="306"/>
      <c r="V1247" s="305"/>
      <c r="W1247" s="306"/>
      <c r="X1247" s="306"/>
      <c r="Y1247" s="306"/>
      <c r="Z1247" s="307"/>
      <c r="AA1247" s="306"/>
      <c r="AB1247" s="306"/>
      <c r="AC1247" s="306"/>
    </row>
    <row r="1248">
      <c r="A1248" s="306"/>
      <c r="B1248" s="306"/>
      <c r="C1248" s="306"/>
      <c r="D1248" s="305"/>
      <c r="E1248" s="306"/>
      <c r="F1248" s="306"/>
      <c r="G1248" s="306"/>
      <c r="H1248" s="306"/>
      <c r="I1248" s="306"/>
      <c r="J1248" s="306"/>
      <c r="K1248" s="307"/>
      <c r="L1248" s="306"/>
      <c r="M1248" s="306"/>
      <c r="N1248" s="306"/>
      <c r="O1248" s="306"/>
      <c r="P1248" s="306"/>
      <c r="Q1248" s="306"/>
      <c r="R1248" s="306"/>
      <c r="S1248" s="306"/>
      <c r="T1248" s="306"/>
      <c r="U1248" s="306"/>
      <c r="V1248" s="305"/>
      <c r="W1248" s="306"/>
      <c r="X1248" s="306"/>
      <c r="Y1248" s="306"/>
      <c r="Z1248" s="307"/>
      <c r="AA1248" s="306"/>
      <c r="AB1248" s="306"/>
      <c r="AC1248" s="306"/>
    </row>
    <row r="1249">
      <c r="A1249" s="306"/>
      <c r="B1249" s="306"/>
      <c r="C1249" s="306"/>
      <c r="D1249" s="305"/>
      <c r="E1249" s="306"/>
      <c r="F1249" s="306"/>
      <c r="G1249" s="306"/>
      <c r="H1249" s="306"/>
      <c r="I1249" s="306"/>
      <c r="J1249" s="306"/>
      <c r="K1249" s="307"/>
      <c r="L1249" s="306"/>
      <c r="M1249" s="306"/>
      <c r="N1249" s="306"/>
      <c r="O1249" s="306"/>
      <c r="P1249" s="306"/>
      <c r="Q1249" s="306"/>
      <c r="R1249" s="306"/>
      <c r="S1249" s="306"/>
      <c r="T1249" s="306"/>
      <c r="U1249" s="306"/>
      <c r="V1249" s="305"/>
      <c r="W1249" s="306"/>
      <c r="X1249" s="306"/>
      <c r="Y1249" s="306"/>
      <c r="Z1249" s="307"/>
      <c r="AA1249" s="306"/>
      <c r="AB1249" s="306"/>
      <c r="AC1249" s="306"/>
    </row>
    <row r="1250">
      <c r="A1250" s="306"/>
      <c r="B1250" s="306"/>
      <c r="C1250" s="306"/>
      <c r="D1250" s="305"/>
      <c r="E1250" s="306"/>
      <c r="F1250" s="306"/>
      <c r="G1250" s="306"/>
      <c r="H1250" s="306"/>
      <c r="I1250" s="306"/>
      <c r="J1250" s="306"/>
      <c r="K1250" s="307"/>
      <c r="L1250" s="306"/>
      <c r="M1250" s="306"/>
      <c r="N1250" s="306"/>
      <c r="O1250" s="306"/>
      <c r="P1250" s="306"/>
      <c r="Q1250" s="306"/>
      <c r="R1250" s="306"/>
      <c r="S1250" s="306"/>
      <c r="T1250" s="306"/>
      <c r="U1250" s="306"/>
      <c r="V1250" s="305"/>
      <c r="W1250" s="306"/>
      <c r="X1250" s="306"/>
      <c r="Y1250" s="306"/>
      <c r="Z1250" s="307"/>
      <c r="AA1250" s="306"/>
      <c r="AB1250" s="306"/>
      <c r="AC1250" s="306"/>
    </row>
    <row r="1251">
      <c r="A1251" s="306"/>
      <c r="B1251" s="306"/>
      <c r="C1251" s="306"/>
      <c r="D1251" s="305"/>
      <c r="E1251" s="306"/>
      <c r="F1251" s="306"/>
      <c r="G1251" s="306"/>
      <c r="H1251" s="306"/>
      <c r="I1251" s="306"/>
      <c r="J1251" s="306"/>
      <c r="K1251" s="307"/>
      <c r="L1251" s="306"/>
      <c r="M1251" s="306"/>
      <c r="N1251" s="306"/>
      <c r="O1251" s="306"/>
      <c r="P1251" s="306"/>
      <c r="Q1251" s="306"/>
      <c r="R1251" s="306"/>
      <c r="S1251" s="306"/>
      <c r="T1251" s="306"/>
      <c r="U1251" s="306"/>
      <c r="V1251" s="305"/>
      <c r="W1251" s="306"/>
      <c r="X1251" s="306"/>
      <c r="Y1251" s="306"/>
      <c r="Z1251" s="307"/>
      <c r="AA1251" s="306"/>
      <c r="AB1251" s="306"/>
      <c r="AC1251" s="306"/>
    </row>
    <row r="1252">
      <c r="A1252" s="306"/>
      <c r="B1252" s="306"/>
      <c r="C1252" s="306"/>
      <c r="D1252" s="305"/>
      <c r="E1252" s="306"/>
      <c r="F1252" s="306"/>
      <c r="G1252" s="306"/>
      <c r="H1252" s="306"/>
      <c r="I1252" s="306"/>
      <c r="J1252" s="306"/>
      <c r="K1252" s="307"/>
      <c r="L1252" s="306"/>
      <c r="M1252" s="306"/>
      <c r="N1252" s="306"/>
      <c r="O1252" s="306"/>
      <c r="P1252" s="306"/>
      <c r="Q1252" s="306"/>
      <c r="R1252" s="306"/>
      <c r="S1252" s="306"/>
      <c r="T1252" s="306"/>
      <c r="U1252" s="306"/>
      <c r="V1252" s="305"/>
      <c r="W1252" s="306"/>
      <c r="X1252" s="306"/>
      <c r="Y1252" s="306"/>
      <c r="Z1252" s="307"/>
      <c r="AA1252" s="306"/>
      <c r="AB1252" s="306"/>
      <c r="AC1252" s="306"/>
    </row>
    <row r="1253">
      <c r="A1253" s="306"/>
      <c r="B1253" s="306"/>
      <c r="C1253" s="306"/>
      <c r="D1253" s="305"/>
      <c r="E1253" s="306"/>
      <c r="F1253" s="306"/>
      <c r="G1253" s="306"/>
      <c r="H1253" s="306"/>
      <c r="I1253" s="306"/>
      <c r="J1253" s="306"/>
      <c r="K1253" s="307"/>
      <c r="L1253" s="306"/>
      <c r="M1253" s="306"/>
      <c r="N1253" s="306"/>
      <c r="O1253" s="306"/>
      <c r="P1253" s="306"/>
      <c r="Q1253" s="306"/>
      <c r="R1253" s="306"/>
      <c r="S1253" s="306"/>
      <c r="T1253" s="306"/>
      <c r="U1253" s="306"/>
      <c r="V1253" s="305"/>
      <c r="W1253" s="306"/>
      <c r="X1253" s="306"/>
      <c r="Y1253" s="306"/>
      <c r="Z1253" s="307"/>
      <c r="AA1253" s="306"/>
      <c r="AB1253" s="306"/>
      <c r="AC1253" s="306"/>
    </row>
    <row r="1254">
      <c r="A1254" s="306"/>
      <c r="B1254" s="306"/>
      <c r="C1254" s="306"/>
      <c r="D1254" s="305"/>
      <c r="E1254" s="306"/>
      <c r="F1254" s="306"/>
      <c r="G1254" s="306"/>
      <c r="H1254" s="306"/>
      <c r="I1254" s="306"/>
      <c r="J1254" s="306"/>
      <c r="K1254" s="307"/>
      <c r="L1254" s="306"/>
      <c r="M1254" s="306"/>
      <c r="N1254" s="306"/>
      <c r="O1254" s="306"/>
      <c r="P1254" s="306"/>
      <c r="Q1254" s="306"/>
      <c r="R1254" s="306"/>
      <c r="S1254" s="306"/>
      <c r="T1254" s="306"/>
      <c r="U1254" s="306"/>
      <c r="V1254" s="305"/>
      <c r="W1254" s="306"/>
      <c r="X1254" s="306"/>
      <c r="Y1254" s="306"/>
      <c r="Z1254" s="307"/>
      <c r="AA1254" s="306"/>
      <c r="AB1254" s="306"/>
      <c r="AC1254" s="306"/>
    </row>
    <row r="1255">
      <c r="A1255" s="306"/>
      <c r="B1255" s="306"/>
      <c r="C1255" s="306"/>
      <c r="D1255" s="305"/>
      <c r="E1255" s="306"/>
      <c r="F1255" s="306"/>
      <c r="G1255" s="306"/>
      <c r="H1255" s="306"/>
      <c r="I1255" s="306"/>
      <c r="J1255" s="306"/>
      <c r="K1255" s="307"/>
      <c r="L1255" s="306"/>
      <c r="M1255" s="306"/>
      <c r="N1255" s="306"/>
      <c r="O1255" s="306"/>
      <c r="P1255" s="306"/>
      <c r="Q1255" s="306"/>
      <c r="R1255" s="306"/>
      <c r="S1255" s="306"/>
      <c r="T1255" s="306"/>
      <c r="U1255" s="306"/>
      <c r="V1255" s="305"/>
      <c r="W1255" s="306"/>
      <c r="X1255" s="306"/>
      <c r="Y1255" s="306"/>
      <c r="Z1255" s="307"/>
      <c r="AA1255" s="306"/>
      <c r="AB1255" s="306"/>
      <c r="AC1255" s="306"/>
    </row>
    <row r="1256">
      <c r="A1256" s="306"/>
      <c r="B1256" s="306"/>
      <c r="C1256" s="306"/>
      <c r="D1256" s="305"/>
      <c r="E1256" s="306"/>
      <c r="F1256" s="306"/>
      <c r="G1256" s="306"/>
      <c r="H1256" s="306"/>
      <c r="I1256" s="306"/>
      <c r="J1256" s="306"/>
      <c r="K1256" s="307"/>
      <c r="L1256" s="306"/>
      <c r="M1256" s="306"/>
      <c r="N1256" s="306"/>
      <c r="O1256" s="306"/>
      <c r="P1256" s="306"/>
      <c r="Q1256" s="306"/>
      <c r="R1256" s="306"/>
      <c r="S1256" s="306"/>
      <c r="T1256" s="306"/>
      <c r="U1256" s="306"/>
      <c r="V1256" s="305"/>
      <c r="W1256" s="306"/>
      <c r="X1256" s="306"/>
      <c r="Y1256" s="306"/>
      <c r="Z1256" s="307"/>
      <c r="AA1256" s="306"/>
      <c r="AB1256" s="306"/>
      <c r="AC1256" s="306"/>
    </row>
    <row r="1257">
      <c r="A1257" s="306"/>
      <c r="B1257" s="306"/>
      <c r="C1257" s="306"/>
      <c r="D1257" s="305"/>
      <c r="E1257" s="306"/>
      <c r="F1257" s="306"/>
      <c r="G1257" s="306"/>
      <c r="H1257" s="306"/>
      <c r="I1257" s="306"/>
      <c r="J1257" s="306"/>
      <c r="K1257" s="307"/>
      <c r="L1257" s="306"/>
      <c r="M1257" s="306"/>
      <c r="N1257" s="306"/>
      <c r="O1257" s="306"/>
      <c r="P1257" s="306"/>
      <c r="Q1257" s="306"/>
      <c r="R1257" s="306"/>
      <c r="S1257" s="306"/>
      <c r="T1257" s="306"/>
      <c r="U1257" s="306"/>
      <c r="V1257" s="305"/>
      <c r="W1257" s="306"/>
      <c r="X1257" s="306"/>
      <c r="Y1257" s="306"/>
      <c r="Z1257" s="307"/>
      <c r="AA1257" s="306"/>
      <c r="AB1257" s="306"/>
      <c r="AC1257" s="306"/>
    </row>
    <row r="1258">
      <c r="A1258" s="306"/>
      <c r="B1258" s="306"/>
      <c r="C1258" s="306"/>
      <c r="D1258" s="305"/>
      <c r="E1258" s="306"/>
      <c r="F1258" s="306"/>
      <c r="G1258" s="306"/>
      <c r="H1258" s="306"/>
      <c r="I1258" s="306"/>
      <c r="J1258" s="306"/>
      <c r="K1258" s="307"/>
      <c r="L1258" s="306"/>
      <c r="M1258" s="306"/>
      <c r="N1258" s="306"/>
      <c r="O1258" s="306"/>
      <c r="P1258" s="306"/>
      <c r="Q1258" s="306"/>
      <c r="R1258" s="306"/>
      <c r="S1258" s="306"/>
      <c r="T1258" s="306"/>
      <c r="U1258" s="306"/>
      <c r="V1258" s="305"/>
      <c r="W1258" s="306"/>
      <c r="X1258" s="306"/>
      <c r="Y1258" s="306"/>
      <c r="Z1258" s="307"/>
      <c r="AA1258" s="306"/>
      <c r="AB1258" s="306"/>
      <c r="AC1258" s="306"/>
    </row>
    <row r="1259">
      <c r="A1259" s="306"/>
      <c r="B1259" s="306"/>
      <c r="C1259" s="306"/>
      <c r="D1259" s="305"/>
      <c r="E1259" s="306"/>
      <c r="F1259" s="306"/>
      <c r="G1259" s="306"/>
      <c r="H1259" s="306"/>
      <c r="I1259" s="306"/>
      <c r="J1259" s="306"/>
      <c r="K1259" s="307"/>
      <c r="L1259" s="306"/>
      <c r="M1259" s="306"/>
      <c r="N1259" s="306"/>
      <c r="O1259" s="306"/>
      <c r="P1259" s="306"/>
      <c r="Q1259" s="306"/>
      <c r="R1259" s="306"/>
      <c r="S1259" s="306"/>
      <c r="T1259" s="306"/>
      <c r="U1259" s="306"/>
      <c r="V1259" s="305"/>
      <c r="W1259" s="306"/>
      <c r="X1259" s="306"/>
      <c r="Y1259" s="306"/>
      <c r="Z1259" s="307"/>
      <c r="AA1259" s="306"/>
      <c r="AB1259" s="306"/>
      <c r="AC1259" s="306"/>
    </row>
    <row r="1260">
      <c r="A1260" s="306"/>
      <c r="B1260" s="306"/>
      <c r="C1260" s="306"/>
      <c r="D1260" s="305"/>
      <c r="E1260" s="306"/>
      <c r="F1260" s="306"/>
      <c r="G1260" s="306"/>
      <c r="H1260" s="306"/>
      <c r="I1260" s="306"/>
      <c r="J1260" s="306"/>
      <c r="K1260" s="307"/>
      <c r="L1260" s="306"/>
      <c r="M1260" s="306"/>
      <c r="N1260" s="306"/>
      <c r="O1260" s="306"/>
      <c r="P1260" s="306"/>
      <c r="Q1260" s="306"/>
      <c r="R1260" s="306"/>
      <c r="S1260" s="306"/>
      <c r="T1260" s="306"/>
      <c r="U1260" s="306"/>
      <c r="V1260" s="305"/>
      <c r="W1260" s="306"/>
      <c r="X1260" s="306"/>
      <c r="Y1260" s="306"/>
      <c r="Z1260" s="307"/>
      <c r="AA1260" s="306"/>
      <c r="AB1260" s="306"/>
      <c r="AC1260" s="306"/>
    </row>
    <row r="1261">
      <c r="A1261" s="306"/>
      <c r="B1261" s="306"/>
      <c r="C1261" s="306"/>
      <c r="D1261" s="305"/>
      <c r="E1261" s="306"/>
      <c r="F1261" s="306"/>
      <c r="G1261" s="306"/>
      <c r="H1261" s="306"/>
      <c r="I1261" s="306"/>
      <c r="J1261" s="306"/>
      <c r="K1261" s="307"/>
      <c r="L1261" s="306"/>
      <c r="M1261" s="306"/>
      <c r="N1261" s="306"/>
      <c r="O1261" s="306"/>
      <c r="P1261" s="306"/>
      <c r="Q1261" s="306"/>
      <c r="R1261" s="306"/>
      <c r="S1261" s="306"/>
      <c r="T1261" s="306"/>
      <c r="U1261" s="306"/>
      <c r="V1261" s="305"/>
      <c r="W1261" s="306"/>
      <c r="X1261" s="306"/>
      <c r="Y1261" s="306"/>
      <c r="Z1261" s="307"/>
      <c r="AA1261" s="306"/>
      <c r="AB1261" s="306"/>
      <c r="AC1261" s="306"/>
    </row>
    <row r="1262">
      <c r="A1262" s="306"/>
      <c r="B1262" s="306"/>
      <c r="C1262" s="306"/>
      <c r="D1262" s="305"/>
      <c r="E1262" s="306"/>
      <c r="F1262" s="306"/>
      <c r="G1262" s="306"/>
      <c r="H1262" s="306"/>
      <c r="I1262" s="306"/>
      <c r="J1262" s="306"/>
      <c r="K1262" s="307"/>
      <c r="L1262" s="306"/>
      <c r="M1262" s="306"/>
      <c r="N1262" s="306"/>
      <c r="O1262" s="306"/>
      <c r="P1262" s="306"/>
      <c r="Q1262" s="306"/>
      <c r="R1262" s="306"/>
      <c r="S1262" s="306"/>
      <c r="T1262" s="306"/>
      <c r="U1262" s="306"/>
      <c r="V1262" s="305"/>
      <c r="W1262" s="306"/>
      <c r="X1262" s="306"/>
      <c r="Y1262" s="306"/>
      <c r="Z1262" s="307"/>
      <c r="AA1262" s="306"/>
      <c r="AB1262" s="306"/>
      <c r="AC1262" s="306"/>
    </row>
    <row r="1263">
      <c r="A1263" s="306"/>
      <c r="B1263" s="306"/>
      <c r="C1263" s="306"/>
      <c r="D1263" s="305"/>
      <c r="E1263" s="306"/>
      <c r="F1263" s="306"/>
      <c r="G1263" s="306"/>
      <c r="H1263" s="306"/>
      <c r="I1263" s="306"/>
      <c r="J1263" s="306"/>
      <c r="K1263" s="307"/>
      <c r="L1263" s="306"/>
      <c r="M1263" s="306"/>
      <c r="N1263" s="306"/>
      <c r="O1263" s="306"/>
      <c r="P1263" s="306"/>
      <c r="Q1263" s="306"/>
      <c r="R1263" s="306"/>
      <c r="S1263" s="306"/>
      <c r="T1263" s="306"/>
      <c r="U1263" s="306"/>
      <c r="V1263" s="305"/>
      <c r="W1263" s="306"/>
      <c r="X1263" s="306"/>
      <c r="Y1263" s="306"/>
      <c r="Z1263" s="307"/>
      <c r="AA1263" s="306"/>
      <c r="AB1263" s="306"/>
      <c r="AC1263" s="306"/>
    </row>
    <row r="1264">
      <c r="A1264" s="306"/>
      <c r="B1264" s="306"/>
      <c r="C1264" s="306"/>
      <c r="D1264" s="305"/>
      <c r="E1264" s="306"/>
      <c r="F1264" s="306"/>
      <c r="G1264" s="306"/>
      <c r="H1264" s="306"/>
      <c r="I1264" s="306"/>
      <c r="J1264" s="306"/>
      <c r="K1264" s="307"/>
      <c r="L1264" s="306"/>
      <c r="M1264" s="306"/>
      <c r="N1264" s="306"/>
      <c r="O1264" s="306"/>
      <c r="P1264" s="306"/>
      <c r="Q1264" s="306"/>
      <c r="R1264" s="306"/>
      <c r="S1264" s="306"/>
      <c r="T1264" s="306"/>
      <c r="U1264" s="306"/>
      <c r="V1264" s="305"/>
      <c r="W1264" s="306"/>
      <c r="X1264" s="306"/>
      <c r="Y1264" s="306"/>
      <c r="Z1264" s="307"/>
      <c r="AA1264" s="306"/>
      <c r="AB1264" s="306"/>
      <c r="AC1264" s="306"/>
    </row>
    <row r="1265">
      <c r="A1265" s="306"/>
      <c r="B1265" s="306"/>
      <c r="C1265" s="306"/>
      <c r="D1265" s="305"/>
      <c r="E1265" s="306"/>
      <c r="F1265" s="306"/>
      <c r="G1265" s="306"/>
      <c r="H1265" s="306"/>
      <c r="I1265" s="306"/>
      <c r="J1265" s="306"/>
      <c r="K1265" s="307"/>
      <c r="L1265" s="306"/>
      <c r="M1265" s="306"/>
      <c r="N1265" s="306"/>
      <c r="O1265" s="306"/>
      <c r="P1265" s="306"/>
      <c r="Q1265" s="306"/>
      <c r="R1265" s="306"/>
      <c r="S1265" s="306"/>
      <c r="T1265" s="306"/>
      <c r="U1265" s="306"/>
      <c r="V1265" s="305"/>
      <c r="W1265" s="306"/>
      <c r="X1265" s="306"/>
      <c r="Y1265" s="306"/>
      <c r="Z1265" s="307"/>
      <c r="AA1265" s="306"/>
      <c r="AB1265" s="306"/>
      <c r="AC1265" s="306"/>
    </row>
    <row r="1266">
      <c r="A1266" s="306"/>
      <c r="B1266" s="306"/>
      <c r="C1266" s="306"/>
      <c r="D1266" s="305"/>
      <c r="E1266" s="306"/>
      <c r="F1266" s="306"/>
      <c r="G1266" s="306"/>
      <c r="H1266" s="306"/>
      <c r="I1266" s="306"/>
      <c r="J1266" s="306"/>
      <c r="K1266" s="307"/>
      <c r="L1266" s="306"/>
      <c r="M1266" s="306"/>
      <c r="N1266" s="306"/>
      <c r="O1266" s="306"/>
      <c r="P1266" s="306"/>
      <c r="Q1266" s="306"/>
      <c r="R1266" s="306"/>
      <c r="S1266" s="306"/>
      <c r="T1266" s="306"/>
      <c r="U1266" s="306"/>
      <c r="V1266" s="305"/>
      <c r="W1266" s="306"/>
      <c r="X1266" s="306"/>
      <c r="Y1266" s="306"/>
      <c r="Z1266" s="307"/>
      <c r="AA1266" s="306"/>
      <c r="AB1266" s="306"/>
      <c r="AC1266" s="306"/>
    </row>
    <row r="1267">
      <c r="A1267" s="306"/>
      <c r="B1267" s="306"/>
      <c r="C1267" s="306"/>
      <c r="D1267" s="305"/>
      <c r="E1267" s="306"/>
      <c r="F1267" s="306"/>
      <c r="G1267" s="306"/>
      <c r="H1267" s="306"/>
      <c r="I1267" s="306"/>
      <c r="J1267" s="306"/>
      <c r="K1267" s="307"/>
      <c r="L1267" s="306"/>
      <c r="M1267" s="306"/>
      <c r="N1267" s="306"/>
      <c r="O1267" s="306"/>
      <c r="P1267" s="306"/>
      <c r="Q1267" s="306"/>
      <c r="R1267" s="306"/>
      <c r="S1267" s="306"/>
      <c r="T1267" s="306"/>
      <c r="U1267" s="306"/>
      <c r="V1267" s="305"/>
      <c r="W1267" s="306"/>
      <c r="X1267" s="306"/>
      <c r="Y1267" s="306"/>
      <c r="Z1267" s="307"/>
      <c r="AA1267" s="306"/>
      <c r="AB1267" s="306"/>
      <c r="AC1267" s="306"/>
    </row>
    <row r="1268">
      <c r="A1268" s="306"/>
      <c r="B1268" s="306"/>
      <c r="C1268" s="306"/>
      <c r="D1268" s="305"/>
      <c r="E1268" s="306"/>
      <c r="F1268" s="306"/>
      <c r="G1268" s="306"/>
      <c r="H1268" s="306"/>
      <c r="I1268" s="306"/>
      <c r="J1268" s="306"/>
      <c r="K1268" s="307"/>
      <c r="L1268" s="306"/>
      <c r="M1268" s="306"/>
      <c r="N1268" s="306"/>
      <c r="O1268" s="306"/>
      <c r="P1268" s="306"/>
      <c r="Q1268" s="306"/>
      <c r="R1268" s="306"/>
      <c r="S1268" s="306"/>
      <c r="T1268" s="306"/>
      <c r="U1268" s="306"/>
      <c r="V1268" s="305"/>
      <c r="W1268" s="306"/>
      <c r="X1268" s="306"/>
      <c r="Y1268" s="306"/>
      <c r="Z1268" s="307"/>
      <c r="AA1268" s="306"/>
      <c r="AB1268" s="306"/>
      <c r="AC1268" s="306"/>
    </row>
    <row r="1269">
      <c r="A1269" s="306"/>
      <c r="B1269" s="306"/>
      <c r="C1269" s="306"/>
      <c r="D1269" s="305"/>
      <c r="E1269" s="306"/>
      <c r="F1269" s="306"/>
      <c r="G1269" s="306"/>
      <c r="H1269" s="306"/>
      <c r="I1269" s="306"/>
      <c r="J1269" s="306"/>
      <c r="K1269" s="307"/>
      <c r="L1269" s="306"/>
      <c r="M1269" s="306"/>
      <c r="N1269" s="306"/>
      <c r="O1269" s="306"/>
      <c r="P1269" s="306"/>
      <c r="Q1269" s="306"/>
      <c r="R1269" s="306"/>
      <c r="S1269" s="306"/>
      <c r="T1269" s="306"/>
      <c r="U1269" s="306"/>
      <c r="V1269" s="305"/>
      <c r="W1269" s="306"/>
      <c r="X1269" s="306"/>
      <c r="Y1269" s="306"/>
      <c r="Z1269" s="307"/>
      <c r="AA1269" s="306"/>
      <c r="AB1269" s="306"/>
      <c r="AC1269" s="306"/>
    </row>
    <row r="1270">
      <c r="A1270" s="306"/>
      <c r="B1270" s="306"/>
      <c r="C1270" s="306"/>
      <c r="D1270" s="305"/>
      <c r="E1270" s="306"/>
      <c r="F1270" s="306"/>
      <c r="G1270" s="306"/>
      <c r="H1270" s="306"/>
      <c r="I1270" s="306"/>
      <c r="J1270" s="306"/>
      <c r="K1270" s="307"/>
      <c r="L1270" s="306"/>
      <c r="M1270" s="306"/>
      <c r="N1270" s="306"/>
      <c r="O1270" s="306"/>
      <c r="P1270" s="306"/>
      <c r="Q1270" s="306"/>
      <c r="R1270" s="306"/>
      <c r="S1270" s="306"/>
      <c r="T1270" s="306"/>
      <c r="U1270" s="306"/>
      <c r="V1270" s="305"/>
      <c r="W1270" s="306"/>
      <c r="X1270" s="306"/>
      <c r="Y1270" s="306"/>
      <c r="Z1270" s="307"/>
      <c r="AA1270" s="306"/>
      <c r="AB1270" s="306"/>
      <c r="AC1270" s="306"/>
    </row>
    <row r="1271">
      <c r="A1271" s="306"/>
      <c r="B1271" s="306"/>
      <c r="C1271" s="306"/>
      <c r="D1271" s="305"/>
      <c r="E1271" s="306"/>
      <c r="F1271" s="306"/>
      <c r="G1271" s="306"/>
      <c r="H1271" s="306"/>
      <c r="I1271" s="306"/>
      <c r="J1271" s="306"/>
      <c r="K1271" s="307"/>
      <c r="L1271" s="306"/>
      <c r="M1271" s="306"/>
      <c r="N1271" s="306"/>
      <c r="O1271" s="306"/>
      <c r="P1271" s="306"/>
      <c r="Q1271" s="306"/>
      <c r="R1271" s="306"/>
      <c r="S1271" s="306"/>
      <c r="T1271" s="306"/>
      <c r="U1271" s="306"/>
      <c r="V1271" s="305"/>
      <c r="W1271" s="306"/>
      <c r="X1271" s="306"/>
      <c r="Y1271" s="306"/>
      <c r="Z1271" s="307"/>
      <c r="AA1271" s="306"/>
      <c r="AB1271" s="306"/>
      <c r="AC1271" s="306"/>
    </row>
    <row r="1272">
      <c r="A1272" s="306"/>
      <c r="B1272" s="306"/>
      <c r="C1272" s="306"/>
      <c r="D1272" s="305"/>
      <c r="E1272" s="306"/>
      <c r="F1272" s="306"/>
      <c r="G1272" s="306"/>
      <c r="H1272" s="306"/>
      <c r="I1272" s="306"/>
      <c r="J1272" s="306"/>
      <c r="K1272" s="307"/>
      <c r="L1272" s="306"/>
      <c r="M1272" s="306"/>
      <c r="N1272" s="306"/>
      <c r="O1272" s="306"/>
      <c r="P1272" s="306"/>
      <c r="Q1272" s="306"/>
      <c r="R1272" s="306"/>
      <c r="S1272" s="306"/>
      <c r="T1272" s="306"/>
      <c r="U1272" s="306"/>
      <c r="V1272" s="305"/>
      <c r="W1272" s="306"/>
      <c r="X1272" s="306"/>
      <c r="Y1272" s="306"/>
      <c r="Z1272" s="307"/>
      <c r="AA1272" s="306"/>
      <c r="AB1272" s="306"/>
      <c r="AC1272" s="306"/>
    </row>
    <row r="1273">
      <c r="A1273" s="306"/>
      <c r="B1273" s="306"/>
      <c r="C1273" s="306"/>
      <c r="D1273" s="305"/>
      <c r="E1273" s="306"/>
      <c r="F1273" s="306"/>
      <c r="G1273" s="306"/>
      <c r="H1273" s="306"/>
      <c r="I1273" s="306"/>
      <c r="J1273" s="306"/>
      <c r="K1273" s="307"/>
      <c r="L1273" s="306"/>
      <c r="M1273" s="306"/>
      <c r="N1273" s="306"/>
      <c r="O1273" s="306"/>
      <c r="P1273" s="306"/>
      <c r="Q1273" s="306"/>
      <c r="R1273" s="306"/>
      <c r="S1273" s="306"/>
      <c r="T1273" s="306"/>
      <c r="U1273" s="306"/>
      <c r="V1273" s="305"/>
      <c r="W1273" s="306"/>
      <c r="X1273" s="306"/>
      <c r="Y1273" s="306"/>
      <c r="Z1273" s="307"/>
      <c r="AA1273" s="306"/>
      <c r="AB1273" s="306"/>
      <c r="AC1273" s="306"/>
    </row>
    <row r="1274">
      <c r="A1274" s="306"/>
      <c r="B1274" s="306"/>
      <c r="C1274" s="306"/>
      <c r="D1274" s="305"/>
      <c r="E1274" s="306"/>
      <c r="F1274" s="306"/>
      <c r="G1274" s="306"/>
      <c r="H1274" s="306"/>
      <c r="I1274" s="306"/>
      <c r="J1274" s="306"/>
      <c r="K1274" s="307"/>
      <c r="L1274" s="306"/>
      <c r="M1274" s="306"/>
      <c r="N1274" s="306"/>
      <c r="O1274" s="306"/>
      <c r="P1274" s="306"/>
      <c r="Q1274" s="306"/>
      <c r="R1274" s="306"/>
      <c r="S1274" s="306"/>
      <c r="T1274" s="306"/>
      <c r="U1274" s="306"/>
      <c r="V1274" s="305"/>
      <c r="W1274" s="306"/>
      <c r="X1274" s="306"/>
      <c r="Y1274" s="306"/>
      <c r="Z1274" s="307"/>
      <c r="AA1274" s="306"/>
      <c r="AB1274" s="306"/>
      <c r="AC1274" s="306"/>
    </row>
    <row r="1275">
      <c r="A1275" s="306"/>
      <c r="B1275" s="306"/>
      <c r="C1275" s="306"/>
      <c r="D1275" s="305"/>
      <c r="E1275" s="306"/>
      <c r="F1275" s="306"/>
      <c r="G1275" s="306"/>
      <c r="H1275" s="306"/>
      <c r="I1275" s="306"/>
      <c r="J1275" s="306"/>
      <c r="K1275" s="307"/>
      <c r="L1275" s="306"/>
      <c r="M1275" s="306"/>
      <c r="N1275" s="306"/>
      <c r="O1275" s="306"/>
      <c r="P1275" s="306"/>
      <c r="Q1275" s="306"/>
      <c r="R1275" s="306"/>
      <c r="S1275" s="306"/>
      <c r="T1275" s="306"/>
      <c r="U1275" s="306"/>
      <c r="V1275" s="305"/>
      <c r="W1275" s="306"/>
      <c r="X1275" s="306"/>
      <c r="Y1275" s="306"/>
      <c r="Z1275" s="307"/>
      <c r="AA1275" s="306"/>
      <c r="AB1275" s="306"/>
      <c r="AC1275" s="306"/>
    </row>
    <row r="1276">
      <c r="A1276" s="306"/>
      <c r="B1276" s="306"/>
      <c r="C1276" s="306"/>
      <c r="D1276" s="305"/>
      <c r="E1276" s="306"/>
      <c r="F1276" s="306"/>
      <c r="G1276" s="306"/>
      <c r="H1276" s="306"/>
      <c r="I1276" s="306"/>
      <c r="J1276" s="306"/>
      <c r="K1276" s="307"/>
      <c r="L1276" s="306"/>
      <c r="M1276" s="306"/>
      <c r="N1276" s="306"/>
      <c r="O1276" s="306"/>
      <c r="P1276" s="306"/>
      <c r="Q1276" s="306"/>
      <c r="R1276" s="306"/>
      <c r="S1276" s="306"/>
      <c r="T1276" s="306"/>
      <c r="U1276" s="306"/>
      <c r="V1276" s="305"/>
      <c r="W1276" s="306"/>
      <c r="X1276" s="306"/>
      <c r="Y1276" s="306"/>
      <c r="Z1276" s="307"/>
      <c r="AA1276" s="306"/>
      <c r="AB1276" s="306"/>
      <c r="AC1276" s="306"/>
    </row>
    <row r="1277">
      <c r="A1277" s="306"/>
      <c r="B1277" s="306"/>
      <c r="C1277" s="306"/>
      <c r="D1277" s="305"/>
      <c r="E1277" s="306"/>
      <c r="F1277" s="306"/>
      <c r="G1277" s="306"/>
      <c r="H1277" s="306"/>
      <c r="I1277" s="306"/>
      <c r="J1277" s="306"/>
      <c r="K1277" s="307"/>
      <c r="L1277" s="306"/>
      <c r="M1277" s="306"/>
      <c r="N1277" s="306"/>
      <c r="O1277" s="306"/>
      <c r="P1277" s="306"/>
      <c r="Q1277" s="306"/>
      <c r="R1277" s="306"/>
      <c r="S1277" s="306"/>
      <c r="T1277" s="306"/>
      <c r="U1277" s="306"/>
      <c r="V1277" s="305"/>
      <c r="W1277" s="306"/>
      <c r="X1277" s="306"/>
      <c r="Y1277" s="306"/>
      <c r="Z1277" s="307"/>
      <c r="AA1277" s="306"/>
      <c r="AB1277" s="306"/>
      <c r="AC1277" s="306"/>
    </row>
    <row r="1278">
      <c r="A1278" s="306"/>
      <c r="B1278" s="306"/>
      <c r="C1278" s="306"/>
      <c r="D1278" s="305"/>
      <c r="E1278" s="306"/>
      <c r="F1278" s="306"/>
      <c r="G1278" s="306"/>
      <c r="H1278" s="306"/>
      <c r="I1278" s="306"/>
      <c r="J1278" s="306"/>
      <c r="K1278" s="307"/>
      <c r="L1278" s="306"/>
      <c r="M1278" s="306"/>
      <c r="N1278" s="306"/>
      <c r="O1278" s="306"/>
      <c r="P1278" s="306"/>
      <c r="Q1278" s="306"/>
      <c r="R1278" s="306"/>
      <c r="S1278" s="306"/>
      <c r="T1278" s="306"/>
      <c r="U1278" s="306"/>
      <c r="V1278" s="305"/>
      <c r="W1278" s="306"/>
      <c r="X1278" s="306"/>
      <c r="Y1278" s="306"/>
      <c r="Z1278" s="307"/>
      <c r="AA1278" s="306"/>
      <c r="AB1278" s="306"/>
      <c r="AC1278" s="306"/>
    </row>
    <row r="1279">
      <c r="A1279" s="306"/>
      <c r="B1279" s="306"/>
      <c r="C1279" s="306"/>
      <c r="D1279" s="305"/>
      <c r="E1279" s="306"/>
      <c r="F1279" s="306"/>
      <c r="G1279" s="306"/>
      <c r="H1279" s="306"/>
      <c r="I1279" s="306"/>
      <c r="J1279" s="306"/>
      <c r="K1279" s="307"/>
      <c r="L1279" s="306"/>
      <c r="M1279" s="306"/>
      <c r="N1279" s="306"/>
      <c r="O1279" s="306"/>
      <c r="P1279" s="306"/>
      <c r="Q1279" s="306"/>
      <c r="R1279" s="306"/>
      <c r="S1279" s="306"/>
      <c r="T1279" s="306"/>
      <c r="U1279" s="306"/>
      <c r="V1279" s="305"/>
      <c r="W1279" s="306"/>
      <c r="X1279" s="306"/>
      <c r="Y1279" s="306"/>
      <c r="Z1279" s="307"/>
      <c r="AA1279" s="306"/>
      <c r="AB1279" s="306"/>
      <c r="AC1279" s="306"/>
    </row>
    <row r="1280">
      <c r="A1280" s="306"/>
      <c r="B1280" s="306"/>
      <c r="C1280" s="306"/>
      <c r="D1280" s="305"/>
      <c r="E1280" s="306"/>
      <c r="F1280" s="306"/>
      <c r="G1280" s="306"/>
      <c r="H1280" s="306"/>
      <c r="I1280" s="306"/>
      <c r="J1280" s="306"/>
      <c r="K1280" s="307"/>
      <c r="L1280" s="306"/>
      <c r="M1280" s="306"/>
      <c r="N1280" s="306"/>
      <c r="O1280" s="306"/>
      <c r="P1280" s="306"/>
      <c r="Q1280" s="306"/>
      <c r="R1280" s="306"/>
      <c r="S1280" s="306"/>
      <c r="T1280" s="306"/>
      <c r="U1280" s="306"/>
      <c r="V1280" s="305"/>
      <c r="W1280" s="306"/>
      <c r="X1280" s="306"/>
      <c r="Y1280" s="306"/>
      <c r="Z1280" s="307"/>
      <c r="AA1280" s="306"/>
      <c r="AB1280" s="306"/>
      <c r="AC1280" s="306"/>
    </row>
    <row r="1281">
      <c r="A1281" s="306"/>
      <c r="B1281" s="306"/>
      <c r="C1281" s="306"/>
      <c r="D1281" s="305"/>
      <c r="E1281" s="306"/>
      <c r="F1281" s="306"/>
      <c r="G1281" s="306"/>
      <c r="H1281" s="306"/>
      <c r="I1281" s="306"/>
      <c r="J1281" s="306"/>
      <c r="K1281" s="307"/>
      <c r="L1281" s="306"/>
      <c r="M1281" s="306"/>
      <c r="N1281" s="306"/>
      <c r="O1281" s="306"/>
      <c r="P1281" s="306"/>
      <c r="Q1281" s="306"/>
      <c r="R1281" s="306"/>
      <c r="S1281" s="306"/>
      <c r="T1281" s="306"/>
      <c r="U1281" s="306"/>
      <c r="V1281" s="305"/>
      <c r="W1281" s="306"/>
      <c r="X1281" s="306"/>
      <c r="Y1281" s="306"/>
      <c r="Z1281" s="307"/>
      <c r="AA1281" s="306"/>
      <c r="AB1281" s="306"/>
      <c r="AC1281" s="306"/>
    </row>
    <row r="1282">
      <c r="A1282" s="306"/>
      <c r="B1282" s="306"/>
      <c r="C1282" s="306"/>
      <c r="D1282" s="305"/>
      <c r="E1282" s="306"/>
      <c r="F1282" s="306"/>
      <c r="G1282" s="306"/>
      <c r="H1282" s="306"/>
      <c r="I1282" s="306"/>
      <c r="J1282" s="306"/>
      <c r="K1282" s="307"/>
      <c r="L1282" s="306"/>
      <c r="M1282" s="306"/>
      <c r="N1282" s="306"/>
      <c r="O1282" s="306"/>
      <c r="P1282" s="306"/>
      <c r="Q1282" s="306"/>
      <c r="R1282" s="306"/>
      <c r="S1282" s="306"/>
      <c r="T1282" s="306"/>
      <c r="U1282" s="306"/>
      <c r="V1282" s="305"/>
      <c r="W1282" s="306"/>
      <c r="X1282" s="306"/>
      <c r="Y1282" s="306"/>
      <c r="Z1282" s="307"/>
      <c r="AA1282" s="306"/>
      <c r="AB1282" s="306"/>
      <c r="AC1282" s="306"/>
    </row>
    <row r="1283">
      <c r="A1283" s="306"/>
      <c r="B1283" s="306"/>
      <c r="C1283" s="306"/>
      <c r="D1283" s="305"/>
      <c r="E1283" s="306"/>
      <c r="F1283" s="306"/>
      <c r="G1283" s="306"/>
      <c r="H1283" s="306"/>
      <c r="I1283" s="306"/>
      <c r="J1283" s="306"/>
      <c r="K1283" s="307"/>
      <c r="L1283" s="306"/>
      <c r="M1283" s="306"/>
      <c r="N1283" s="306"/>
      <c r="O1283" s="306"/>
      <c r="P1283" s="306"/>
      <c r="Q1283" s="306"/>
      <c r="R1283" s="306"/>
      <c r="S1283" s="306"/>
      <c r="T1283" s="306"/>
      <c r="U1283" s="306"/>
      <c r="V1283" s="305"/>
      <c r="W1283" s="306"/>
      <c r="X1283" s="306"/>
      <c r="Y1283" s="306"/>
      <c r="Z1283" s="307"/>
      <c r="AA1283" s="306"/>
      <c r="AB1283" s="306"/>
      <c r="AC1283" s="306"/>
    </row>
    <row r="1284">
      <c r="A1284" s="306"/>
      <c r="B1284" s="306"/>
      <c r="C1284" s="306"/>
      <c r="D1284" s="305"/>
      <c r="E1284" s="306"/>
      <c r="F1284" s="306"/>
      <c r="G1284" s="306"/>
      <c r="H1284" s="306"/>
      <c r="I1284" s="306"/>
      <c r="J1284" s="306"/>
      <c r="K1284" s="307"/>
      <c r="L1284" s="306"/>
      <c r="M1284" s="306"/>
      <c r="N1284" s="306"/>
      <c r="O1284" s="306"/>
      <c r="P1284" s="306"/>
      <c r="Q1284" s="306"/>
      <c r="R1284" s="306"/>
      <c r="S1284" s="306"/>
      <c r="T1284" s="306"/>
      <c r="U1284" s="306"/>
      <c r="V1284" s="305"/>
      <c r="W1284" s="306"/>
      <c r="X1284" s="306"/>
      <c r="Y1284" s="306"/>
      <c r="Z1284" s="307"/>
      <c r="AA1284" s="306"/>
      <c r="AB1284" s="306"/>
      <c r="AC1284" s="306"/>
    </row>
    <row r="1285">
      <c r="A1285" s="306"/>
      <c r="B1285" s="306"/>
      <c r="C1285" s="306"/>
      <c r="D1285" s="305"/>
      <c r="E1285" s="306"/>
      <c r="F1285" s="306"/>
      <c r="G1285" s="306"/>
      <c r="H1285" s="306"/>
      <c r="I1285" s="306"/>
      <c r="J1285" s="306"/>
      <c r="K1285" s="307"/>
      <c r="L1285" s="306"/>
      <c r="M1285" s="306"/>
      <c r="N1285" s="306"/>
      <c r="O1285" s="306"/>
      <c r="P1285" s="306"/>
      <c r="Q1285" s="306"/>
      <c r="R1285" s="306"/>
      <c r="S1285" s="306"/>
      <c r="T1285" s="306"/>
      <c r="U1285" s="306"/>
      <c r="V1285" s="305"/>
      <c r="W1285" s="306"/>
      <c r="X1285" s="306"/>
      <c r="Y1285" s="306"/>
      <c r="Z1285" s="307"/>
      <c r="AA1285" s="306"/>
      <c r="AB1285" s="306"/>
      <c r="AC1285" s="306"/>
    </row>
    <row r="1286">
      <c r="A1286" s="306"/>
      <c r="B1286" s="306"/>
      <c r="C1286" s="306"/>
      <c r="D1286" s="305"/>
      <c r="E1286" s="306"/>
      <c r="F1286" s="306"/>
      <c r="G1286" s="306"/>
      <c r="H1286" s="306"/>
      <c r="I1286" s="306"/>
      <c r="J1286" s="306"/>
      <c r="K1286" s="307"/>
      <c r="L1286" s="306"/>
      <c r="M1286" s="306"/>
      <c r="N1286" s="306"/>
      <c r="O1286" s="306"/>
      <c r="P1286" s="306"/>
      <c r="Q1286" s="306"/>
      <c r="R1286" s="306"/>
      <c r="S1286" s="306"/>
      <c r="T1286" s="306"/>
      <c r="U1286" s="306"/>
      <c r="V1286" s="305"/>
      <c r="W1286" s="306"/>
      <c r="X1286" s="306"/>
      <c r="Y1286" s="306"/>
      <c r="Z1286" s="307"/>
      <c r="AA1286" s="306"/>
      <c r="AB1286" s="306"/>
      <c r="AC1286" s="306"/>
    </row>
    <row r="1287">
      <c r="A1287" s="306"/>
      <c r="B1287" s="306"/>
      <c r="C1287" s="306"/>
      <c r="D1287" s="305"/>
      <c r="E1287" s="306"/>
      <c r="F1287" s="306"/>
      <c r="G1287" s="306"/>
      <c r="H1287" s="306"/>
      <c r="I1287" s="306"/>
      <c r="J1287" s="306"/>
      <c r="K1287" s="307"/>
      <c r="L1287" s="306"/>
      <c r="M1287" s="306"/>
      <c r="N1287" s="306"/>
      <c r="O1287" s="306"/>
      <c r="P1287" s="306"/>
      <c r="Q1287" s="306"/>
      <c r="R1287" s="306"/>
      <c r="S1287" s="306"/>
      <c r="T1287" s="306"/>
      <c r="U1287" s="306"/>
      <c r="V1287" s="305"/>
      <c r="W1287" s="306"/>
      <c r="X1287" s="306"/>
      <c r="Y1287" s="306"/>
      <c r="Z1287" s="307"/>
      <c r="AA1287" s="306"/>
      <c r="AB1287" s="306"/>
      <c r="AC1287" s="306"/>
    </row>
    <row r="1288">
      <c r="A1288" s="306"/>
      <c r="B1288" s="306"/>
      <c r="C1288" s="306"/>
      <c r="D1288" s="305"/>
      <c r="E1288" s="306"/>
      <c r="F1288" s="306"/>
      <c r="G1288" s="306"/>
      <c r="H1288" s="306"/>
      <c r="I1288" s="306"/>
      <c r="J1288" s="306"/>
      <c r="K1288" s="307"/>
      <c r="L1288" s="306"/>
      <c r="M1288" s="306"/>
      <c r="N1288" s="306"/>
      <c r="O1288" s="306"/>
      <c r="P1288" s="306"/>
      <c r="Q1288" s="306"/>
      <c r="R1288" s="306"/>
      <c r="S1288" s="306"/>
      <c r="T1288" s="306"/>
      <c r="U1288" s="306"/>
      <c r="V1288" s="305"/>
      <c r="W1288" s="306"/>
      <c r="X1288" s="306"/>
      <c r="Y1288" s="306"/>
      <c r="Z1288" s="307"/>
      <c r="AA1288" s="306"/>
      <c r="AB1288" s="306"/>
      <c r="AC1288" s="306"/>
    </row>
    <row r="1289">
      <c r="A1289" s="306"/>
      <c r="B1289" s="306"/>
      <c r="C1289" s="306"/>
      <c r="D1289" s="305"/>
      <c r="E1289" s="306"/>
      <c r="F1289" s="306"/>
      <c r="G1289" s="306"/>
      <c r="H1289" s="306"/>
      <c r="I1289" s="306"/>
      <c r="J1289" s="306"/>
      <c r="K1289" s="307"/>
      <c r="L1289" s="306"/>
      <c r="M1289" s="306"/>
      <c r="N1289" s="306"/>
      <c r="O1289" s="306"/>
      <c r="P1289" s="306"/>
      <c r="Q1289" s="306"/>
      <c r="R1289" s="306"/>
      <c r="S1289" s="306"/>
      <c r="T1289" s="306"/>
      <c r="U1289" s="306"/>
      <c r="V1289" s="305"/>
      <c r="W1289" s="306"/>
      <c r="X1289" s="306"/>
      <c r="Y1289" s="306"/>
      <c r="Z1289" s="307"/>
      <c r="AA1289" s="306"/>
      <c r="AB1289" s="306"/>
      <c r="AC1289" s="306"/>
    </row>
    <row r="1290">
      <c r="A1290" s="306"/>
      <c r="B1290" s="306"/>
      <c r="C1290" s="306"/>
      <c r="D1290" s="305"/>
      <c r="E1290" s="306"/>
      <c r="F1290" s="306"/>
      <c r="G1290" s="306"/>
      <c r="H1290" s="306"/>
      <c r="I1290" s="306"/>
      <c r="J1290" s="306"/>
      <c r="K1290" s="307"/>
      <c r="L1290" s="306"/>
      <c r="M1290" s="306"/>
      <c r="N1290" s="306"/>
      <c r="O1290" s="306"/>
      <c r="P1290" s="306"/>
      <c r="Q1290" s="306"/>
      <c r="R1290" s="306"/>
      <c r="S1290" s="306"/>
      <c r="T1290" s="306"/>
      <c r="U1290" s="306"/>
      <c r="V1290" s="305"/>
      <c r="W1290" s="306"/>
      <c r="X1290" s="306"/>
      <c r="Y1290" s="306"/>
      <c r="Z1290" s="307"/>
      <c r="AA1290" s="306"/>
      <c r="AB1290" s="306"/>
      <c r="AC1290" s="306"/>
    </row>
    <row r="1291">
      <c r="A1291" s="306"/>
      <c r="B1291" s="306"/>
      <c r="C1291" s="306"/>
      <c r="D1291" s="305"/>
      <c r="E1291" s="306"/>
      <c r="F1291" s="306"/>
      <c r="G1291" s="306"/>
      <c r="H1291" s="306"/>
      <c r="I1291" s="306"/>
      <c r="J1291" s="306"/>
      <c r="K1291" s="307"/>
      <c r="L1291" s="306"/>
      <c r="M1291" s="306"/>
      <c r="N1291" s="306"/>
      <c r="O1291" s="306"/>
      <c r="P1291" s="306"/>
      <c r="Q1291" s="306"/>
      <c r="R1291" s="306"/>
      <c r="S1291" s="306"/>
      <c r="T1291" s="306"/>
      <c r="U1291" s="306"/>
      <c r="V1291" s="305"/>
      <c r="W1291" s="306"/>
      <c r="X1291" s="306"/>
      <c r="Y1291" s="306"/>
      <c r="Z1291" s="307"/>
      <c r="AA1291" s="306"/>
      <c r="AB1291" s="306"/>
      <c r="AC1291" s="306"/>
    </row>
    <row r="1292">
      <c r="A1292" s="306"/>
      <c r="B1292" s="306"/>
      <c r="C1292" s="306"/>
      <c r="D1292" s="305"/>
      <c r="E1292" s="306"/>
      <c r="F1292" s="306"/>
      <c r="G1292" s="306"/>
      <c r="H1292" s="306"/>
      <c r="I1292" s="306"/>
      <c r="J1292" s="306"/>
      <c r="K1292" s="307"/>
      <c r="L1292" s="306"/>
      <c r="M1292" s="306"/>
      <c r="N1292" s="306"/>
      <c r="O1292" s="306"/>
      <c r="P1292" s="306"/>
      <c r="Q1292" s="306"/>
      <c r="R1292" s="306"/>
      <c r="S1292" s="306"/>
      <c r="T1292" s="306"/>
      <c r="U1292" s="306"/>
      <c r="V1292" s="305"/>
      <c r="W1292" s="306"/>
      <c r="X1292" s="306"/>
      <c r="Y1292" s="306"/>
      <c r="Z1292" s="307"/>
      <c r="AA1292" s="306"/>
      <c r="AB1292" s="306"/>
      <c r="AC1292" s="306"/>
    </row>
    <row r="1293">
      <c r="A1293" s="306"/>
      <c r="B1293" s="306"/>
      <c r="C1293" s="306"/>
      <c r="D1293" s="305"/>
      <c r="E1293" s="306"/>
      <c r="F1293" s="306"/>
      <c r="G1293" s="306"/>
      <c r="H1293" s="306"/>
      <c r="I1293" s="306"/>
      <c r="J1293" s="306"/>
      <c r="K1293" s="307"/>
      <c r="L1293" s="306"/>
      <c r="M1293" s="306"/>
      <c r="N1293" s="306"/>
      <c r="O1293" s="306"/>
      <c r="P1293" s="306"/>
      <c r="Q1293" s="306"/>
      <c r="R1293" s="306"/>
      <c r="S1293" s="306"/>
      <c r="T1293" s="306"/>
      <c r="U1293" s="306"/>
      <c r="V1293" s="305"/>
      <c r="W1293" s="306"/>
      <c r="X1293" s="306"/>
      <c r="Y1293" s="306"/>
      <c r="Z1293" s="307"/>
      <c r="AA1293" s="306"/>
      <c r="AB1293" s="306"/>
      <c r="AC1293" s="306"/>
    </row>
    <row r="1294">
      <c r="A1294" s="306"/>
      <c r="B1294" s="306"/>
      <c r="C1294" s="306"/>
      <c r="D1294" s="305"/>
      <c r="E1294" s="306"/>
      <c r="F1294" s="306"/>
      <c r="G1294" s="306"/>
      <c r="H1294" s="306"/>
      <c r="I1294" s="306"/>
      <c r="J1294" s="306"/>
      <c r="K1294" s="307"/>
      <c r="L1294" s="306"/>
      <c r="M1294" s="306"/>
      <c r="N1294" s="306"/>
      <c r="O1294" s="306"/>
      <c r="P1294" s="306"/>
      <c r="Q1294" s="306"/>
      <c r="R1294" s="306"/>
      <c r="S1294" s="306"/>
      <c r="T1294" s="306"/>
      <c r="U1294" s="306"/>
      <c r="V1294" s="305"/>
      <c r="W1294" s="306"/>
      <c r="X1294" s="306"/>
      <c r="Y1294" s="306"/>
      <c r="Z1294" s="307"/>
      <c r="AA1294" s="306"/>
      <c r="AB1294" s="306"/>
      <c r="AC1294" s="306"/>
    </row>
    <row r="1295">
      <c r="A1295" s="306"/>
      <c r="B1295" s="306"/>
      <c r="C1295" s="306"/>
      <c r="D1295" s="305"/>
      <c r="E1295" s="306"/>
      <c r="F1295" s="306"/>
      <c r="G1295" s="306"/>
      <c r="H1295" s="306"/>
      <c r="I1295" s="306"/>
      <c r="J1295" s="306"/>
      <c r="K1295" s="307"/>
      <c r="L1295" s="306"/>
      <c r="M1295" s="306"/>
      <c r="N1295" s="306"/>
      <c r="O1295" s="306"/>
      <c r="P1295" s="306"/>
      <c r="Q1295" s="306"/>
      <c r="R1295" s="306"/>
      <c r="S1295" s="306"/>
      <c r="T1295" s="306"/>
      <c r="U1295" s="306"/>
      <c r="V1295" s="305"/>
      <c r="W1295" s="306"/>
      <c r="X1295" s="306"/>
      <c r="Y1295" s="306"/>
      <c r="Z1295" s="307"/>
      <c r="AA1295" s="306"/>
      <c r="AB1295" s="306"/>
      <c r="AC1295" s="306"/>
    </row>
    <row r="1296">
      <c r="A1296" s="306"/>
      <c r="B1296" s="306"/>
      <c r="C1296" s="306"/>
      <c r="D1296" s="305"/>
      <c r="E1296" s="306"/>
      <c r="F1296" s="306"/>
      <c r="G1296" s="306"/>
      <c r="H1296" s="306"/>
      <c r="I1296" s="306"/>
      <c r="J1296" s="306"/>
      <c r="K1296" s="307"/>
      <c r="L1296" s="306"/>
      <c r="M1296" s="306"/>
      <c r="N1296" s="306"/>
      <c r="O1296" s="306"/>
      <c r="P1296" s="306"/>
      <c r="Q1296" s="306"/>
      <c r="R1296" s="306"/>
      <c r="S1296" s="306"/>
      <c r="T1296" s="306"/>
      <c r="U1296" s="306"/>
      <c r="V1296" s="305"/>
      <c r="W1296" s="306"/>
      <c r="X1296" s="306"/>
      <c r="Y1296" s="306"/>
      <c r="Z1296" s="307"/>
      <c r="AA1296" s="306"/>
      <c r="AB1296" s="306"/>
      <c r="AC1296" s="306"/>
    </row>
    <row r="1297">
      <c r="A1297" s="306"/>
      <c r="B1297" s="306"/>
      <c r="C1297" s="306"/>
      <c r="D1297" s="305"/>
      <c r="E1297" s="306"/>
      <c r="F1297" s="306"/>
      <c r="G1297" s="306"/>
      <c r="H1297" s="306"/>
      <c r="I1297" s="306"/>
      <c r="J1297" s="306"/>
      <c r="K1297" s="307"/>
      <c r="L1297" s="306"/>
      <c r="M1297" s="306"/>
      <c r="N1297" s="306"/>
      <c r="O1297" s="306"/>
      <c r="P1297" s="306"/>
      <c r="Q1297" s="306"/>
      <c r="R1297" s="306"/>
      <c r="S1297" s="306"/>
      <c r="T1297" s="306"/>
      <c r="U1297" s="306"/>
      <c r="V1297" s="305"/>
      <c r="W1297" s="306"/>
      <c r="X1297" s="306"/>
      <c r="Y1297" s="306"/>
      <c r="Z1297" s="307"/>
      <c r="AA1297" s="306"/>
      <c r="AB1297" s="306"/>
      <c r="AC1297" s="306"/>
    </row>
    <row r="1298">
      <c r="A1298" s="306"/>
      <c r="B1298" s="306"/>
      <c r="C1298" s="306"/>
      <c r="D1298" s="305"/>
      <c r="E1298" s="306"/>
      <c r="F1298" s="306"/>
      <c r="G1298" s="306"/>
      <c r="H1298" s="306"/>
      <c r="I1298" s="306"/>
      <c r="J1298" s="306"/>
      <c r="K1298" s="307"/>
      <c r="L1298" s="306"/>
      <c r="M1298" s="306"/>
      <c r="N1298" s="306"/>
      <c r="O1298" s="306"/>
      <c r="P1298" s="306"/>
      <c r="Q1298" s="306"/>
      <c r="R1298" s="306"/>
      <c r="S1298" s="306"/>
      <c r="T1298" s="306"/>
      <c r="U1298" s="306"/>
      <c r="V1298" s="305"/>
      <c r="W1298" s="306"/>
      <c r="X1298" s="306"/>
      <c r="Y1298" s="306"/>
      <c r="Z1298" s="307"/>
      <c r="AA1298" s="306"/>
      <c r="AB1298" s="306"/>
      <c r="AC1298" s="306"/>
    </row>
    <row r="1299">
      <c r="A1299" s="306"/>
      <c r="B1299" s="306"/>
      <c r="C1299" s="306"/>
      <c r="D1299" s="305"/>
      <c r="E1299" s="306"/>
      <c r="F1299" s="306"/>
      <c r="G1299" s="306"/>
      <c r="H1299" s="306"/>
      <c r="I1299" s="306"/>
      <c r="J1299" s="306"/>
      <c r="K1299" s="307"/>
      <c r="L1299" s="306"/>
      <c r="M1299" s="306"/>
      <c r="N1299" s="306"/>
      <c r="O1299" s="306"/>
      <c r="P1299" s="306"/>
      <c r="Q1299" s="306"/>
      <c r="R1299" s="306"/>
      <c r="S1299" s="306"/>
      <c r="T1299" s="306"/>
      <c r="U1299" s="306"/>
      <c r="V1299" s="305"/>
      <c r="W1299" s="306"/>
      <c r="X1299" s="306"/>
      <c r="Y1299" s="306"/>
      <c r="Z1299" s="307"/>
      <c r="AA1299" s="306"/>
      <c r="AB1299" s="306"/>
      <c r="AC1299" s="306"/>
    </row>
    <row r="1300">
      <c r="A1300" s="306"/>
      <c r="B1300" s="306"/>
      <c r="C1300" s="306"/>
      <c r="D1300" s="305"/>
      <c r="E1300" s="306"/>
      <c r="F1300" s="306"/>
      <c r="G1300" s="306"/>
      <c r="H1300" s="306"/>
      <c r="I1300" s="306"/>
      <c r="J1300" s="306"/>
      <c r="K1300" s="307"/>
      <c r="L1300" s="306"/>
      <c r="M1300" s="306"/>
      <c r="N1300" s="306"/>
      <c r="O1300" s="306"/>
      <c r="P1300" s="306"/>
      <c r="Q1300" s="306"/>
      <c r="R1300" s="306"/>
      <c r="S1300" s="306"/>
      <c r="T1300" s="306"/>
      <c r="U1300" s="306"/>
      <c r="V1300" s="305"/>
      <c r="W1300" s="306"/>
      <c r="X1300" s="306"/>
      <c r="Y1300" s="306"/>
      <c r="Z1300" s="307"/>
      <c r="AA1300" s="306"/>
      <c r="AB1300" s="306"/>
      <c r="AC1300" s="306"/>
    </row>
    <row r="1301">
      <c r="A1301" s="306"/>
      <c r="B1301" s="306"/>
      <c r="C1301" s="306"/>
      <c r="D1301" s="305"/>
      <c r="E1301" s="306"/>
      <c r="F1301" s="306"/>
      <c r="G1301" s="306"/>
      <c r="H1301" s="306"/>
      <c r="I1301" s="306"/>
      <c r="J1301" s="306"/>
      <c r="K1301" s="307"/>
      <c r="L1301" s="306"/>
      <c r="M1301" s="306"/>
      <c r="N1301" s="306"/>
      <c r="O1301" s="306"/>
      <c r="P1301" s="306"/>
      <c r="Q1301" s="306"/>
      <c r="R1301" s="306"/>
      <c r="S1301" s="306"/>
      <c r="T1301" s="306"/>
      <c r="U1301" s="306"/>
      <c r="V1301" s="305"/>
      <c r="W1301" s="306"/>
      <c r="X1301" s="306"/>
      <c r="Y1301" s="306"/>
      <c r="Z1301" s="307"/>
      <c r="AA1301" s="306"/>
      <c r="AB1301" s="306"/>
      <c r="AC1301" s="306"/>
    </row>
    <row r="1302">
      <c r="A1302" s="306"/>
      <c r="B1302" s="306"/>
      <c r="C1302" s="306"/>
      <c r="D1302" s="305"/>
      <c r="E1302" s="306"/>
      <c r="F1302" s="306"/>
      <c r="G1302" s="306"/>
      <c r="H1302" s="306"/>
      <c r="I1302" s="306"/>
      <c r="J1302" s="306"/>
      <c r="K1302" s="307"/>
      <c r="L1302" s="306"/>
      <c r="M1302" s="306"/>
      <c r="N1302" s="306"/>
      <c r="O1302" s="306"/>
      <c r="P1302" s="306"/>
      <c r="Q1302" s="306"/>
      <c r="R1302" s="306"/>
      <c r="S1302" s="306"/>
      <c r="T1302" s="306"/>
      <c r="U1302" s="306"/>
      <c r="V1302" s="305"/>
      <c r="W1302" s="306"/>
      <c r="X1302" s="306"/>
      <c r="Y1302" s="306"/>
      <c r="Z1302" s="307"/>
      <c r="AA1302" s="306"/>
      <c r="AB1302" s="306"/>
      <c r="AC1302" s="306"/>
    </row>
    <row r="1303">
      <c r="A1303" s="306"/>
      <c r="B1303" s="306"/>
      <c r="C1303" s="306"/>
      <c r="D1303" s="305"/>
      <c r="E1303" s="306"/>
      <c r="F1303" s="306"/>
      <c r="G1303" s="306"/>
      <c r="H1303" s="306"/>
      <c r="I1303" s="306"/>
      <c r="J1303" s="306"/>
      <c r="K1303" s="307"/>
      <c r="L1303" s="306"/>
      <c r="M1303" s="306"/>
      <c r="N1303" s="306"/>
      <c r="O1303" s="306"/>
      <c r="P1303" s="306"/>
      <c r="Q1303" s="306"/>
      <c r="R1303" s="306"/>
      <c r="S1303" s="306"/>
      <c r="T1303" s="306"/>
      <c r="U1303" s="306"/>
      <c r="V1303" s="305"/>
      <c r="W1303" s="306"/>
      <c r="X1303" s="306"/>
      <c r="Y1303" s="306"/>
      <c r="Z1303" s="307"/>
      <c r="AA1303" s="306"/>
      <c r="AB1303" s="306"/>
      <c r="AC1303" s="306"/>
    </row>
    <row r="1304">
      <c r="A1304" s="306"/>
      <c r="B1304" s="306"/>
      <c r="C1304" s="306"/>
      <c r="D1304" s="305"/>
      <c r="E1304" s="306"/>
      <c r="F1304" s="306"/>
      <c r="G1304" s="306"/>
      <c r="H1304" s="306"/>
      <c r="I1304" s="306"/>
      <c r="J1304" s="306"/>
      <c r="K1304" s="307"/>
      <c r="L1304" s="306"/>
      <c r="M1304" s="306"/>
      <c r="N1304" s="306"/>
      <c r="O1304" s="306"/>
      <c r="P1304" s="306"/>
      <c r="Q1304" s="306"/>
      <c r="R1304" s="306"/>
      <c r="S1304" s="306"/>
      <c r="T1304" s="306"/>
      <c r="U1304" s="306"/>
      <c r="V1304" s="305"/>
      <c r="W1304" s="306"/>
      <c r="X1304" s="306"/>
      <c r="Y1304" s="306"/>
      <c r="Z1304" s="307"/>
      <c r="AA1304" s="306"/>
      <c r="AB1304" s="306"/>
      <c r="AC1304" s="306"/>
    </row>
    <row r="1305">
      <c r="A1305" s="306"/>
      <c r="B1305" s="306"/>
      <c r="C1305" s="306"/>
      <c r="D1305" s="305"/>
      <c r="E1305" s="306"/>
      <c r="F1305" s="306"/>
      <c r="G1305" s="306"/>
      <c r="H1305" s="306"/>
      <c r="I1305" s="306"/>
      <c r="J1305" s="306"/>
      <c r="K1305" s="307"/>
      <c r="L1305" s="306"/>
      <c r="M1305" s="306"/>
      <c r="N1305" s="306"/>
      <c r="O1305" s="306"/>
      <c r="P1305" s="306"/>
      <c r="Q1305" s="306"/>
      <c r="R1305" s="306"/>
      <c r="S1305" s="306"/>
      <c r="T1305" s="306"/>
      <c r="U1305" s="306"/>
      <c r="V1305" s="305"/>
      <c r="W1305" s="306"/>
      <c r="X1305" s="306"/>
      <c r="Y1305" s="306"/>
      <c r="Z1305" s="307"/>
      <c r="AA1305" s="306"/>
      <c r="AB1305" s="306"/>
      <c r="AC1305" s="306"/>
    </row>
    <row r="1306">
      <c r="A1306" s="306"/>
      <c r="B1306" s="306"/>
      <c r="C1306" s="306"/>
      <c r="D1306" s="305"/>
      <c r="E1306" s="306"/>
      <c r="F1306" s="306"/>
      <c r="G1306" s="306"/>
      <c r="H1306" s="306"/>
      <c r="I1306" s="306"/>
      <c r="J1306" s="306"/>
      <c r="K1306" s="307"/>
      <c r="L1306" s="306"/>
      <c r="M1306" s="306"/>
      <c r="N1306" s="306"/>
      <c r="O1306" s="306"/>
      <c r="P1306" s="306"/>
      <c r="Q1306" s="306"/>
      <c r="R1306" s="306"/>
      <c r="S1306" s="306"/>
      <c r="T1306" s="306"/>
      <c r="U1306" s="306"/>
      <c r="V1306" s="305"/>
      <c r="W1306" s="306"/>
      <c r="X1306" s="306"/>
      <c r="Y1306" s="306"/>
      <c r="Z1306" s="307"/>
      <c r="AA1306" s="306"/>
      <c r="AB1306" s="306"/>
      <c r="AC1306" s="306"/>
    </row>
    <row r="1307">
      <c r="A1307" s="306"/>
      <c r="B1307" s="306"/>
      <c r="C1307" s="306"/>
      <c r="D1307" s="305"/>
      <c r="E1307" s="306"/>
      <c r="F1307" s="306"/>
      <c r="G1307" s="306"/>
      <c r="H1307" s="306"/>
      <c r="I1307" s="306"/>
      <c r="J1307" s="306"/>
      <c r="K1307" s="307"/>
      <c r="L1307" s="306"/>
      <c r="M1307" s="306"/>
      <c r="N1307" s="306"/>
      <c r="O1307" s="306"/>
      <c r="P1307" s="306"/>
      <c r="Q1307" s="306"/>
      <c r="R1307" s="306"/>
      <c r="S1307" s="306"/>
      <c r="T1307" s="306"/>
      <c r="U1307" s="306"/>
      <c r="V1307" s="305"/>
      <c r="W1307" s="306"/>
      <c r="X1307" s="306"/>
      <c r="Y1307" s="306"/>
      <c r="Z1307" s="307"/>
      <c r="AA1307" s="306"/>
      <c r="AB1307" s="306"/>
      <c r="AC1307" s="306"/>
    </row>
    <row r="1308">
      <c r="A1308" s="306"/>
      <c r="B1308" s="306"/>
      <c r="C1308" s="306"/>
      <c r="D1308" s="305"/>
      <c r="E1308" s="306"/>
      <c r="F1308" s="306"/>
      <c r="G1308" s="306"/>
      <c r="H1308" s="306"/>
      <c r="I1308" s="306"/>
      <c r="J1308" s="306"/>
      <c r="K1308" s="307"/>
      <c r="L1308" s="306"/>
      <c r="M1308" s="306"/>
      <c r="N1308" s="306"/>
      <c r="O1308" s="306"/>
      <c r="P1308" s="306"/>
      <c r="Q1308" s="306"/>
      <c r="R1308" s="306"/>
      <c r="S1308" s="306"/>
      <c r="T1308" s="306"/>
      <c r="U1308" s="306"/>
      <c r="V1308" s="305"/>
      <c r="W1308" s="306"/>
      <c r="X1308" s="306"/>
      <c r="Y1308" s="306"/>
      <c r="Z1308" s="307"/>
      <c r="AA1308" s="306"/>
      <c r="AB1308" s="306"/>
      <c r="AC1308" s="306"/>
    </row>
    <row r="1309">
      <c r="A1309" s="306"/>
      <c r="B1309" s="306"/>
      <c r="C1309" s="306"/>
      <c r="D1309" s="305"/>
      <c r="E1309" s="306"/>
      <c r="F1309" s="306"/>
      <c r="G1309" s="306"/>
      <c r="H1309" s="306"/>
      <c r="I1309" s="306"/>
      <c r="J1309" s="306"/>
      <c r="K1309" s="307"/>
      <c r="L1309" s="306"/>
      <c r="M1309" s="306"/>
      <c r="N1309" s="306"/>
      <c r="O1309" s="306"/>
      <c r="P1309" s="306"/>
      <c r="Q1309" s="306"/>
      <c r="R1309" s="306"/>
      <c r="S1309" s="306"/>
      <c r="T1309" s="306"/>
      <c r="U1309" s="306"/>
      <c r="V1309" s="305"/>
      <c r="W1309" s="306"/>
      <c r="X1309" s="306"/>
      <c r="Y1309" s="306"/>
      <c r="Z1309" s="307"/>
      <c r="AA1309" s="306"/>
      <c r="AB1309" s="306"/>
      <c r="AC1309" s="306"/>
    </row>
    <row r="1310">
      <c r="A1310" s="306"/>
      <c r="B1310" s="306"/>
      <c r="C1310" s="306"/>
      <c r="D1310" s="305"/>
      <c r="E1310" s="306"/>
      <c r="F1310" s="306"/>
      <c r="G1310" s="306"/>
      <c r="H1310" s="306"/>
      <c r="I1310" s="306"/>
      <c r="J1310" s="306"/>
      <c r="K1310" s="307"/>
      <c r="L1310" s="306"/>
      <c r="M1310" s="306"/>
      <c r="N1310" s="306"/>
      <c r="O1310" s="306"/>
      <c r="P1310" s="306"/>
      <c r="Q1310" s="306"/>
      <c r="R1310" s="306"/>
      <c r="S1310" s="306"/>
      <c r="T1310" s="306"/>
      <c r="U1310" s="306"/>
      <c r="V1310" s="305"/>
      <c r="W1310" s="306"/>
      <c r="X1310" s="306"/>
      <c r="Y1310" s="306"/>
      <c r="Z1310" s="307"/>
      <c r="AA1310" s="306"/>
      <c r="AB1310" s="306"/>
      <c r="AC1310" s="306"/>
    </row>
    <row r="1311">
      <c r="A1311" s="306"/>
      <c r="B1311" s="306"/>
      <c r="C1311" s="306"/>
      <c r="D1311" s="305"/>
      <c r="E1311" s="306"/>
      <c r="F1311" s="306"/>
      <c r="G1311" s="306"/>
      <c r="H1311" s="306"/>
      <c r="I1311" s="306"/>
      <c r="J1311" s="306"/>
      <c r="K1311" s="307"/>
      <c r="L1311" s="306"/>
      <c r="M1311" s="306"/>
      <c r="N1311" s="306"/>
      <c r="O1311" s="306"/>
      <c r="P1311" s="306"/>
      <c r="Q1311" s="306"/>
      <c r="R1311" s="306"/>
      <c r="S1311" s="306"/>
      <c r="T1311" s="306"/>
      <c r="U1311" s="306"/>
      <c r="V1311" s="305"/>
      <c r="W1311" s="306"/>
      <c r="X1311" s="306"/>
      <c r="Y1311" s="306"/>
      <c r="Z1311" s="307"/>
      <c r="AA1311" s="306"/>
      <c r="AB1311" s="306"/>
      <c r="AC1311" s="306"/>
    </row>
    <row r="1312">
      <c r="A1312" s="306"/>
      <c r="B1312" s="306"/>
      <c r="C1312" s="306"/>
      <c r="D1312" s="305"/>
      <c r="E1312" s="306"/>
      <c r="F1312" s="306"/>
      <c r="G1312" s="306"/>
      <c r="H1312" s="306"/>
      <c r="I1312" s="306"/>
      <c r="J1312" s="306"/>
      <c r="K1312" s="307"/>
      <c r="L1312" s="306"/>
      <c r="M1312" s="306"/>
      <c r="N1312" s="306"/>
      <c r="O1312" s="306"/>
      <c r="P1312" s="306"/>
      <c r="Q1312" s="306"/>
      <c r="R1312" s="306"/>
      <c r="S1312" s="306"/>
      <c r="T1312" s="306"/>
      <c r="U1312" s="306"/>
      <c r="V1312" s="305"/>
      <c r="W1312" s="306"/>
      <c r="X1312" s="306"/>
      <c r="Y1312" s="306"/>
      <c r="Z1312" s="307"/>
      <c r="AA1312" s="306"/>
      <c r="AB1312" s="306"/>
      <c r="AC1312" s="306"/>
    </row>
    <row r="1313">
      <c r="A1313" s="306"/>
      <c r="B1313" s="306"/>
      <c r="C1313" s="306"/>
      <c r="D1313" s="305"/>
      <c r="E1313" s="306"/>
      <c r="F1313" s="306"/>
      <c r="G1313" s="306"/>
      <c r="H1313" s="306"/>
      <c r="I1313" s="306"/>
      <c r="J1313" s="306"/>
      <c r="K1313" s="307"/>
      <c r="L1313" s="306"/>
      <c r="M1313" s="306"/>
      <c r="N1313" s="306"/>
      <c r="O1313" s="306"/>
      <c r="P1313" s="306"/>
      <c r="Q1313" s="306"/>
      <c r="R1313" s="306"/>
      <c r="S1313" s="306"/>
      <c r="T1313" s="306"/>
      <c r="U1313" s="306"/>
      <c r="V1313" s="305"/>
      <c r="W1313" s="306"/>
      <c r="X1313" s="306"/>
      <c r="Y1313" s="306"/>
      <c r="Z1313" s="307"/>
      <c r="AA1313" s="306"/>
      <c r="AB1313" s="306"/>
      <c r="AC1313" s="306"/>
    </row>
    <row r="1314">
      <c r="A1314" s="306"/>
      <c r="B1314" s="306"/>
      <c r="C1314" s="306"/>
      <c r="D1314" s="305"/>
      <c r="E1314" s="306"/>
      <c r="F1314" s="306"/>
      <c r="G1314" s="306"/>
      <c r="H1314" s="306"/>
      <c r="I1314" s="306"/>
      <c r="J1314" s="306"/>
      <c r="K1314" s="307"/>
      <c r="L1314" s="306"/>
      <c r="M1314" s="306"/>
      <c r="N1314" s="306"/>
      <c r="O1314" s="306"/>
      <c r="P1314" s="306"/>
      <c r="Q1314" s="306"/>
      <c r="R1314" s="306"/>
      <c r="S1314" s="306"/>
      <c r="T1314" s="306"/>
      <c r="U1314" s="306"/>
      <c r="V1314" s="305"/>
      <c r="W1314" s="306"/>
      <c r="X1314" s="306"/>
      <c r="Y1314" s="306"/>
      <c r="Z1314" s="307"/>
      <c r="AA1314" s="306"/>
      <c r="AB1314" s="306"/>
      <c r="AC1314" s="306"/>
    </row>
    <row r="1315">
      <c r="A1315" s="306"/>
      <c r="B1315" s="306"/>
      <c r="C1315" s="306"/>
      <c r="D1315" s="305"/>
      <c r="E1315" s="306"/>
      <c r="F1315" s="306"/>
      <c r="G1315" s="306"/>
      <c r="H1315" s="306"/>
      <c r="I1315" s="306"/>
      <c r="J1315" s="306"/>
      <c r="K1315" s="307"/>
      <c r="L1315" s="306"/>
      <c r="M1315" s="306"/>
      <c r="N1315" s="306"/>
      <c r="O1315" s="306"/>
      <c r="P1315" s="306"/>
      <c r="Q1315" s="306"/>
      <c r="R1315" s="306"/>
      <c r="S1315" s="306"/>
      <c r="T1315" s="306"/>
      <c r="U1315" s="306"/>
      <c r="V1315" s="305"/>
      <c r="W1315" s="306"/>
      <c r="X1315" s="306"/>
      <c r="Y1315" s="306"/>
      <c r="Z1315" s="307"/>
      <c r="AA1315" s="306"/>
      <c r="AB1315" s="306"/>
      <c r="AC1315" s="306"/>
    </row>
    <row r="1316">
      <c r="A1316" s="306"/>
      <c r="B1316" s="306"/>
      <c r="C1316" s="306"/>
      <c r="D1316" s="305"/>
      <c r="E1316" s="306"/>
      <c r="F1316" s="306"/>
      <c r="G1316" s="306"/>
      <c r="H1316" s="306"/>
      <c r="I1316" s="306"/>
      <c r="J1316" s="306"/>
      <c r="K1316" s="307"/>
      <c r="L1316" s="306"/>
      <c r="M1316" s="306"/>
      <c r="N1316" s="306"/>
      <c r="O1316" s="306"/>
      <c r="P1316" s="306"/>
      <c r="Q1316" s="306"/>
      <c r="R1316" s="306"/>
      <c r="S1316" s="306"/>
      <c r="T1316" s="306"/>
      <c r="U1316" s="306"/>
      <c r="V1316" s="305"/>
      <c r="W1316" s="306"/>
      <c r="X1316" s="306"/>
      <c r="Y1316" s="306"/>
      <c r="Z1316" s="307"/>
      <c r="AA1316" s="306"/>
      <c r="AB1316" s="306"/>
      <c r="AC1316" s="306"/>
    </row>
    <row r="1317">
      <c r="A1317" s="306"/>
      <c r="B1317" s="306"/>
      <c r="C1317" s="306"/>
      <c r="D1317" s="305"/>
      <c r="E1317" s="306"/>
      <c r="F1317" s="306"/>
      <c r="G1317" s="306"/>
      <c r="H1317" s="306"/>
      <c r="I1317" s="306"/>
      <c r="J1317" s="306"/>
      <c r="K1317" s="307"/>
      <c r="L1317" s="306"/>
      <c r="M1317" s="306"/>
      <c r="N1317" s="306"/>
      <c r="O1317" s="306"/>
      <c r="P1317" s="306"/>
      <c r="Q1317" s="306"/>
      <c r="R1317" s="306"/>
      <c r="S1317" s="306"/>
      <c r="T1317" s="306"/>
      <c r="U1317" s="306"/>
      <c r="V1317" s="305"/>
      <c r="W1317" s="306"/>
      <c r="X1317" s="306"/>
      <c r="Y1317" s="306"/>
      <c r="Z1317" s="307"/>
      <c r="AA1317" s="306"/>
      <c r="AB1317" s="306"/>
      <c r="AC1317" s="306"/>
    </row>
    <row r="1318">
      <c r="A1318" s="306"/>
      <c r="B1318" s="306"/>
      <c r="C1318" s="306"/>
      <c r="D1318" s="305"/>
      <c r="E1318" s="306"/>
      <c r="F1318" s="306"/>
      <c r="G1318" s="306"/>
      <c r="H1318" s="306"/>
      <c r="I1318" s="306"/>
      <c r="J1318" s="306"/>
      <c r="K1318" s="307"/>
      <c r="L1318" s="306"/>
      <c r="M1318" s="306"/>
      <c r="N1318" s="306"/>
      <c r="O1318" s="306"/>
      <c r="P1318" s="306"/>
      <c r="Q1318" s="306"/>
      <c r="R1318" s="306"/>
      <c r="S1318" s="306"/>
      <c r="T1318" s="306"/>
      <c r="U1318" s="306"/>
      <c r="V1318" s="305"/>
      <c r="W1318" s="306"/>
      <c r="X1318" s="306"/>
      <c r="Y1318" s="306"/>
      <c r="Z1318" s="307"/>
      <c r="AA1318" s="306"/>
      <c r="AB1318" s="306"/>
      <c r="AC1318" s="306"/>
    </row>
    <row r="1319">
      <c r="A1319" s="306"/>
      <c r="B1319" s="306"/>
      <c r="C1319" s="306"/>
      <c r="D1319" s="305"/>
      <c r="E1319" s="306"/>
      <c r="F1319" s="306"/>
      <c r="G1319" s="306"/>
      <c r="H1319" s="306"/>
      <c r="I1319" s="306"/>
      <c r="J1319" s="306"/>
      <c r="K1319" s="307"/>
      <c r="L1319" s="306"/>
      <c r="M1319" s="306"/>
      <c r="N1319" s="306"/>
      <c r="O1319" s="306"/>
      <c r="P1319" s="306"/>
      <c r="Q1319" s="306"/>
      <c r="R1319" s="306"/>
      <c r="S1319" s="306"/>
      <c r="T1319" s="306"/>
      <c r="U1319" s="306"/>
      <c r="V1319" s="305"/>
      <c r="W1319" s="306"/>
      <c r="X1319" s="306"/>
      <c r="Y1319" s="306"/>
      <c r="Z1319" s="307"/>
      <c r="AA1319" s="306"/>
      <c r="AB1319" s="306"/>
      <c r="AC1319" s="306"/>
    </row>
    <row r="1320">
      <c r="A1320" s="306"/>
      <c r="B1320" s="306"/>
      <c r="C1320" s="306"/>
      <c r="D1320" s="305"/>
      <c r="E1320" s="306"/>
      <c r="F1320" s="306"/>
      <c r="G1320" s="306"/>
      <c r="H1320" s="306"/>
      <c r="I1320" s="306"/>
      <c r="J1320" s="306"/>
      <c r="K1320" s="307"/>
      <c r="L1320" s="306"/>
      <c r="M1320" s="306"/>
      <c r="N1320" s="306"/>
      <c r="O1320" s="306"/>
      <c r="P1320" s="306"/>
      <c r="Q1320" s="306"/>
      <c r="R1320" s="306"/>
      <c r="S1320" s="306"/>
      <c r="T1320" s="306"/>
      <c r="U1320" s="306"/>
      <c r="V1320" s="305"/>
      <c r="W1320" s="306"/>
      <c r="X1320" s="306"/>
      <c r="Y1320" s="306"/>
      <c r="Z1320" s="307"/>
      <c r="AA1320" s="306"/>
      <c r="AB1320" s="306"/>
      <c r="AC1320" s="306"/>
    </row>
    <row r="1321">
      <c r="A1321" s="306"/>
      <c r="B1321" s="306"/>
      <c r="C1321" s="306"/>
      <c r="D1321" s="305"/>
      <c r="E1321" s="306"/>
      <c r="F1321" s="306"/>
      <c r="G1321" s="306"/>
      <c r="H1321" s="306"/>
      <c r="I1321" s="306"/>
      <c r="J1321" s="306"/>
      <c r="K1321" s="307"/>
      <c r="L1321" s="306"/>
      <c r="M1321" s="306"/>
      <c r="N1321" s="306"/>
      <c r="O1321" s="306"/>
      <c r="P1321" s="306"/>
      <c r="Q1321" s="306"/>
      <c r="R1321" s="306"/>
      <c r="S1321" s="306"/>
      <c r="T1321" s="306"/>
      <c r="U1321" s="306"/>
      <c r="V1321" s="305"/>
      <c r="W1321" s="306"/>
      <c r="X1321" s="306"/>
      <c r="Y1321" s="306"/>
      <c r="Z1321" s="307"/>
      <c r="AA1321" s="306"/>
      <c r="AB1321" s="306"/>
      <c r="AC1321" s="306"/>
    </row>
    <row r="1322">
      <c r="A1322" s="306"/>
      <c r="B1322" s="306"/>
      <c r="C1322" s="306"/>
      <c r="D1322" s="305"/>
      <c r="E1322" s="306"/>
      <c r="F1322" s="306"/>
      <c r="G1322" s="306"/>
      <c r="H1322" s="306"/>
      <c r="I1322" s="306"/>
      <c r="J1322" s="306"/>
      <c r="K1322" s="307"/>
      <c r="L1322" s="306"/>
      <c r="M1322" s="306"/>
      <c r="N1322" s="306"/>
      <c r="O1322" s="306"/>
      <c r="P1322" s="306"/>
      <c r="Q1322" s="306"/>
      <c r="R1322" s="306"/>
      <c r="S1322" s="306"/>
      <c r="T1322" s="306"/>
      <c r="U1322" s="306"/>
      <c r="V1322" s="305"/>
      <c r="W1322" s="306"/>
      <c r="X1322" s="306"/>
      <c r="Y1322" s="306"/>
      <c r="Z1322" s="307"/>
      <c r="AA1322" s="306"/>
      <c r="AB1322" s="306"/>
      <c r="AC1322" s="306"/>
    </row>
    <row r="1323">
      <c r="A1323" s="306"/>
      <c r="B1323" s="306"/>
      <c r="C1323" s="306"/>
      <c r="D1323" s="305"/>
      <c r="E1323" s="306"/>
      <c r="F1323" s="306"/>
      <c r="G1323" s="306"/>
      <c r="H1323" s="306"/>
      <c r="I1323" s="306"/>
      <c r="J1323" s="306"/>
      <c r="K1323" s="307"/>
      <c r="L1323" s="306"/>
      <c r="M1323" s="306"/>
      <c r="N1323" s="306"/>
      <c r="O1323" s="306"/>
      <c r="P1323" s="306"/>
      <c r="Q1323" s="306"/>
      <c r="R1323" s="306"/>
      <c r="S1323" s="306"/>
      <c r="T1323" s="306"/>
      <c r="U1323" s="306"/>
      <c r="V1323" s="305"/>
      <c r="W1323" s="306"/>
      <c r="X1323" s="306"/>
      <c r="Y1323" s="306"/>
      <c r="Z1323" s="307"/>
      <c r="AA1323" s="306"/>
      <c r="AB1323" s="306"/>
      <c r="AC1323" s="306"/>
    </row>
    <row r="1324">
      <c r="A1324" s="306"/>
      <c r="B1324" s="306"/>
      <c r="C1324" s="306"/>
      <c r="D1324" s="305"/>
      <c r="E1324" s="306"/>
      <c r="F1324" s="306"/>
      <c r="G1324" s="306"/>
      <c r="H1324" s="306"/>
      <c r="I1324" s="306"/>
      <c r="J1324" s="306"/>
      <c r="K1324" s="307"/>
      <c r="L1324" s="306"/>
      <c r="M1324" s="306"/>
      <c r="N1324" s="306"/>
      <c r="O1324" s="306"/>
      <c r="P1324" s="306"/>
      <c r="Q1324" s="306"/>
      <c r="R1324" s="306"/>
      <c r="S1324" s="306"/>
      <c r="T1324" s="306"/>
      <c r="U1324" s="306"/>
      <c r="V1324" s="305"/>
      <c r="W1324" s="306"/>
      <c r="X1324" s="306"/>
      <c r="Y1324" s="306"/>
      <c r="Z1324" s="307"/>
      <c r="AA1324" s="306"/>
      <c r="AB1324" s="306"/>
      <c r="AC1324" s="306"/>
    </row>
    <row r="1325">
      <c r="A1325" s="306"/>
      <c r="B1325" s="306"/>
      <c r="C1325" s="306"/>
      <c r="D1325" s="305"/>
      <c r="E1325" s="306"/>
      <c r="F1325" s="306"/>
      <c r="G1325" s="306"/>
      <c r="H1325" s="306"/>
      <c r="I1325" s="306"/>
      <c r="J1325" s="306"/>
      <c r="K1325" s="307"/>
      <c r="L1325" s="306"/>
      <c r="M1325" s="306"/>
      <c r="N1325" s="306"/>
      <c r="O1325" s="306"/>
      <c r="P1325" s="306"/>
      <c r="Q1325" s="306"/>
      <c r="R1325" s="306"/>
      <c r="S1325" s="306"/>
      <c r="T1325" s="306"/>
      <c r="U1325" s="306"/>
      <c r="V1325" s="305"/>
      <c r="W1325" s="306"/>
      <c r="X1325" s="306"/>
      <c r="Y1325" s="306"/>
      <c r="Z1325" s="307"/>
      <c r="AA1325" s="306"/>
      <c r="AB1325" s="306"/>
      <c r="AC1325" s="306"/>
    </row>
    <row r="1326">
      <c r="A1326" s="306"/>
      <c r="B1326" s="306"/>
      <c r="C1326" s="306"/>
      <c r="D1326" s="305"/>
      <c r="E1326" s="306"/>
      <c r="F1326" s="306"/>
      <c r="G1326" s="306"/>
      <c r="H1326" s="306"/>
      <c r="I1326" s="306"/>
      <c r="J1326" s="306"/>
      <c r="K1326" s="307"/>
      <c r="L1326" s="306"/>
      <c r="M1326" s="306"/>
      <c r="N1326" s="306"/>
      <c r="O1326" s="306"/>
      <c r="P1326" s="306"/>
      <c r="Q1326" s="306"/>
      <c r="R1326" s="306"/>
      <c r="S1326" s="306"/>
      <c r="T1326" s="306"/>
      <c r="U1326" s="306"/>
      <c r="V1326" s="305"/>
      <c r="W1326" s="306"/>
      <c r="X1326" s="306"/>
      <c r="Y1326" s="306"/>
      <c r="Z1326" s="307"/>
      <c r="AA1326" s="306"/>
      <c r="AB1326" s="306"/>
      <c r="AC1326" s="306"/>
    </row>
    <row r="1327">
      <c r="A1327" s="306"/>
      <c r="B1327" s="306"/>
      <c r="C1327" s="306"/>
      <c r="D1327" s="305"/>
      <c r="E1327" s="306"/>
      <c r="F1327" s="306"/>
      <c r="G1327" s="306"/>
      <c r="H1327" s="306"/>
      <c r="I1327" s="306"/>
      <c r="J1327" s="306"/>
      <c r="K1327" s="307"/>
      <c r="L1327" s="306"/>
      <c r="M1327" s="306"/>
      <c r="N1327" s="306"/>
      <c r="O1327" s="306"/>
      <c r="P1327" s="306"/>
      <c r="Q1327" s="306"/>
      <c r="R1327" s="306"/>
      <c r="S1327" s="306"/>
      <c r="T1327" s="306"/>
      <c r="U1327" s="306"/>
      <c r="V1327" s="305"/>
      <c r="W1327" s="306"/>
      <c r="X1327" s="306"/>
      <c r="Y1327" s="306"/>
      <c r="Z1327" s="307"/>
      <c r="AA1327" s="306"/>
      <c r="AB1327" s="306"/>
      <c r="AC1327" s="306"/>
    </row>
    <row r="1328">
      <c r="A1328" s="306"/>
      <c r="B1328" s="306"/>
      <c r="C1328" s="306"/>
      <c r="D1328" s="305"/>
      <c r="E1328" s="306"/>
      <c r="F1328" s="306"/>
      <c r="G1328" s="306"/>
      <c r="H1328" s="306"/>
      <c r="I1328" s="306"/>
      <c r="J1328" s="306"/>
      <c r="K1328" s="307"/>
      <c r="L1328" s="306"/>
      <c r="M1328" s="306"/>
      <c r="N1328" s="306"/>
      <c r="O1328" s="306"/>
      <c r="P1328" s="306"/>
      <c r="Q1328" s="306"/>
      <c r="R1328" s="306"/>
      <c r="S1328" s="306"/>
      <c r="T1328" s="306"/>
      <c r="U1328" s="306"/>
      <c r="V1328" s="305"/>
      <c r="W1328" s="306"/>
      <c r="X1328" s="306"/>
      <c r="Y1328" s="306"/>
      <c r="Z1328" s="307"/>
      <c r="AA1328" s="306"/>
      <c r="AB1328" s="306"/>
      <c r="AC1328" s="306"/>
    </row>
    <row r="1329">
      <c r="A1329" s="306"/>
      <c r="B1329" s="306"/>
      <c r="C1329" s="306"/>
      <c r="D1329" s="305"/>
      <c r="E1329" s="306"/>
      <c r="F1329" s="306"/>
      <c r="G1329" s="306"/>
      <c r="H1329" s="306"/>
      <c r="I1329" s="306"/>
      <c r="J1329" s="306"/>
      <c r="K1329" s="307"/>
      <c r="L1329" s="306"/>
      <c r="M1329" s="306"/>
      <c r="N1329" s="306"/>
      <c r="O1329" s="306"/>
      <c r="P1329" s="306"/>
      <c r="Q1329" s="306"/>
      <c r="R1329" s="306"/>
      <c r="S1329" s="306"/>
      <c r="T1329" s="306"/>
      <c r="U1329" s="306"/>
      <c r="V1329" s="305"/>
      <c r="W1329" s="306"/>
      <c r="X1329" s="306"/>
      <c r="Y1329" s="306"/>
      <c r="Z1329" s="307"/>
      <c r="AA1329" s="306"/>
      <c r="AB1329" s="306"/>
      <c r="AC1329" s="306"/>
    </row>
    <row r="1330">
      <c r="A1330" s="306"/>
      <c r="B1330" s="306"/>
      <c r="C1330" s="306"/>
      <c r="D1330" s="305"/>
      <c r="E1330" s="306"/>
      <c r="F1330" s="306"/>
      <c r="G1330" s="306"/>
      <c r="H1330" s="306"/>
      <c r="I1330" s="306"/>
      <c r="J1330" s="306"/>
      <c r="K1330" s="307"/>
      <c r="L1330" s="306"/>
      <c r="M1330" s="306"/>
      <c r="N1330" s="306"/>
      <c r="O1330" s="306"/>
      <c r="P1330" s="306"/>
      <c r="Q1330" s="306"/>
      <c r="R1330" s="306"/>
      <c r="S1330" s="306"/>
      <c r="T1330" s="306"/>
      <c r="U1330" s="306"/>
      <c r="V1330" s="305"/>
      <c r="W1330" s="306"/>
      <c r="X1330" s="306"/>
      <c r="Y1330" s="306"/>
      <c r="Z1330" s="307"/>
      <c r="AA1330" s="306"/>
      <c r="AB1330" s="306"/>
      <c r="AC1330" s="306"/>
    </row>
    <row r="1331">
      <c r="A1331" s="306"/>
      <c r="B1331" s="306"/>
      <c r="C1331" s="306"/>
      <c r="D1331" s="305"/>
      <c r="E1331" s="306"/>
      <c r="F1331" s="306"/>
      <c r="G1331" s="306"/>
      <c r="H1331" s="306"/>
      <c r="I1331" s="306"/>
      <c r="J1331" s="306"/>
      <c r="K1331" s="307"/>
      <c r="L1331" s="306"/>
      <c r="M1331" s="306"/>
      <c r="N1331" s="306"/>
      <c r="O1331" s="306"/>
      <c r="P1331" s="306"/>
      <c r="Q1331" s="306"/>
      <c r="R1331" s="306"/>
      <c r="S1331" s="306"/>
      <c r="T1331" s="306"/>
      <c r="U1331" s="306"/>
      <c r="V1331" s="305"/>
      <c r="W1331" s="306"/>
      <c r="X1331" s="306"/>
      <c r="Y1331" s="306"/>
      <c r="Z1331" s="307"/>
      <c r="AA1331" s="306"/>
      <c r="AB1331" s="306"/>
      <c r="AC1331" s="306"/>
    </row>
    <row r="1332">
      <c r="A1332" s="306"/>
      <c r="B1332" s="306"/>
      <c r="C1332" s="306"/>
      <c r="D1332" s="305"/>
      <c r="E1332" s="306"/>
      <c r="F1332" s="306"/>
      <c r="G1332" s="306"/>
      <c r="H1332" s="306"/>
      <c r="I1332" s="306"/>
      <c r="J1332" s="306"/>
      <c r="K1332" s="307"/>
      <c r="L1332" s="306"/>
      <c r="M1332" s="306"/>
      <c r="N1332" s="306"/>
      <c r="O1332" s="306"/>
      <c r="P1332" s="306"/>
      <c r="Q1332" s="306"/>
      <c r="R1332" s="306"/>
      <c r="S1332" s="306"/>
      <c r="T1332" s="306"/>
      <c r="U1332" s="306"/>
      <c r="V1332" s="305"/>
      <c r="W1332" s="306"/>
      <c r="X1332" s="306"/>
      <c r="Y1332" s="306"/>
      <c r="Z1332" s="307"/>
      <c r="AA1332" s="306"/>
      <c r="AB1332" s="306"/>
      <c r="AC1332" s="306"/>
    </row>
    <row r="1333">
      <c r="A1333" s="306"/>
      <c r="B1333" s="306"/>
      <c r="C1333" s="306"/>
      <c r="D1333" s="305"/>
      <c r="E1333" s="306"/>
      <c r="F1333" s="306"/>
      <c r="G1333" s="306"/>
      <c r="H1333" s="306"/>
      <c r="I1333" s="306"/>
      <c r="J1333" s="306"/>
      <c r="K1333" s="307"/>
      <c r="L1333" s="306"/>
      <c r="M1333" s="306"/>
      <c r="N1333" s="306"/>
      <c r="O1333" s="306"/>
      <c r="P1333" s="306"/>
      <c r="Q1333" s="306"/>
      <c r="R1333" s="306"/>
      <c r="S1333" s="306"/>
      <c r="T1333" s="306"/>
      <c r="U1333" s="306"/>
      <c r="V1333" s="305"/>
      <c r="W1333" s="306"/>
      <c r="X1333" s="306"/>
      <c r="Y1333" s="306"/>
      <c r="Z1333" s="307"/>
      <c r="AA1333" s="306"/>
      <c r="AB1333" s="306"/>
      <c r="AC1333" s="306"/>
    </row>
    <row r="1334">
      <c r="A1334" s="306"/>
      <c r="B1334" s="306"/>
      <c r="C1334" s="306"/>
      <c r="D1334" s="305"/>
      <c r="E1334" s="306"/>
      <c r="F1334" s="306"/>
      <c r="G1334" s="306"/>
      <c r="H1334" s="306"/>
      <c r="I1334" s="306"/>
      <c r="J1334" s="306"/>
      <c r="K1334" s="307"/>
      <c r="L1334" s="306"/>
      <c r="M1334" s="306"/>
      <c r="N1334" s="306"/>
      <c r="O1334" s="306"/>
      <c r="P1334" s="306"/>
      <c r="Q1334" s="306"/>
      <c r="R1334" s="306"/>
      <c r="S1334" s="306"/>
      <c r="T1334" s="306"/>
      <c r="U1334" s="306"/>
      <c r="V1334" s="305"/>
      <c r="W1334" s="306"/>
      <c r="X1334" s="306"/>
      <c r="Y1334" s="306"/>
      <c r="Z1334" s="307"/>
      <c r="AA1334" s="306"/>
      <c r="AB1334" s="306"/>
      <c r="AC1334" s="306"/>
    </row>
    <row r="1335">
      <c r="A1335" s="306"/>
      <c r="B1335" s="306"/>
      <c r="C1335" s="306"/>
      <c r="D1335" s="305"/>
      <c r="E1335" s="306"/>
      <c r="F1335" s="306"/>
      <c r="G1335" s="306"/>
      <c r="H1335" s="306"/>
      <c r="I1335" s="306"/>
      <c r="J1335" s="306"/>
      <c r="K1335" s="307"/>
      <c r="L1335" s="306"/>
      <c r="M1335" s="306"/>
      <c r="N1335" s="306"/>
      <c r="O1335" s="306"/>
      <c r="P1335" s="306"/>
      <c r="Q1335" s="306"/>
      <c r="R1335" s="306"/>
      <c r="S1335" s="306"/>
      <c r="T1335" s="306"/>
      <c r="U1335" s="306"/>
      <c r="V1335" s="305"/>
      <c r="W1335" s="306"/>
      <c r="X1335" s="306"/>
      <c r="Y1335" s="306"/>
      <c r="Z1335" s="307"/>
      <c r="AA1335" s="306"/>
      <c r="AB1335" s="306"/>
      <c r="AC1335" s="306"/>
    </row>
    <row r="1336">
      <c r="A1336" s="306"/>
      <c r="B1336" s="306"/>
      <c r="C1336" s="306"/>
      <c r="D1336" s="305"/>
      <c r="E1336" s="306"/>
      <c r="F1336" s="306"/>
      <c r="G1336" s="306"/>
      <c r="H1336" s="306"/>
      <c r="I1336" s="306"/>
      <c r="J1336" s="306"/>
      <c r="K1336" s="307"/>
      <c r="L1336" s="306"/>
      <c r="M1336" s="306"/>
      <c r="N1336" s="306"/>
      <c r="O1336" s="306"/>
      <c r="P1336" s="306"/>
      <c r="Q1336" s="306"/>
      <c r="R1336" s="306"/>
      <c r="S1336" s="306"/>
      <c r="T1336" s="306"/>
      <c r="U1336" s="306"/>
      <c r="V1336" s="305"/>
      <c r="W1336" s="306"/>
      <c r="X1336" s="306"/>
      <c r="Y1336" s="306"/>
      <c r="Z1336" s="307"/>
      <c r="AA1336" s="306"/>
      <c r="AB1336" s="306"/>
      <c r="AC1336" s="306"/>
    </row>
    <row r="1337">
      <c r="A1337" s="306"/>
      <c r="B1337" s="306"/>
      <c r="C1337" s="306"/>
      <c r="D1337" s="305"/>
      <c r="E1337" s="306"/>
      <c r="F1337" s="306"/>
      <c r="G1337" s="306"/>
      <c r="H1337" s="306"/>
      <c r="I1337" s="306"/>
      <c r="J1337" s="306"/>
      <c r="K1337" s="307"/>
      <c r="L1337" s="306"/>
      <c r="M1337" s="306"/>
      <c r="N1337" s="306"/>
      <c r="O1337" s="306"/>
      <c r="P1337" s="306"/>
      <c r="Q1337" s="306"/>
      <c r="R1337" s="306"/>
      <c r="S1337" s="306"/>
      <c r="T1337" s="306"/>
      <c r="U1337" s="306"/>
      <c r="V1337" s="305"/>
      <c r="W1337" s="306"/>
      <c r="X1337" s="306"/>
      <c r="Y1337" s="306"/>
      <c r="Z1337" s="307"/>
      <c r="AA1337" s="306"/>
      <c r="AB1337" s="306"/>
      <c r="AC1337" s="306"/>
    </row>
    <row r="1338">
      <c r="A1338" s="306"/>
      <c r="B1338" s="306"/>
      <c r="C1338" s="306"/>
      <c r="D1338" s="305"/>
      <c r="E1338" s="306"/>
      <c r="F1338" s="306"/>
      <c r="G1338" s="306"/>
      <c r="H1338" s="306"/>
      <c r="I1338" s="306"/>
      <c r="J1338" s="306"/>
      <c r="K1338" s="307"/>
      <c r="L1338" s="306"/>
      <c r="M1338" s="306"/>
      <c r="N1338" s="306"/>
      <c r="O1338" s="306"/>
      <c r="P1338" s="306"/>
      <c r="Q1338" s="306"/>
      <c r="R1338" s="306"/>
      <c r="S1338" s="306"/>
      <c r="T1338" s="306"/>
      <c r="U1338" s="306"/>
      <c r="V1338" s="305"/>
      <c r="W1338" s="306"/>
      <c r="X1338" s="306"/>
      <c r="Y1338" s="306"/>
      <c r="Z1338" s="307"/>
      <c r="AA1338" s="306"/>
      <c r="AB1338" s="306"/>
      <c r="AC1338" s="306"/>
    </row>
    <row r="1339">
      <c r="A1339" s="306"/>
      <c r="B1339" s="306"/>
      <c r="C1339" s="306"/>
      <c r="D1339" s="305"/>
      <c r="E1339" s="306"/>
      <c r="F1339" s="306"/>
      <c r="G1339" s="306"/>
      <c r="H1339" s="306"/>
      <c r="I1339" s="306"/>
      <c r="J1339" s="306"/>
      <c r="K1339" s="307"/>
      <c r="L1339" s="306"/>
      <c r="M1339" s="306"/>
      <c r="N1339" s="306"/>
      <c r="O1339" s="306"/>
      <c r="P1339" s="306"/>
      <c r="Q1339" s="306"/>
      <c r="R1339" s="306"/>
      <c r="S1339" s="306"/>
      <c r="T1339" s="306"/>
      <c r="U1339" s="306"/>
      <c r="V1339" s="305"/>
      <c r="W1339" s="306"/>
      <c r="X1339" s="306"/>
      <c r="Y1339" s="306"/>
      <c r="Z1339" s="307"/>
      <c r="AA1339" s="306"/>
      <c r="AB1339" s="306"/>
      <c r="AC1339" s="306"/>
    </row>
    <row r="1340">
      <c r="A1340" s="306"/>
      <c r="B1340" s="306"/>
      <c r="C1340" s="306"/>
      <c r="D1340" s="305"/>
      <c r="E1340" s="306"/>
      <c r="F1340" s="306"/>
      <c r="G1340" s="306"/>
      <c r="H1340" s="306"/>
      <c r="I1340" s="306"/>
      <c r="J1340" s="306"/>
      <c r="K1340" s="307"/>
      <c r="L1340" s="306"/>
      <c r="M1340" s="306"/>
      <c r="N1340" s="306"/>
      <c r="O1340" s="306"/>
      <c r="P1340" s="306"/>
      <c r="Q1340" s="306"/>
      <c r="R1340" s="306"/>
      <c r="S1340" s="306"/>
      <c r="T1340" s="306"/>
      <c r="U1340" s="306"/>
      <c r="V1340" s="305"/>
      <c r="W1340" s="306"/>
      <c r="X1340" s="306"/>
      <c r="Y1340" s="306"/>
      <c r="Z1340" s="307"/>
      <c r="AA1340" s="306"/>
      <c r="AB1340" s="306"/>
      <c r="AC1340" s="306"/>
    </row>
    <row r="1341">
      <c r="A1341" s="306"/>
      <c r="B1341" s="306"/>
      <c r="C1341" s="306"/>
      <c r="D1341" s="305"/>
      <c r="E1341" s="306"/>
      <c r="F1341" s="306"/>
      <c r="G1341" s="306"/>
      <c r="H1341" s="306"/>
      <c r="I1341" s="306"/>
      <c r="J1341" s="306"/>
      <c r="K1341" s="307"/>
      <c r="L1341" s="306"/>
      <c r="M1341" s="306"/>
      <c r="N1341" s="306"/>
      <c r="O1341" s="306"/>
      <c r="P1341" s="306"/>
      <c r="Q1341" s="306"/>
      <c r="R1341" s="306"/>
      <c r="S1341" s="306"/>
      <c r="T1341" s="306"/>
      <c r="U1341" s="306"/>
      <c r="V1341" s="305"/>
      <c r="W1341" s="306"/>
      <c r="X1341" s="306"/>
      <c r="Y1341" s="306"/>
      <c r="Z1341" s="307"/>
      <c r="AA1341" s="306"/>
      <c r="AB1341" s="306"/>
      <c r="AC1341" s="306"/>
    </row>
    <row r="1342">
      <c r="A1342" s="306"/>
      <c r="B1342" s="306"/>
      <c r="C1342" s="306"/>
      <c r="D1342" s="305"/>
      <c r="E1342" s="306"/>
      <c r="F1342" s="306"/>
      <c r="G1342" s="306"/>
      <c r="H1342" s="306"/>
      <c r="I1342" s="306"/>
      <c r="J1342" s="306"/>
      <c r="K1342" s="307"/>
      <c r="L1342" s="306"/>
      <c r="M1342" s="306"/>
      <c r="N1342" s="306"/>
      <c r="O1342" s="306"/>
      <c r="P1342" s="306"/>
      <c r="Q1342" s="306"/>
      <c r="R1342" s="306"/>
      <c r="S1342" s="306"/>
      <c r="T1342" s="306"/>
      <c r="U1342" s="306"/>
      <c r="V1342" s="305"/>
      <c r="W1342" s="306"/>
      <c r="X1342" s="306"/>
      <c r="Y1342" s="306"/>
      <c r="Z1342" s="307"/>
      <c r="AA1342" s="306"/>
      <c r="AB1342" s="306"/>
      <c r="AC1342" s="306"/>
    </row>
    <row r="1343">
      <c r="A1343" s="306"/>
      <c r="B1343" s="306"/>
      <c r="C1343" s="306"/>
      <c r="D1343" s="305"/>
      <c r="E1343" s="306"/>
      <c r="F1343" s="306"/>
      <c r="G1343" s="306"/>
      <c r="H1343" s="306"/>
      <c r="I1343" s="306"/>
      <c r="J1343" s="306"/>
      <c r="K1343" s="307"/>
      <c r="L1343" s="306"/>
      <c r="M1343" s="306"/>
      <c r="N1343" s="306"/>
      <c r="O1343" s="306"/>
      <c r="P1343" s="306"/>
      <c r="Q1343" s="306"/>
      <c r="R1343" s="306"/>
      <c r="S1343" s="306"/>
      <c r="T1343" s="306"/>
      <c r="U1343" s="306"/>
      <c r="V1343" s="305"/>
      <c r="W1343" s="306"/>
      <c r="X1343" s="306"/>
      <c r="Y1343" s="306"/>
      <c r="Z1343" s="307"/>
      <c r="AA1343" s="306"/>
      <c r="AB1343" s="306"/>
      <c r="AC1343" s="306"/>
    </row>
    <row r="1344">
      <c r="A1344" s="306"/>
      <c r="B1344" s="306"/>
      <c r="C1344" s="306"/>
      <c r="D1344" s="305"/>
      <c r="E1344" s="306"/>
      <c r="F1344" s="306"/>
      <c r="G1344" s="306"/>
      <c r="H1344" s="306"/>
      <c r="I1344" s="306"/>
      <c r="J1344" s="306"/>
      <c r="K1344" s="307"/>
      <c r="L1344" s="306"/>
      <c r="M1344" s="306"/>
      <c r="N1344" s="306"/>
      <c r="O1344" s="306"/>
      <c r="P1344" s="306"/>
      <c r="Q1344" s="306"/>
      <c r="R1344" s="306"/>
      <c r="S1344" s="306"/>
      <c r="T1344" s="306"/>
      <c r="U1344" s="306"/>
      <c r="V1344" s="305"/>
      <c r="W1344" s="306"/>
      <c r="X1344" s="306"/>
      <c r="Y1344" s="306"/>
      <c r="Z1344" s="307"/>
      <c r="AA1344" s="306"/>
      <c r="AB1344" s="306"/>
      <c r="AC1344" s="306"/>
    </row>
    <row r="1345">
      <c r="A1345" s="306"/>
      <c r="B1345" s="306"/>
      <c r="C1345" s="306"/>
      <c r="D1345" s="305"/>
      <c r="E1345" s="306"/>
      <c r="F1345" s="306"/>
      <c r="G1345" s="306"/>
      <c r="H1345" s="306"/>
      <c r="I1345" s="306"/>
      <c r="J1345" s="306"/>
      <c r="K1345" s="307"/>
      <c r="L1345" s="306"/>
      <c r="M1345" s="306"/>
      <c r="N1345" s="306"/>
      <c r="O1345" s="306"/>
      <c r="P1345" s="306"/>
      <c r="Q1345" s="306"/>
      <c r="R1345" s="306"/>
      <c r="S1345" s="306"/>
      <c r="T1345" s="306"/>
      <c r="U1345" s="306"/>
      <c r="V1345" s="305"/>
      <c r="W1345" s="306"/>
      <c r="X1345" s="306"/>
      <c r="Y1345" s="306"/>
      <c r="Z1345" s="307"/>
      <c r="AA1345" s="306"/>
      <c r="AB1345" s="306"/>
      <c r="AC1345" s="306"/>
    </row>
    <row r="1346">
      <c r="A1346" s="306"/>
      <c r="B1346" s="306"/>
      <c r="C1346" s="306"/>
      <c r="D1346" s="305"/>
      <c r="E1346" s="306"/>
      <c r="F1346" s="306"/>
      <c r="G1346" s="306"/>
      <c r="H1346" s="306"/>
      <c r="I1346" s="306"/>
      <c r="J1346" s="306"/>
      <c r="K1346" s="307"/>
      <c r="L1346" s="306"/>
      <c r="M1346" s="306"/>
      <c r="N1346" s="306"/>
      <c r="O1346" s="306"/>
      <c r="P1346" s="306"/>
      <c r="Q1346" s="306"/>
      <c r="R1346" s="306"/>
      <c r="S1346" s="306"/>
      <c r="T1346" s="306"/>
      <c r="U1346" s="306"/>
      <c r="V1346" s="305"/>
      <c r="W1346" s="306"/>
      <c r="X1346" s="306"/>
      <c r="Y1346" s="306"/>
      <c r="Z1346" s="307"/>
      <c r="AA1346" s="306"/>
      <c r="AB1346" s="306"/>
      <c r="AC1346" s="306"/>
    </row>
    <row r="1347">
      <c r="A1347" s="306"/>
      <c r="B1347" s="306"/>
      <c r="C1347" s="306"/>
      <c r="D1347" s="305"/>
      <c r="E1347" s="306"/>
      <c r="F1347" s="306"/>
      <c r="G1347" s="306"/>
      <c r="H1347" s="306"/>
      <c r="I1347" s="306"/>
      <c r="J1347" s="306"/>
      <c r="K1347" s="307"/>
      <c r="L1347" s="306"/>
      <c r="M1347" s="306"/>
      <c r="N1347" s="306"/>
      <c r="O1347" s="306"/>
      <c r="P1347" s="306"/>
      <c r="Q1347" s="306"/>
      <c r="R1347" s="306"/>
      <c r="S1347" s="306"/>
      <c r="T1347" s="306"/>
      <c r="U1347" s="306"/>
      <c r="V1347" s="305"/>
      <c r="W1347" s="306"/>
      <c r="X1347" s="306"/>
      <c r="Y1347" s="306"/>
      <c r="Z1347" s="307"/>
      <c r="AA1347" s="306"/>
      <c r="AB1347" s="306"/>
      <c r="AC1347" s="306"/>
    </row>
    <row r="1348">
      <c r="A1348" s="306"/>
      <c r="B1348" s="306"/>
      <c r="C1348" s="306"/>
      <c r="D1348" s="305"/>
      <c r="E1348" s="306"/>
      <c r="F1348" s="306"/>
      <c r="G1348" s="306"/>
      <c r="H1348" s="306"/>
      <c r="I1348" s="306"/>
      <c r="J1348" s="306"/>
      <c r="K1348" s="307"/>
      <c r="L1348" s="306"/>
      <c r="M1348" s="306"/>
      <c r="N1348" s="306"/>
      <c r="O1348" s="306"/>
      <c r="P1348" s="306"/>
      <c r="Q1348" s="306"/>
      <c r="R1348" s="306"/>
      <c r="S1348" s="306"/>
      <c r="T1348" s="306"/>
      <c r="U1348" s="306"/>
      <c r="V1348" s="305"/>
      <c r="W1348" s="306"/>
      <c r="X1348" s="306"/>
      <c r="Y1348" s="306"/>
      <c r="Z1348" s="307"/>
      <c r="AA1348" s="306"/>
      <c r="AB1348" s="306"/>
      <c r="AC1348" s="306"/>
    </row>
    <row r="1349">
      <c r="A1349" s="306"/>
      <c r="B1349" s="306"/>
      <c r="C1349" s="306"/>
      <c r="D1349" s="305"/>
      <c r="E1349" s="306"/>
      <c r="F1349" s="306"/>
      <c r="G1349" s="306"/>
      <c r="H1349" s="306"/>
      <c r="I1349" s="306"/>
      <c r="J1349" s="306"/>
      <c r="K1349" s="307"/>
      <c r="L1349" s="306"/>
      <c r="M1349" s="306"/>
      <c r="N1349" s="306"/>
      <c r="O1349" s="306"/>
      <c r="P1349" s="306"/>
      <c r="Q1349" s="306"/>
      <c r="R1349" s="306"/>
      <c r="S1349" s="306"/>
      <c r="T1349" s="306"/>
      <c r="U1349" s="306"/>
      <c r="V1349" s="305"/>
      <c r="W1349" s="306"/>
      <c r="X1349" s="306"/>
      <c r="Y1349" s="306"/>
      <c r="Z1349" s="307"/>
      <c r="AA1349" s="306"/>
      <c r="AB1349" s="306"/>
      <c r="AC1349" s="306"/>
    </row>
    <row r="1350">
      <c r="A1350" s="306"/>
      <c r="B1350" s="306"/>
      <c r="C1350" s="306"/>
      <c r="D1350" s="305"/>
      <c r="E1350" s="306"/>
      <c r="F1350" s="306"/>
      <c r="G1350" s="306"/>
      <c r="H1350" s="306"/>
      <c r="I1350" s="306"/>
      <c r="J1350" s="306"/>
      <c r="K1350" s="307"/>
      <c r="L1350" s="306"/>
      <c r="M1350" s="306"/>
      <c r="N1350" s="306"/>
      <c r="O1350" s="306"/>
      <c r="P1350" s="306"/>
      <c r="Q1350" s="306"/>
      <c r="R1350" s="306"/>
      <c r="S1350" s="306"/>
      <c r="T1350" s="306"/>
      <c r="U1350" s="306"/>
      <c r="V1350" s="305"/>
      <c r="W1350" s="306"/>
      <c r="X1350" s="306"/>
      <c r="Y1350" s="306"/>
      <c r="Z1350" s="307"/>
      <c r="AA1350" s="306"/>
      <c r="AB1350" s="306"/>
      <c r="AC1350" s="306"/>
    </row>
    <row r="1351">
      <c r="A1351" s="306"/>
      <c r="B1351" s="306"/>
      <c r="C1351" s="306"/>
      <c r="D1351" s="305"/>
      <c r="E1351" s="306"/>
      <c r="F1351" s="306"/>
      <c r="G1351" s="306"/>
      <c r="H1351" s="306"/>
      <c r="I1351" s="306"/>
      <c r="J1351" s="306"/>
      <c r="K1351" s="307"/>
      <c r="L1351" s="306"/>
      <c r="M1351" s="306"/>
      <c r="N1351" s="306"/>
      <c r="O1351" s="306"/>
      <c r="P1351" s="306"/>
      <c r="Q1351" s="306"/>
      <c r="R1351" s="306"/>
      <c r="S1351" s="306"/>
      <c r="T1351" s="306"/>
      <c r="U1351" s="306"/>
      <c r="V1351" s="305"/>
      <c r="W1351" s="306"/>
      <c r="X1351" s="306"/>
      <c r="Y1351" s="306"/>
      <c r="Z1351" s="307"/>
      <c r="AA1351" s="306"/>
      <c r="AB1351" s="306"/>
      <c r="AC1351" s="306"/>
    </row>
    <row r="1352">
      <c r="A1352" s="306"/>
      <c r="B1352" s="306"/>
      <c r="C1352" s="306"/>
      <c r="D1352" s="305"/>
      <c r="E1352" s="306"/>
      <c r="F1352" s="306"/>
      <c r="G1352" s="306"/>
      <c r="H1352" s="306"/>
      <c r="I1352" s="306"/>
      <c r="J1352" s="306"/>
      <c r="K1352" s="307"/>
      <c r="L1352" s="306"/>
      <c r="M1352" s="306"/>
      <c r="N1352" s="306"/>
      <c r="O1352" s="306"/>
      <c r="P1352" s="306"/>
      <c r="Q1352" s="306"/>
      <c r="R1352" s="306"/>
      <c r="S1352" s="306"/>
      <c r="T1352" s="306"/>
      <c r="U1352" s="306"/>
      <c r="V1352" s="305"/>
      <c r="W1352" s="306"/>
      <c r="X1352" s="306"/>
      <c r="Y1352" s="306"/>
      <c r="Z1352" s="307"/>
      <c r="AA1352" s="306"/>
      <c r="AB1352" s="306"/>
      <c r="AC1352" s="306"/>
    </row>
    <row r="1353">
      <c r="A1353" s="306"/>
      <c r="B1353" s="306"/>
      <c r="C1353" s="306"/>
      <c r="D1353" s="305"/>
      <c r="E1353" s="306"/>
      <c r="F1353" s="306"/>
      <c r="G1353" s="306"/>
      <c r="H1353" s="306"/>
      <c r="I1353" s="306"/>
      <c r="J1353" s="306"/>
      <c r="K1353" s="307"/>
      <c r="L1353" s="306"/>
      <c r="M1353" s="306"/>
      <c r="N1353" s="306"/>
      <c r="O1353" s="306"/>
      <c r="P1353" s="306"/>
      <c r="Q1353" s="306"/>
      <c r="R1353" s="306"/>
      <c r="S1353" s="306"/>
      <c r="T1353" s="306"/>
      <c r="U1353" s="306"/>
      <c r="V1353" s="305"/>
      <c r="W1353" s="306"/>
      <c r="X1353" s="306"/>
      <c r="Y1353" s="306"/>
      <c r="Z1353" s="307"/>
      <c r="AA1353" s="306"/>
      <c r="AB1353" s="306"/>
      <c r="AC1353" s="306"/>
    </row>
    <row r="1354">
      <c r="A1354" s="306"/>
      <c r="B1354" s="306"/>
      <c r="C1354" s="306"/>
      <c r="D1354" s="305"/>
      <c r="E1354" s="306"/>
      <c r="F1354" s="306"/>
      <c r="G1354" s="306"/>
      <c r="H1354" s="306"/>
      <c r="I1354" s="306"/>
      <c r="J1354" s="306"/>
      <c r="K1354" s="307"/>
      <c r="L1354" s="306"/>
      <c r="M1354" s="306"/>
      <c r="N1354" s="306"/>
      <c r="O1354" s="306"/>
      <c r="P1354" s="306"/>
      <c r="Q1354" s="306"/>
      <c r="R1354" s="306"/>
      <c r="S1354" s="306"/>
      <c r="T1354" s="306"/>
      <c r="U1354" s="306"/>
      <c r="V1354" s="305"/>
      <c r="W1354" s="306"/>
      <c r="X1354" s="306"/>
      <c r="Y1354" s="306"/>
      <c r="Z1354" s="307"/>
      <c r="AA1354" s="306"/>
      <c r="AB1354" s="306"/>
      <c r="AC1354" s="306"/>
    </row>
    <row r="1355">
      <c r="A1355" s="306"/>
      <c r="B1355" s="306"/>
      <c r="C1355" s="306"/>
      <c r="D1355" s="305"/>
      <c r="E1355" s="306"/>
      <c r="F1355" s="306"/>
      <c r="G1355" s="306"/>
      <c r="H1355" s="306"/>
      <c r="I1355" s="306"/>
      <c r="J1355" s="306"/>
      <c r="K1355" s="307"/>
      <c r="L1355" s="306"/>
      <c r="M1355" s="306"/>
      <c r="N1355" s="306"/>
      <c r="O1355" s="306"/>
      <c r="P1355" s="306"/>
      <c r="Q1355" s="306"/>
      <c r="R1355" s="306"/>
      <c r="S1355" s="306"/>
      <c r="T1355" s="306"/>
      <c r="U1355" s="306"/>
      <c r="V1355" s="305"/>
      <c r="W1355" s="306"/>
      <c r="X1355" s="306"/>
      <c r="Y1355" s="306"/>
      <c r="Z1355" s="307"/>
      <c r="AA1355" s="306"/>
      <c r="AB1355" s="306"/>
      <c r="AC1355" s="306"/>
    </row>
    <row r="1356">
      <c r="A1356" s="306"/>
      <c r="B1356" s="306"/>
      <c r="C1356" s="306"/>
      <c r="D1356" s="305"/>
      <c r="E1356" s="306"/>
      <c r="F1356" s="306"/>
      <c r="G1356" s="306"/>
      <c r="H1356" s="306"/>
      <c r="I1356" s="306"/>
      <c r="J1356" s="306"/>
      <c r="K1356" s="307"/>
      <c r="L1356" s="306"/>
      <c r="M1356" s="306"/>
      <c r="N1356" s="306"/>
      <c r="O1356" s="306"/>
      <c r="P1356" s="306"/>
      <c r="Q1356" s="306"/>
      <c r="R1356" s="306"/>
      <c r="S1356" s="306"/>
      <c r="T1356" s="306"/>
      <c r="U1356" s="306"/>
      <c r="V1356" s="305"/>
      <c r="W1356" s="306"/>
      <c r="X1356" s="306"/>
      <c r="Y1356" s="306"/>
      <c r="Z1356" s="307"/>
      <c r="AA1356" s="306"/>
      <c r="AB1356" s="306"/>
      <c r="AC1356" s="306"/>
    </row>
    <row r="1357">
      <c r="A1357" s="306"/>
      <c r="B1357" s="306"/>
      <c r="C1357" s="306"/>
      <c r="D1357" s="305"/>
      <c r="E1357" s="306"/>
      <c r="F1357" s="306"/>
      <c r="G1357" s="306"/>
      <c r="H1357" s="306"/>
      <c r="I1357" s="306"/>
      <c r="J1357" s="306"/>
      <c r="K1357" s="307"/>
      <c r="L1357" s="306"/>
      <c r="M1357" s="306"/>
      <c r="N1357" s="306"/>
      <c r="O1357" s="306"/>
      <c r="P1357" s="306"/>
      <c r="Q1357" s="306"/>
      <c r="R1357" s="306"/>
      <c r="S1357" s="306"/>
      <c r="T1357" s="306"/>
      <c r="U1357" s="306"/>
      <c r="V1357" s="305"/>
      <c r="W1357" s="306"/>
      <c r="X1357" s="306"/>
      <c r="Y1357" s="306"/>
      <c r="Z1357" s="307"/>
      <c r="AA1357" s="306"/>
      <c r="AB1357" s="306"/>
      <c r="AC1357" s="306"/>
    </row>
    <row r="1358">
      <c r="A1358" s="306"/>
      <c r="B1358" s="306"/>
      <c r="C1358" s="306"/>
      <c r="D1358" s="305"/>
      <c r="E1358" s="306"/>
      <c r="F1358" s="306"/>
      <c r="G1358" s="306"/>
      <c r="H1358" s="306"/>
      <c r="I1358" s="306"/>
      <c r="J1358" s="306"/>
      <c r="K1358" s="307"/>
      <c r="L1358" s="306"/>
      <c r="M1358" s="306"/>
      <c r="N1358" s="306"/>
      <c r="O1358" s="306"/>
      <c r="P1358" s="306"/>
      <c r="Q1358" s="306"/>
      <c r="R1358" s="306"/>
      <c r="S1358" s="306"/>
      <c r="T1358" s="306"/>
      <c r="U1358" s="306"/>
      <c r="V1358" s="305"/>
      <c r="W1358" s="306"/>
      <c r="X1358" s="306"/>
      <c r="Y1358" s="306"/>
      <c r="Z1358" s="307"/>
      <c r="AA1358" s="306"/>
      <c r="AB1358" s="306"/>
      <c r="AC1358" s="306"/>
    </row>
    <row r="1359">
      <c r="A1359" s="306"/>
      <c r="B1359" s="306"/>
      <c r="C1359" s="306"/>
      <c r="D1359" s="305"/>
      <c r="E1359" s="306"/>
      <c r="F1359" s="306"/>
      <c r="G1359" s="306"/>
      <c r="H1359" s="306"/>
      <c r="I1359" s="306"/>
      <c r="J1359" s="306"/>
      <c r="K1359" s="307"/>
      <c r="L1359" s="306"/>
      <c r="M1359" s="306"/>
      <c r="N1359" s="306"/>
      <c r="O1359" s="306"/>
      <c r="P1359" s="306"/>
      <c r="Q1359" s="306"/>
      <c r="R1359" s="306"/>
      <c r="S1359" s="306"/>
      <c r="T1359" s="306"/>
      <c r="U1359" s="306"/>
      <c r="V1359" s="305"/>
      <c r="W1359" s="306"/>
      <c r="X1359" s="306"/>
      <c r="Y1359" s="306"/>
      <c r="Z1359" s="307"/>
      <c r="AA1359" s="306"/>
      <c r="AB1359" s="306"/>
      <c r="AC1359" s="306"/>
    </row>
    <row r="1360">
      <c r="A1360" s="306"/>
      <c r="B1360" s="306"/>
      <c r="C1360" s="306"/>
      <c r="D1360" s="305"/>
      <c r="E1360" s="306"/>
      <c r="F1360" s="306"/>
      <c r="G1360" s="306"/>
      <c r="H1360" s="306"/>
      <c r="I1360" s="306"/>
      <c r="J1360" s="306"/>
      <c r="K1360" s="307"/>
      <c r="L1360" s="306"/>
      <c r="M1360" s="306"/>
      <c r="N1360" s="306"/>
      <c r="O1360" s="306"/>
      <c r="P1360" s="306"/>
      <c r="Q1360" s="306"/>
      <c r="R1360" s="306"/>
      <c r="S1360" s="306"/>
      <c r="T1360" s="306"/>
      <c r="U1360" s="306"/>
      <c r="V1360" s="305"/>
      <c r="W1360" s="306"/>
      <c r="X1360" s="306"/>
      <c r="Y1360" s="306"/>
      <c r="Z1360" s="307"/>
      <c r="AA1360" s="306"/>
      <c r="AB1360" s="306"/>
      <c r="AC1360" s="306"/>
    </row>
    <row r="1361">
      <c r="A1361" s="306"/>
      <c r="B1361" s="306"/>
      <c r="C1361" s="306"/>
      <c r="D1361" s="305"/>
      <c r="E1361" s="306"/>
      <c r="F1361" s="306"/>
      <c r="G1361" s="306"/>
      <c r="H1361" s="306"/>
      <c r="I1361" s="306"/>
      <c r="J1361" s="306"/>
      <c r="K1361" s="307"/>
      <c r="L1361" s="306"/>
      <c r="M1361" s="306"/>
      <c r="N1361" s="306"/>
      <c r="O1361" s="306"/>
      <c r="P1361" s="306"/>
      <c r="Q1361" s="306"/>
      <c r="R1361" s="306"/>
      <c r="S1361" s="306"/>
      <c r="T1361" s="306"/>
      <c r="U1361" s="306"/>
      <c r="V1361" s="305"/>
      <c r="W1361" s="306"/>
      <c r="X1361" s="306"/>
      <c r="Y1361" s="306"/>
      <c r="Z1361" s="307"/>
      <c r="AA1361" s="306"/>
      <c r="AB1361" s="306"/>
      <c r="AC1361" s="306"/>
    </row>
    <row r="1362">
      <c r="A1362" s="306"/>
      <c r="B1362" s="306"/>
      <c r="C1362" s="306"/>
      <c r="D1362" s="305"/>
      <c r="E1362" s="306"/>
      <c r="F1362" s="306"/>
      <c r="G1362" s="306"/>
      <c r="H1362" s="306"/>
      <c r="I1362" s="306"/>
      <c r="J1362" s="306"/>
      <c r="K1362" s="307"/>
      <c r="L1362" s="306"/>
      <c r="M1362" s="306"/>
      <c r="N1362" s="306"/>
      <c r="O1362" s="306"/>
      <c r="P1362" s="306"/>
      <c r="Q1362" s="306"/>
      <c r="R1362" s="306"/>
      <c r="S1362" s="306"/>
      <c r="T1362" s="306"/>
      <c r="U1362" s="306"/>
      <c r="V1362" s="305"/>
      <c r="W1362" s="306"/>
      <c r="X1362" s="306"/>
      <c r="Y1362" s="306"/>
      <c r="Z1362" s="307"/>
      <c r="AA1362" s="306"/>
      <c r="AB1362" s="306"/>
      <c r="AC1362" s="306"/>
    </row>
    <row r="1363">
      <c r="A1363" s="306"/>
      <c r="B1363" s="306"/>
      <c r="C1363" s="306"/>
      <c r="D1363" s="305"/>
      <c r="E1363" s="306"/>
      <c r="F1363" s="306"/>
      <c r="G1363" s="306"/>
      <c r="H1363" s="306"/>
      <c r="I1363" s="306"/>
      <c r="J1363" s="306"/>
      <c r="K1363" s="307"/>
      <c r="L1363" s="306"/>
      <c r="M1363" s="306"/>
      <c r="N1363" s="306"/>
      <c r="O1363" s="306"/>
      <c r="P1363" s="306"/>
      <c r="Q1363" s="306"/>
      <c r="R1363" s="306"/>
      <c r="S1363" s="306"/>
      <c r="T1363" s="306"/>
      <c r="U1363" s="306"/>
      <c r="V1363" s="305"/>
      <c r="W1363" s="306"/>
      <c r="X1363" s="306"/>
      <c r="Y1363" s="306"/>
      <c r="Z1363" s="307"/>
      <c r="AA1363" s="306"/>
      <c r="AB1363" s="306"/>
      <c r="AC1363" s="306"/>
    </row>
    <row r="1364">
      <c r="A1364" s="306"/>
      <c r="B1364" s="306"/>
      <c r="C1364" s="306"/>
      <c r="D1364" s="305"/>
      <c r="E1364" s="306"/>
      <c r="F1364" s="306"/>
      <c r="G1364" s="306"/>
      <c r="H1364" s="306"/>
      <c r="I1364" s="306"/>
      <c r="J1364" s="306"/>
      <c r="K1364" s="307"/>
      <c r="L1364" s="306"/>
      <c r="M1364" s="306"/>
      <c r="N1364" s="306"/>
      <c r="O1364" s="306"/>
      <c r="P1364" s="306"/>
      <c r="Q1364" s="306"/>
      <c r="R1364" s="306"/>
      <c r="S1364" s="306"/>
      <c r="T1364" s="306"/>
      <c r="U1364" s="306"/>
      <c r="V1364" s="305"/>
      <c r="W1364" s="306"/>
      <c r="X1364" s="306"/>
      <c r="Y1364" s="306"/>
      <c r="Z1364" s="307"/>
      <c r="AA1364" s="306"/>
      <c r="AB1364" s="306"/>
      <c r="AC1364" s="306"/>
    </row>
    <row r="1365">
      <c r="A1365" s="306"/>
      <c r="B1365" s="306"/>
      <c r="C1365" s="306"/>
      <c r="D1365" s="305"/>
      <c r="E1365" s="306"/>
      <c r="F1365" s="306"/>
      <c r="G1365" s="306"/>
      <c r="H1365" s="306"/>
      <c r="I1365" s="306"/>
      <c r="J1365" s="306"/>
      <c r="K1365" s="307"/>
      <c r="L1365" s="306"/>
      <c r="M1365" s="306"/>
      <c r="N1365" s="306"/>
      <c r="O1365" s="306"/>
      <c r="P1365" s="306"/>
      <c r="Q1365" s="306"/>
      <c r="R1365" s="306"/>
      <c r="S1365" s="306"/>
      <c r="T1365" s="306"/>
      <c r="U1365" s="306"/>
      <c r="V1365" s="305"/>
      <c r="W1365" s="306"/>
      <c r="X1365" s="306"/>
      <c r="Y1365" s="306"/>
      <c r="Z1365" s="307"/>
      <c r="AA1365" s="306"/>
      <c r="AB1365" s="306"/>
      <c r="AC1365" s="306"/>
    </row>
    <row r="1366">
      <c r="A1366" s="306"/>
      <c r="B1366" s="306"/>
      <c r="C1366" s="306"/>
      <c r="D1366" s="305"/>
      <c r="E1366" s="306"/>
      <c r="F1366" s="306"/>
      <c r="G1366" s="306"/>
      <c r="H1366" s="306"/>
      <c r="I1366" s="306"/>
      <c r="J1366" s="306"/>
      <c r="K1366" s="307"/>
      <c r="L1366" s="306"/>
      <c r="M1366" s="306"/>
      <c r="N1366" s="306"/>
      <c r="O1366" s="306"/>
      <c r="P1366" s="306"/>
      <c r="Q1366" s="306"/>
      <c r="R1366" s="306"/>
      <c r="S1366" s="306"/>
      <c r="T1366" s="306"/>
      <c r="U1366" s="306"/>
      <c r="V1366" s="305"/>
      <c r="W1366" s="306"/>
      <c r="X1366" s="306"/>
      <c r="Y1366" s="306"/>
      <c r="Z1366" s="307"/>
      <c r="AA1366" s="306"/>
      <c r="AB1366" s="306"/>
      <c r="AC1366" s="306"/>
    </row>
    <row r="1367">
      <c r="A1367" s="306"/>
      <c r="B1367" s="306"/>
      <c r="C1367" s="306"/>
      <c r="D1367" s="305"/>
      <c r="E1367" s="306"/>
      <c r="F1367" s="306"/>
      <c r="G1367" s="306"/>
      <c r="H1367" s="306"/>
      <c r="I1367" s="306"/>
      <c r="J1367" s="306"/>
      <c r="K1367" s="307"/>
      <c r="L1367" s="306"/>
      <c r="M1367" s="306"/>
      <c r="N1367" s="306"/>
      <c r="O1367" s="306"/>
      <c r="P1367" s="306"/>
      <c r="Q1367" s="306"/>
      <c r="R1367" s="306"/>
      <c r="S1367" s="306"/>
      <c r="T1367" s="306"/>
      <c r="U1367" s="306"/>
      <c r="V1367" s="305"/>
      <c r="W1367" s="306"/>
      <c r="X1367" s="306"/>
      <c r="Y1367" s="306"/>
      <c r="Z1367" s="307"/>
      <c r="AA1367" s="306"/>
      <c r="AB1367" s="306"/>
      <c r="AC1367" s="306"/>
    </row>
    <row r="1368">
      <c r="A1368" s="306"/>
      <c r="B1368" s="306"/>
      <c r="C1368" s="306"/>
      <c r="D1368" s="305"/>
      <c r="E1368" s="306"/>
      <c r="F1368" s="306"/>
      <c r="G1368" s="306"/>
      <c r="H1368" s="306"/>
      <c r="I1368" s="306"/>
      <c r="J1368" s="306"/>
      <c r="K1368" s="307"/>
      <c r="L1368" s="306"/>
      <c r="M1368" s="306"/>
      <c r="N1368" s="306"/>
      <c r="O1368" s="306"/>
      <c r="P1368" s="306"/>
      <c r="Q1368" s="306"/>
      <c r="R1368" s="306"/>
      <c r="S1368" s="306"/>
      <c r="T1368" s="306"/>
      <c r="U1368" s="306"/>
      <c r="V1368" s="305"/>
      <c r="W1368" s="306"/>
      <c r="X1368" s="306"/>
      <c r="Y1368" s="306"/>
      <c r="Z1368" s="307"/>
      <c r="AA1368" s="306"/>
      <c r="AB1368" s="306"/>
      <c r="AC1368" s="306"/>
    </row>
    <row r="1369">
      <c r="A1369" s="306"/>
      <c r="B1369" s="306"/>
      <c r="C1369" s="306"/>
      <c r="D1369" s="305"/>
      <c r="E1369" s="306"/>
      <c r="F1369" s="306"/>
      <c r="G1369" s="306"/>
      <c r="H1369" s="306"/>
      <c r="I1369" s="306"/>
      <c r="J1369" s="306"/>
      <c r="K1369" s="307"/>
      <c r="L1369" s="306"/>
      <c r="M1369" s="306"/>
      <c r="N1369" s="306"/>
      <c r="O1369" s="306"/>
      <c r="P1369" s="306"/>
      <c r="Q1369" s="306"/>
      <c r="R1369" s="306"/>
      <c r="S1369" s="306"/>
      <c r="T1369" s="306"/>
      <c r="U1369" s="306"/>
      <c r="V1369" s="305"/>
      <c r="W1369" s="306"/>
      <c r="X1369" s="306"/>
      <c r="Y1369" s="306"/>
      <c r="Z1369" s="307"/>
      <c r="AA1369" s="306"/>
      <c r="AB1369" s="306"/>
      <c r="AC1369" s="306"/>
    </row>
    <row r="1370">
      <c r="A1370" s="306"/>
      <c r="B1370" s="306"/>
      <c r="C1370" s="306"/>
      <c r="D1370" s="305"/>
      <c r="E1370" s="306"/>
      <c r="F1370" s="306"/>
      <c r="G1370" s="306"/>
      <c r="H1370" s="306"/>
      <c r="I1370" s="306"/>
      <c r="J1370" s="306"/>
      <c r="K1370" s="307"/>
      <c r="L1370" s="306"/>
      <c r="M1370" s="306"/>
      <c r="N1370" s="306"/>
      <c r="O1370" s="306"/>
      <c r="P1370" s="306"/>
      <c r="Q1370" s="306"/>
      <c r="R1370" s="306"/>
      <c r="S1370" s="306"/>
      <c r="T1370" s="306"/>
      <c r="U1370" s="306"/>
      <c r="V1370" s="305"/>
      <c r="W1370" s="306"/>
      <c r="X1370" s="306"/>
      <c r="Y1370" s="306"/>
      <c r="Z1370" s="307"/>
      <c r="AA1370" s="306"/>
      <c r="AB1370" s="306"/>
      <c r="AC1370" s="306"/>
    </row>
    <row r="1371">
      <c r="A1371" s="306"/>
      <c r="B1371" s="306"/>
      <c r="C1371" s="306"/>
      <c r="D1371" s="305"/>
      <c r="E1371" s="306"/>
      <c r="F1371" s="306"/>
      <c r="G1371" s="306"/>
      <c r="H1371" s="306"/>
      <c r="I1371" s="306"/>
      <c r="J1371" s="306"/>
      <c r="K1371" s="307"/>
      <c r="L1371" s="306"/>
      <c r="M1371" s="306"/>
      <c r="N1371" s="306"/>
      <c r="O1371" s="306"/>
      <c r="P1371" s="306"/>
      <c r="Q1371" s="306"/>
      <c r="R1371" s="306"/>
      <c r="S1371" s="306"/>
      <c r="T1371" s="306"/>
      <c r="U1371" s="306"/>
      <c r="V1371" s="305"/>
      <c r="W1371" s="306"/>
      <c r="X1371" s="306"/>
      <c r="Y1371" s="306"/>
      <c r="Z1371" s="307"/>
      <c r="AA1371" s="306"/>
      <c r="AB1371" s="306"/>
      <c r="AC1371" s="306"/>
    </row>
    <row r="1372">
      <c r="A1372" s="306"/>
      <c r="B1372" s="306"/>
      <c r="C1372" s="306"/>
      <c r="D1372" s="305"/>
      <c r="E1372" s="306"/>
      <c r="F1372" s="306"/>
      <c r="G1372" s="306"/>
      <c r="H1372" s="306"/>
      <c r="I1372" s="306"/>
      <c r="J1372" s="306"/>
      <c r="K1372" s="307"/>
      <c r="L1372" s="306"/>
      <c r="M1372" s="306"/>
      <c r="N1372" s="306"/>
      <c r="O1372" s="306"/>
      <c r="P1372" s="306"/>
      <c r="Q1372" s="306"/>
      <c r="R1372" s="306"/>
      <c r="S1372" s="306"/>
      <c r="T1372" s="306"/>
      <c r="U1372" s="306"/>
      <c r="V1372" s="305"/>
      <c r="W1372" s="306"/>
      <c r="X1372" s="306"/>
      <c r="Y1372" s="306"/>
      <c r="Z1372" s="307"/>
      <c r="AA1372" s="306"/>
      <c r="AB1372" s="306"/>
      <c r="AC1372" s="306"/>
    </row>
    <row r="1373">
      <c r="A1373" s="306"/>
      <c r="B1373" s="306"/>
      <c r="C1373" s="306"/>
      <c r="D1373" s="305"/>
      <c r="E1373" s="306"/>
      <c r="F1373" s="306"/>
      <c r="G1373" s="306"/>
      <c r="H1373" s="306"/>
      <c r="I1373" s="306"/>
      <c r="J1373" s="306"/>
      <c r="K1373" s="307"/>
      <c r="L1373" s="306"/>
      <c r="M1373" s="306"/>
      <c r="N1373" s="306"/>
      <c r="O1373" s="306"/>
      <c r="P1373" s="306"/>
      <c r="Q1373" s="306"/>
      <c r="R1373" s="306"/>
      <c r="S1373" s="306"/>
      <c r="T1373" s="306"/>
      <c r="U1373" s="306"/>
      <c r="V1373" s="305"/>
      <c r="W1373" s="306"/>
      <c r="X1373" s="306"/>
      <c r="Y1373" s="306"/>
      <c r="Z1373" s="307"/>
      <c r="AA1373" s="306"/>
      <c r="AB1373" s="306"/>
      <c r="AC1373" s="306"/>
    </row>
    <row r="1374">
      <c r="A1374" s="306"/>
      <c r="B1374" s="306"/>
      <c r="C1374" s="306"/>
      <c r="D1374" s="305"/>
      <c r="E1374" s="306"/>
      <c r="F1374" s="306"/>
      <c r="G1374" s="306"/>
      <c r="H1374" s="306"/>
      <c r="I1374" s="306"/>
      <c r="J1374" s="306"/>
      <c r="K1374" s="307"/>
      <c r="L1374" s="306"/>
      <c r="M1374" s="306"/>
      <c r="N1374" s="306"/>
      <c r="O1374" s="306"/>
      <c r="P1374" s="306"/>
      <c r="Q1374" s="306"/>
      <c r="R1374" s="306"/>
      <c r="S1374" s="306"/>
      <c r="T1374" s="306"/>
      <c r="U1374" s="306"/>
      <c r="V1374" s="305"/>
      <c r="W1374" s="306"/>
      <c r="X1374" s="306"/>
      <c r="Y1374" s="306"/>
      <c r="Z1374" s="307"/>
      <c r="AA1374" s="306"/>
      <c r="AB1374" s="306"/>
      <c r="AC1374" s="306"/>
    </row>
    <row r="1375">
      <c r="A1375" s="306"/>
      <c r="B1375" s="306"/>
      <c r="C1375" s="306"/>
      <c r="D1375" s="305"/>
      <c r="E1375" s="306"/>
      <c r="F1375" s="306"/>
      <c r="G1375" s="306"/>
      <c r="H1375" s="306"/>
      <c r="I1375" s="306"/>
      <c r="J1375" s="306"/>
      <c r="K1375" s="307"/>
      <c r="L1375" s="306"/>
      <c r="M1375" s="306"/>
      <c r="N1375" s="306"/>
      <c r="O1375" s="306"/>
      <c r="P1375" s="306"/>
      <c r="Q1375" s="306"/>
      <c r="R1375" s="306"/>
      <c r="S1375" s="306"/>
      <c r="T1375" s="306"/>
      <c r="U1375" s="306"/>
      <c r="V1375" s="305"/>
      <c r="W1375" s="306"/>
      <c r="X1375" s="306"/>
      <c r="Y1375" s="306"/>
      <c r="Z1375" s="307"/>
      <c r="AA1375" s="306"/>
      <c r="AB1375" s="306"/>
      <c r="AC1375" s="306"/>
    </row>
    <row r="1376">
      <c r="A1376" s="306"/>
      <c r="B1376" s="306"/>
      <c r="C1376" s="306"/>
      <c r="D1376" s="305"/>
      <c r="E1376" s="306"/>
      <c r="F1376" s="306"/>
      <c r="G1376" s="306"/>
      <c r="H1376" s="306"/>
      <c r="I1376" s="306"/>
      <c r="J1376" s="306"/>
      <c r="K1376" s="307"/>
      <c r="L1376" s="306"/>
      <c r="M1376" s="306"/>
      <c r="N1376" s="306"/>
      <c r="O1376" s="306"/>
      <c r="P1376" s="306"/>
      <c r="Q1376" s="306"/>
      <c r="R1376" s="306"/>
      <c r="S1376" s="306"/>
      <c r="T1376" s="306"/>
      <c r="U1376" s="306"/>
      <c r="V1376" s="305"/>
      <c r="W1376" s="306"/>
      <c r="X1376" s="306"/>
      <c r="Y1376" s="306"/>
      <c r="Z1376" s="307"/>
      <c r="AA1376" s="306"/>
      <c r="AB1376" s="306"/>
      <c r="AC1376" s="306"/>
    </row>
    <row r="1377">
      <c r="A1377" s="306"/>
      <c r="B1377" s="306"/>
      <c r="C1377" s="306"/>
      <c r="D1377" s="305"/>
      <c r="E1377" s="306"/>
      <c r="F1377" s="306"/>
      <c r="G1377" s="306"/>
      <c r="H1377" s="306"/>
      <c r="I1377" s="306"/>
      <c r="J1377" s="306"/>
      <c r="K1377" s="307"/>
      <c r="L1377" s="306"/>
      <c r="M1377" s="306"/>
      <c r="N1377" s="306"/>
      <c r="O1377" s="306"/>
      <c r="P1377" s="306"/>
      <c r="Q1377" s="306"/>
      <c r="R1377" s="306"/>
      <c r="S1377" s="306"/>
      <c r="T1377" s="306"/>
      <c r="U1377" s="306"/>
      <c r="V1377" s="305"/>
      <c r="W1377" s="306"/>
      <c r="X1377" s="306"/>
      <c r="Y1377" s="306"/>
      <c r="Z1377" s="307"/>
      <c r="AA1377" s="306"/>
      <c r="AB1377" s="306"/>
      <c r="AC1377" s="306"/>
    </row>
    <row r="1378">
      <c r="A1378" s="306"/>
      <c r="B1378" s="306"/>
      <c r="C1378" s="306"/>
      <c r="D1378" s="305"/>
      <c r="E1378" s="306"/>
      <c r="F1378" s="306"/>
      <c r="G1378" s="306"/>
      <c r="H1378" s="306"/>
      <c r="I1378" s="306"/>
      <c r="J1378" s="306"/>
      <c r="K1378" s="307"/>
      <c r="L1378" s="306"/>
      <c r="M1378" s="306"/>
      <c r="N1378" s="306"/>
      <c r="O1378" s="306"/>
      <c r="P1378" s="306"/>
      <c r="Q1378" s="306"/>
      <c r="R1378" s="306"/>
      <c r="S1378" s="306"/>
      <c r="T1378" s="306"/>
      <c r="U1378" s="306"/>
      <c r="V1378" s="305"/>
      <c r="W1378" s="306"/>
      <c r="X1378" s="306"/>
      <c r="Y1378" s="306"/>
      <c r="Z1378" s="307"/>
      <c r="AA1378" s="306"/>
      <c r="AB1378" s="306"/>
      <c r="AC1378" s="306"/>
    </row>
    <row r="1379">
      <c r="A1379" s="306"/>
      <c r="B1379" s="306"/>
      <c r="C1379" s="306"/>
      <c r="D1379" s="305"/>
      <c r="E1379" s="306"/>
      <c r="F1379" s="306"/>
      <c r="G1379" s="306"/>
      <c r="H1379" s="306"/>
      <c r="I1379" s="306"/>
      <c r="J1379" s="306"/>
      <c r="K1379" s="307"/>
      <c r="L1379" s="306"/>
      <c r="M1379" s="306"/>
      <c r="N1379" s="306"/>
      <c r="O1379" s="306"/>
      <c r="P1379" s="306"/>
      <c r="Q1379" s="306"/>
      <c r="R1379" s="306"/>
      <c r="S1379" s="306"/>
      <c r="T1379" s="306"/>
      <c r="U1379" s="306"/>
      <c r="V1379" s="305"/>
      <c r="W1379" s="306"/>
      <c r="X1379" s="306"/>
      <c r="Y1379" s="306"/>
      <c r="Z1379" s="307"/>
      <c r="AA1379" s="306"/>
      <c r="AB1379" s="306"/>
      <c r="AC1379" s="306"/>
    </row>
    <row r="1380">
      <c r="A1380" s="306"/>
      <c r="B1380" s="306"/>
      <c r="C1380" s="306"/>
      <c r="D1380" s="305"/>
      <c r="E1380" s="306"/>
      <c r="F1380" s="306"/>
      <c r="G1380" s="306"/>
      <c r="H1380" s="306"/>
      <c r="I1380" s="306"/>
      <c r="J1380" s="306"/>
      <c r="K1380" s="307"/>
      <c r="L1380" s="306"/>
      <c r="M1380" s="306"/>
      <c r="N1380" s="306"/>
      <c r="O1380" s="306"/>
      <c r="P1380" s="306"/>
      <c r="Q1380" s="306"/>
      <c r="R1380" s="306"/>
      <c r="S1380" s="306"/>
      <c r="T1380" s="306"/>
      <c r="U1380" s="306"/>
      <c r="V1380" s="305"/>
      <c r="W1380" s="306"/>
      <c r="X1380" s="306"/>
      <c r="Y1380" s="306"/>
      <c r="Z1380" s="307"/>
      <c r="AA1380" s="306"/>
      <c r="AB1380" s="306"/>
      <c r="AC1380" s="306"/>
    </row>
    <row r="1381">
      <c r="A1381" s="306"/>
      <c r="B1381" s="306"/>
      <c r="C1381" s="306"/>
      <c r="D1381" s="305"/>
      <c r="E1381" s="306"/>
      <c r="F1381" s="306"/>
      <c r="G1381" s="306"/>
      <c r="H1381" s="306"/>
      <c r="I1381" s="306"/>
      <c r="J1381" s="306"/>
      <c r="K1381" s="307"/>
      <c r="L1381" s="306"/>
      <c r="M1381" s="306"/>
      <c r="N1381" s="306"/>
      <c r="O1381" s="306"/>
      <c r="P1381" s="306"/>
      <c r="Q1381" s="306"/>
      <c r="R1381" s="306"/>
      <c r="S1381" s="306"/>
      <c r="T1381" s="306"/>
      <c r="U1381" s="306"/>
      <c r="V1381" s="305"/>
      <c r="W1381" s="306"/>
      <c r="X1381" s="306"/>
      <c r="Y1381" s="306"/>
      <c r="Z1381" s="307"/>
      <c r="AA1381" s="306"/>
      <c r="AB1381" s="306"/>
      <c r="AC1381" s="306"/>
    </row>
    <row r="1382">
      <c r="A1382" s="306"/>
      <c r="B1382" s="306"/>
      <c r="C1382" s="306"/>
      <c r="D1382" s="305"/>
      <c r="E1382" s="306"/>
      <c r="F1382" s="306"/>
      <c r="G1382" s="306"/>
      <c r="H1382" s="306"/>
      <c r="I1382" s="306"/>
      <c r="J1382" s="306"/>
      <c r="K1382" s="307"/>
      <c r="L1382" s="306"/>
      <c r="M1382" s="306"/>
      <c r="N1382" s="306"/>
      <c r="O1382" s="306"/>
      <c r="P1382" s="306"/>
      <c r="Q1382" s="306"/>
      <c r="R1382" s="306"/>
      <c r="S1382" s="306"/>
      <c r="T1382" s="306"/>
      <c r="U1382" s="306"/>
      <c r="V1382" s="305"/>
      <c r="W1382" s="306"/>
      <c r="X1382" s="306"/>
      <c r="Y1382" s="306"/>
      <c r="Z1382" s="307"/>
      <c r="AA1382" s="306"/>
      <c r="AB1382" s="306"/>
      <c r="AC1382" s="306"/>
    </row>
    <row r="1383">
      <c r="A1383" s="306"/>
      <c r="B1383" s="306"/>
      <c r="C1383" s="306"/>
      <c r="D1383" s="305"/>
      <c r="E1383" s="306"/>
      <c r="F1383" s="306"/>
      <c r="G1383" s="306"/>
      <c r="H1383" s="306"/>
      <c r="I1383" s="306"/>
      <c r="J1383" s="306"/>
      <c r="K1383" s="307"/>
      <c r="L1383" s="306"/>
      <c r="M1383" s="306"/>
      <c r="N1383" s="306"/>
      <c r="O1383" s="306"/>
      <c r="P1383" s="306"/>
      <c r="Q1383" s="306"/>
      <c r="R1383" s="306"/>
      <c r="S1383" s="306"/>
      <c r="T1383" s="306"/>
      <c r="U1383" s="306"/>
      <c r="V1383" s="305"/>
      <c r="W1383" s="306"/>
      <c r="X1383" s="306"/>
      <c r="Y1383" s="306"/>
      <c r="Z1383" s="307"/>
      <c r="AA1383" s="306"/>
      <c r="AB1383" s="306"/>
      <c r="AC1383" s="306"/>
    </row>
    <row r="1384">
      <c r="A1384" s="306"/>
      <c r="B1384" s="306"/>
      <c r="C1384" s="306"/>
      <c r="D1384" s="305"/>
      <c r="E1384" s="306"/>
      <c r="F1384" s="306"/>
      <c r="G1384" s="306"/>
      <c r="H1384" s="306"/>
      <c r="I1384" s="306"/>
      <c r="J1384" s="306"/>
      <c r="K1384" s="307"/>
      <c r="L1384" s="306"/>
      <c r="M1384" s="306"/>
      <c r="N1384" s="306"/>
      <c r="O1384" s="306"/>
      <c r="P1384" s="306"/>
      <c r="Q1384" s="306"/>
      <c r="R1384" s="306"/>
      <c r="S1384" s="306"/>
      <c r="T1384" s="306"/>
      <c r="U1384" s="306"/>
      <c r="V1384" s="305"/>
      <c r="W1384" s="306"/>
      <c r="X1384" s="306"/>
      <c r="Y1384" s="306"/>
      <c r="Z1384" s="307"/>
      <c r="AA1384" s="306"/>
      <c r="AB1384" s="306"/>
      <c r="AC1384" s="306"/>
    </row>
    <row r="1385">
      <c r="A1385" s="306"/>
      <c r="B1385" s="306"/>
      <c r="C1385" s="306"/>
      <c r="D1385" s="305"/>
      <c r="E1385" s="306"/>
      <c r="F1385" s="306"/>
      <c r="G1385" s="306"/>
      <c r="H1385" s="306"/>
      <c r="I1385" s="306"/>
      <c r="J1385" s="306"/>
      <c r="K1385" s="307"/>
      <c r="L1385" s="306"/>
      <c r="M1385" s="306"/>
      <c r="N1385" s="306"/>
      <c r="O1385" s="306"/>
      <c r="P1385" s="306"/>
      <c r="Q1385" s="306"/>
      <c r="R1385" s="306"/>
      <c r="S1385" s="306"/>
      <c r="T1385" s="306"/>
      <c r="U1385" s="306"/>
      <c r="V1385" s="305"/>
      <c r="W1385" s="306"/>
      <c r="X1385" s="306"/>
      <c r="Y1385" s="306"/>
      <c r="Z1385" s="307"/>
      <c r="AA1385" s="306"/>
      <c r="AB1385" s="306"/>
      <c r="AC1385" s="306"/>
    </row>
    <row r="1386">
      <c r="A1386" s="306"/>
      <c r="B1386" s="306"/>
      <c r="C1386" s="306"/>
      <c r="D1386" s="305"/>
      <c r="E1386" s="306"/>
      <c r="F1386" s="306"/>
      <c r="G1386" s="306"/>
      <c r="H1386" s="306"/>
      <c r="I1386" s="306"/>
      <c r="J1386" s="306"/>
      <c r="K1386" s="307"/>
      <c r="L1386" s="306"/>
      <c r="M1386" s="306"/>
      <c r="N1386" s="306"/>
      <c r="O1386" s="306"/>
      <c r="P1386" s="306"/>
      <c r="Q1386" s="306"/>
      <c r="R1386" s="306"/>
      <c r="S1386" s="306"/>
      <c r="T1386" s="306"/>
      <c r="U1386" s="306"/>
      <c r="V1386" s="305"/>
      <c r="W1386" s="306"/>
      <c r="X1386" s="306"/>
      <c r="Y1386" s="306"/>
      <c r="Z1386" s="307"/>
      <c r="AA1386" s="306"/>
      <c r="AB1386" s="306"/>
      <c r="AC1386" s="306"/>
    </row>
    <row r="1387">
      <c r="A1387" s="306"/>
      <c r="B1387" s="306"/>
      <c r="C1387" s="306"/>
      <c r="D1387" s="305"/>
      <c r="E1387" s="306"/>
      <c r="F1387" s="306"/>
      <c r="G1387" s="306"/>
      <c r="H1387" s="306"/>
      <c r="I1387" s="306"/>
      <c r="J1387" s="306"/>
      <c r="K1387" s="307"/>
      <c r="L1387" s="306"/>
      <c r="M1387" s="306"/>
      <c r="N1387" s="306"/>
      <c r="O1387" s="306"/>
      <c r="P1387" s="306"/>
      <c r="Q1387" s="306"/>
      <c r="R1387" s="306"/>
      <c r="S1387" s="306"/>
      <c r="T1387" s="306"/>
      <c r="U1387" s="306"/>
      <c r="V1387" s="305"/>
      <c r="W1387" s="306"/>
      <c r="X1387" s="306"/>
      <c r="Y1387" s="306"/>
      <c r="Z1387" s="307"/>
      <c r="AA1387" s="306"/>
      <c r="AB1387" s="306"/>
      <c r="AC1387" s="306"/>
    </row>
    <row r="1388">
      <c r="A1388" s="306"/>
      <c r="B1388" s="306"/>
      <c r="C1388" s="306"/>
      <c r="D1388" s="305"/>
      <c r="E1388" s="306"/>
      <c r="F1388" s="306"/>
      <c r="G1388" s="306"/>
      <c r="H1388" s="306"/>
      <c r="I1388" s="306"/>
      <c r="J1388" s="306"/>
      <c r="K1388" s="307"/>
      <c r="L1388" s="306"/>
      <c r="M1388" s="306"/>
      <c r="N1388" s="306"/>
      <c r="O1388" s="306"/>
      <c r="P1388" s="306"/>
      <c r="Q1388" s="306"/>
      <c r="R1388" s="306"/>
      <c r="S1388" s="306"/>
      <c r="T1388" s="306"/>
      <c r="U1388" s="306"/>
      <c r="V1388" s="305"/>
      <c r="W1388" s="306"/>
      <c r="X1388" s="306"/>
      <c r="Y1388" s="306"/>
      <c r="Z1388" s="307"/>
      <c r="AA1388" s="306"/>
      <c r="AB1388" s="306"/>
      <c r="AC1388" s="306"/>
    </row>
    <row r="1389">
      <c r="A1389" s="306"/>
      <c r="B1389" s="306"/>
      <c r="C1389" s="306"/>
      <c r="D1389" s="305"/>
      <c r="E1389" s="306"/>
      <c r="F1389" s="306"/>
      <c r="G1389" s="306"/>
      <c r="H1389" s="306"/>
      <c r="I1389" s="306"/>
      <c r="J1389" s="306"/>
      <c r="K1389" s="307"/>
      <c r="L1389" s="306"/>
      <c r="M1389" s="306"/>
      <c r="N1389" s="306"/>
      <c r="O1389" s="306"/>
      <c r="P1389" s="306"/>
      <c r="Q1389" s="306"/>
      <c r="R1389" s="306"/>
      <c r="S1389" s="306"/>
      <c r="T1389" s="306"/>
      <c r="U1389" s="306"/>
      <c r="V1389" s="305"/>
      <c r="W1389" s="306"/>
      <c r="X1389" s="306"/>
      <c r="Y1389" s="306"/>
      <c r="Z1389" s="307"/>
      <c r="AA1389" s="306"/>
      <c r="AB1389" s="306"/>
      <c r="AC1389" s="306"/>
    </row>
    <row r="1390">
      <c r="A1390" s="306"/>
      <c r="B1390" s="306"/>
      <c r="C1390" s="306"/>
      <c r="D1390" s="305"/>
      <c r="E1390" s="306"/>
      <c r="F1390" s="306"/>
      <c r="G1390" s="306"/>
      <c r="H1390" s="306"/>
      <c r="I1390" s="306"/>
      <c r="J1390" s="306"/>
      <c r="K1390" s="307"/>
      <c r="L1390" s="306"/>
      <c r="M1390" s="306"/>
      <c r="N1390" s="306"/>
      <c r="O1390" s="306"/>
      <c r="P1390" s="306"/>
      <c r="Q1390" s="306"/>
      <c r="R1390" s="306"/>
      <c r="S1390" s="306"/>
      <c r="T1390" s="306"/>
      <c r="U1390" s="306"/>
      <c r="V1390" s="305"/>
      <c r="W1390" s="306"/>
      <c r="X1390" s="306"/>
      <c r="Y1390" s="306"/>
      <c r="Z1390" s="307"/>
      <c r="AA1390" s="306"/>
      <c r="AB1390" s="306"/>
      <c r="AC1390" s="306"/>
    </row>
    <row r="1391">
      <c r="A1391" s="306"/>
      <c r="B1391" s="306"/>
      <c r="C1391" s="306"/>
      <c r="D1391" s="305"/>
      <c r="E1391" s="306"/>
      <c r="F1391" s="306"/>
      <c r="G1391" s="306"/>
      <c r="H1391" s="306"/>
      <c r="I1391" s="306"/>
      <c r="J1391" s="306"/>
      <c r="K1391" s="307"/>
      <c r="L1391" s="306"/>
      <c r="M1391" s="306"/>
      <c r="N1391" s="306"/>
      <c r="O1391" s="306"/>
      <c r="P1391" s="306"/>
      <c r="Q1391" s="306"/>
      <c r="R1391" s="306"/>
      <c r="S1391" s="306"/>
      <c r="T1391" s="306"/>
      <c r="U1391" s="306"/>
      <c r="V1391" s="305"/>
      <c r="W1391" s="306"/>
      <c r="X1391" s="306"/>
      <c r="Y1391" s="306"/>
      <c r="Z1391" s="307"/>
      <c r="AA1391" s="306"/>
      <c r="AB1391" s="306"/>
      <c r="AC1391" s="306"/>
    </row>
    <row r="1392">
      <c r="A1392" s="306"/>
      <c r="B1392" s="306"/>
      <c r="C1392" s="306"/>
      <c r="D1392" s="305"/>
      <c r="E1392" s="306"/>
      <c r="F1392" s="306"/>
      <c r="G1392" s="306"/>
      <c r="H1392" s="306"/>
      <c r="I1392" s="306"/>
      <c r="J1392" s="306"/>
      <c r="K1392" s="307"/>
      <c r="L1392" s="306"/>
      <c r="M1392" s="306"/>
      <c r="N1392" s="306"/>
      <c r="O1392" s="306"/>
      <c r="P1392" s="306"/>
      <c r="Q1392" s="306"/>
      <c r="R1392" s="306"/>
      <c r="S1392" s="306"/>
      <c r="T1392" s="306"/>
      <c r="U1392" s="306"/>
      <c r="V1392" s="305"/>
      <c r="W1392" s="306"/>
      <c r="X1392" s="306"/>
      <c r="Y1392" s="306"/>
      <c r="Z1392" s="307"/>
      <c r="AA1392" s="306"/>
      <c r="AB1392" s="306"/>
      <c r="AC1392" s="306"/>
    </row>
    <row r="1393">
      <c r="A1393" s="306"/>
      <c r="B1393" s="306"/>
      <c r="C1393" s="306"/>
      <c r="D1393" s="305"/>
      <c r="E1393" s="306"/>
      <c r="F1393" s="306"/>
      <c r="G1393" s="306"/>
      <c r="H1393" s="306"/>
      <c r="I1393" s="306"/>
      <c r="J1393" s="306"/>
      <c r="K1393" s="307"/>
      <c r="L1393" s="306"/>
      <c r="M1393" s="306"/>
      <c r="N1393" s="306"/>
      <c r="O1393" s="306"/>
      <c r="P1393" s="306"/>
      <c r="Q1393" s="306"/>
      <c r="R1393" s="306"/>
      <c r="S1393" s="306"/>
      <c r="T1393" s="306"/>
      <c r="U1393" s="306"/>
      <c r="V1393" s="305"/>
      <c r="W1393" s="306"/>
      <c r="X1393" s="306"/>
      <c r="Y1393" s="306"/>
      <c r="Z1393" s="307"/>
      <c r="AA1393" s="306"/>
      <c r="AB1393" s="306"/>
      <c r="AC1393" s="306"/>
    </row>
    <row r="1394">
      <c r="A1394" s="306"/>
      <c r="B1394" s="306"/>
      <c r="C1394" s="306"/>
      <c r="D1394" s="305"/>
      <c r="E1394" s="306"/>
      <c r="F1394" s="306"/>
      <c r="G1394" s="306"/>
      <c r="H1394" s="306"/>
      <c r="I1394" s="306"/>
      <c r="J1394" s="306"/>
      <c r="K1394" s="307"/>
      <c r="L1394" s="306"/>
      <c r="M1394" s="306"/>
      <c r="N1394" s="306"/>
      <c r="O1394" s="306"/>
      <c r="P1394" s="306"/>
      <c r="Q1394" s="306"/>
      <c r="R1394" s="306"/>
      <c r="S1394" s="306"/>
      <c r="T1394" s="306"/>
      <c r="U1394" s="306"/>
      <c r="V1394" s="305"/>
      <c r="W1394" s="306"/>
      <c r="X1394" s="306"/>
      <c r="Y1394" s="306"/>
      <c r="Z1394" s="307"/>
      <c r="AA1394" s="306"/>
      <c r="AB1394" s="306"/>
      <c r="AC1394" s="306"/>
    </row>
    <row r="1395">
      <c r="A1395" s="306"/>
      <c r="B1395" s="306"/>
      <c r="C1395" s="306"/>
      <c r="D1395" s="305"/>
      <c r="E1395" s="306"/>
      <c r="F1395" s="306"/>
      <c r="G1395" s="306"/>
      <c r="H1395" s="306"/>
      <c r="I1395" s="306"/>
      <c r="J1395" s="306"/>
      <c r="K1395" s="307"/>
      <c r="L1395" s="306"/>
      <c r="M1395" s="306"/>
      <c r="N1395" s="306"/>
      <c r="O1395" s="306"/>
      <c r="P1395" s="306"/>
      <c r="Q1395" s="306"/>
      <c r="R1395" s="306"/>
      <c r="S1395" s="306"/>
      <c r="T1395" s="306"/>
      <c r="U1395" s="306"/>
      <c r="V1395" s="305"/>
      <c r="W1395" s="306"/>
      <c r="X1395" s="306"/>
      <c r="Y1395" s="306"/>
      <c r="Z1395" s="307"/>
      <c r="AA1395" s="306"/>
      <c r="AB1395" s="306"/>
      <c r="AC1395" s="306"/>
    </row>
    <row r="1396">
      <c r="A1396" s="306"/>
      <c r="B1396" s="306"/>
      <c r="C1396" s="306"/>
      <c r="D1396" s="305"/>
      <c r="E1396" s="306"/>
      <c r="F1396" s="306"/>
      <c r="G1396" s="306"/>
      <c r="H1396" s="306"/>
      <c r="I1396" s="306"/>
      <c r="J1396" s="306"/>
      <c r="K1396" s="307"/>
      <c r="L1396" s="306"/>
      <c r="M1396" s="306"/>
      <c r="N1396" s="306"/>
      <c r="O1396" s="306"/>
      <c r="P1396" s="306"/>
      <c r="Q1396" s="306"/>
      <c r="R1396" s="306"/>
      <c r="S1396" s="306"/>
      <c r="T1396" s="306"/>
      <c r="U1396" s="306"/>
      <c r="V1396" s="305"/>
      <c r="W1396" s="306"/>
      <c r="X1396" s="306"/>
      <c r="Y1396" s="306"/>
      <c r="Z1396" s="307"/>
      <c r="AA1396" s="306"/>
      <c r="AB1396" s="306"/>
      <c r="AC1396" s="306"/>
    </row>
    <row r="1397">
      <c r="A1397" s="306"/>
      <c r="B1397" s="306"/>
      <c r="C1397" s="306"/>
      <c r="D1397" s="305"/>
      <c r="E1397" s="306"/>
      <c r="F1397" s="306"/>
      <c r="G1397" s="306"/>
      <c r="H1397" s="306"/>
      <c r="I1397" s="306"/>
      <c r="J1397" s="306"/>
      <c r="K1397" s="307"/>
      <c r="L1397" s="306"/>
      <c r="M1397" s="306"/>
      <c r="N1397" s="306"/>
      <c r="O1397" s="306"/>
      <c r="P1397" s="306"/>
      <c r="Q1397" s="306"/>
      <c r="R1397" s="306"/>
      <c r="S1397" s="306"/>
      <c r="T1397" s="306"/>
      <c r="U1397" s="306"/>
      <c r="V1397" s="305"/>
      <c r="W1397" s="306"/>
      <c r="X1397" s="306"/>
      <c r="Y1397" s="306"/>
      <c r="Z1397" s="307"/>
      <c r="AA1397" s="306"/>
      <c r="AB1397" s="306"/>
      <c r="AC1397" s="306"/>
    </row>
    <row r="1398">
      <c r="A1398" s="306"/>
      <c r="B1398" s="306"/>
      <c r="C1398" s="306"/>
      <c r="D1398" s="305"/>
      <c r="E1398" s="306"/>
      <c r="F1398" s="306"/>
      <c r="G1398" s="306"/>
      <c r="H1398" s="306"/>
      <c r="I1398" s="306"/>
      <c r="J1398" s="306"/>
      <c r="K1398" s="307"/>
      <c r="L1398" s="306"/>
      <c r="M1398" s="306"/>
      <c r="N1398" s="306"/>
      <c r="O1398" s="306"/>
      <c r="P1398" s="306"/>
      <c r="Q1398" s="306"/>
      <c r="R1398" s="306"/>
      <c r="S1398" s="306"/>
      <c r="T1398" s="306"/>
      <c r="U1398" s="306"/>
      <c r="V1398" s="305"/>
      <c r="W1398" s="306"/>
      <c r="X1398" s="306"/>
      <c r="Y1398" s="306"/>
      <c r="Z1398" s="307"/>
      <c r="AA1398" s="306"/>
      <c r="AB1398" s="306"/>
      <c r="AC1398" s="306"/>
    </row>
    <row r="1399">
      <c r="A1399" s="306"/>
      <c r="B1399" s="306"/>
      <c r="C1399" s="306"/>
      <c r="D1399" s="305"/>
      <c r="E1399" s="306"/>
      <c r="F1399" s="306"/>
      <c r="G1399" s="306"/>
      <c r="H1399" s="306"/>
      <c r="I1399" s="306"/>
      <c r="J1399" s="306"/>
      <c r="K1399" s="307"/>
      <c r="L1399" s="306"/>
      <c r="M1399" s="306"/>
      <c r="N1399" s="306"/>
      <c r="O1399" s="306"/>
      <c r="P1399" s="306"/>
      <c r="Q1399" s="306"/>
      <c r="R1399" s="306"/>
      <c r="S1399" s="306"/>
      <c r="T1399" s="306"/>
      <c r="U1399" s="306"/>
      <c r="V1399" s="305"/>
      <c r="W1399" s="306"/>
      <c r="X1399" s="306"/>
      <c r="Y1399" s="306"/>
      <c r="Z1399" s="307"/>
      <c r="AA1399" s="306"/>
      <c r="AB1399" s="306"/>
      <c r="AC1399" s="306"/>
    </row>
    <row r="1400">
      <c r="A1400" s="306"/>
      <c r="B1400" s="306"/>
      <c r="C1400" s="306"/>
      <c r="D1400" s="305"/>
      <c r="E1400" s="306"/>
      <c r="F1400" s="306"/>
      <c r="G1400" s="306"/>
      <c r="H1400" s="306"/>
      <c r="I1400" s="306"/>
      <c r="J1400" s="306"/>
      <c r="K1400" s="307"/>
      <c r="L1400" s="306"/>
      <c r="M1400" s="306"/>
      <c r="N1400" s="306"/>
      <c r="O1400" s="306"/>
      <c r="P1400" s="306"/>
      <c r="Q1400" s="306"/>
      <c r="R1400" s="306"/>
      <c r="S1400" s="306"/>
      <c r="T1400" s="306"/>
      <c r="U1400" s="306"/>
      <c r="V1400" s="305"/>
      <c r="W1400" s="306"/>
      <c r="X1400" s="306"/>
      <c r="Y1400" s="306"/>
      <c r="Z1400" s="307"/>
      <c r="AA1400" s="306"/>
      <c r="AB1400" s="306"/>
      <c r="AC1400" s="306"/>
    </row>
    <row r="1401">
      <c r="A1401" s="306"/>
      <c r="B1401" s="306"/>
      <c r="C1401" s="306"/>
      <c r="D1401" s="305"/>
      <c r="E1401" s="306"/>
      <c r="F1401" s="306"/>
      <c r="G1401" s="306"/>
      <c r="H1401" s="306"/>
      <c r="I1401" s="306"/>
      <c r="J1401" s="306"/>
      <c r="K1401" s="307"/>
      <c r="L1401" s="306"/>
      <c r="M1401" s="306"/>
      <c r="N1401" s="306"/>
      <c r="O1401" s="306"/>
      <c r="P1401" s="306"/>
      <c r="Q1401" s="306"/>
      <c r="R1401" s="306"/>
      <c r="S1401" s="306"/>
      <c r="T1401" s="306"/>
      <c r="U1401" s="306"/>
      <c r="V1401" s="305"/>
      <c r="W1401" s="306"/>
      <c r="X1401" s="306"/>
      <c r="Y1401" s="306"/>
      <c r="Z1401" s="307"/>
      <c r="AA1401" s="306"/>
      <c r="AB1401" s="306"/>
      <c r="AC1401" s="306"/>
    </row>
    <row r="1402">
      <c r="A1402" s="306"/>
      <c r="B1402" s="306"/>
      <c r="C1402" s="306"/>
      <c r="D1402" s="305"/>
      <c r="E1402" s="306"/>
      <c r="F1402" s="306"/>
      <c r="G1402" s="306"/>
      <c r="H1402" s="306"/>
      <c r="I1402" s="306"/>
      <c r="J1402" s="306"/>
      <c r="K1402" s="307"/>
      <c r="L1402" s="306"/>
      <c r="M1402" s="306"/>
      <c r="N1402" s="306"/>
      <c r="O1402" s="306"/>
      <c r="P1402" s="306"/>
      <c r="Q1402" s="306"/>
      <c r="R1402" s="306"/>
      <c r="S1402" s="306"/>
      <c r="T1402" s="306"/>
      <c r="U1402" s="306"/>
      <c r="V1402" s="305"/>
      <c r="W1402" s="306"/>
      <c r="X1402" s="306"/>
      <c r="Y1402" s="306"/>
      <c r="Z1402" s="307"/>
      <c r="AA1402" s="306"/>
      <c r="AB1402" s="306"/>
      <c r="AC1402" s="306"/>
    </row>
    <row r="1403">
      <c r="A1403" s="306"/>
      <c r="B1403" s="306"/>
      <c r="C1403" s="306"/>
      <c r="D1403" s="305"/>
      <c r="E1403" s="306"/>
      <c r="F1403" s="306"/>
      <c r="G1403" s="306"/>
      <c r="H1403" s="306"/>
      <c r="I1403" s="306"/>
      <c r="J1403" s="306"/>
      <c r="K1403" s="307"/>
      <c r="L1403" s="306"/>
      <c r="M1403" s="306"/>
      <c r="N1403" s="306"/>
      <c r="O1403" s="306"/>
      <c r="P1403" s="306"/>
      <c r="Q1403" s="306"/>
      <c r="R1403" s="306"/>
      <c r="S1403" s="306"/>
      <c r="T1403" s="306"/>
      <c r="U1403" s="306"/>
      <c r="V1403" s="305"/>
      <c r="W1403" s="306"/>
      <c r="X1403" s="306"/>
      <c r="Y1403" s="306"/>
      <c r="Z1403" s="307"/>
      <c r="AA1403" s="306"/>
      <c r="AB1403" s="306"/>
      <c r="AC1403" s="306"/>
    </row>
    <row r="1404">
      <c r="A1404" s="306"/>
      <c r="B1404" s="306"/>
      <c r="C1404" s="306"/>
      <c r="D1404" s="305"/>
      <c r="E1404" s="306"/>
      <c r="F1404" s="306"/>
      <c r="G1404" s="306"/>
      <c r="H1404" s="306"/>
      <c r="I1404" s="306"/>
      <c r="J1404" s="306"/>
      <c r="K1404" s="307"/>
      <c r="L1404" s="306"/>
      <c r="M1404" s="306"/>
      <c r="N1404" s="306"/>
      <c r="O1404" s="306"/>
      <c r="P1404" s="306"/>
      <c r="Q1404" s="306"/>
      <c r="R1404" s="306"/>
      <c r="S1404" s="306"/>
      <c r="T1404" s="306"/>
      <c r="U1404" s="306"/>
      <c r="V1404" s="305"/>
      <c r="W1404" s="306"/>
      <c r="X1404" s="306"/>
      <c r="Y1404" s="306"/>
      <c r="Z1404" s="307"/>
      <c r="AA1404" s="306"/>
      <c r="AB1404" s="306"/>
      <c r="AC1404" s="306"/>
    </row>
    <row r="1405">
      <c r="A1405" s="306"/>
      <c r="B1405" s="306"/>
      <c r="C1405" s="306"/>
      <c r="D1405" s="305"/>
      <c r="E1405" s="306"/>
      <c r="F1405" s="306"/>
      <c r="G1405" s="306"/>
      <c r="H1405" s="306"/>
      <c r="I1405" s="306"/>
      <c r="J1405" s="306"/>
      <c r="K1405" s="307"/>
      <c r="L1405" s="306"/>
      <c r="M1405" s="306"/>
      <c r="N1405" s="306"/>
      <c r="O1405" s="306"/>
      <c r="P1405" s="306"/>
      <c r="Q1405" s="306"/>
      <c r="R1405" s="306"/>
      <c r="S1405" s="306"/>
      <c r="T1405" s="306"/>
      <c r="U1405" s="306"/>
      <c r="V1405" s="305"/>
      <c r="W1405" s="306"/>
      <c r="X1405" s="306"/>
      <c r="Y1405" s="306"/>
      <c r="Z1405" s="307"/>
      <c r="AA1405" s="306"/>
      <c r="AB1405" s="306"/>
      <c r="AC1405" s="306"/>
    </row>
    <row r="1406">
      <c r="A1406" s="306"/>
      <c r="B1406" s="306"/>
      <c r="C1406" s="306"/>
      <c r="D1406" s="305"/>
      <c r="E1406" s="306"/>
      <c r="F1406" s="306"/>
      <c r="G1406" s="306"/>
      <c r="H1406" s="306"/>
      <c r="I1406" s="306"/>
      <c r="J1406" s="306"/>
      <c r="K1406" s="307"/>
      <c r="L1406" s="306"/>
      <c r="M1406" s="306"/>
      <c r="N1406" s="306"/>
      <c r="O1406" s="306"/>
      <c r="P1406" s="306"/>
      <c r="Q1406" s="306"/>
      <c r="R1406" s="306"/>
      <c r="S1406" s="306"/>
      <c r="T1406" s="306"/>
      <c r="U1406" s="306"/>
      <c r="V1406" s="305"/>
      <c r="W1406" s="306"/>
      <c r="X1406" s="306"/>
      <c r="Y1406" s="306"/>
      <c r="Z1406" s="307"/>
      <c r="AA1406" s="306"/>
      <c r="AB1406" s="306"/>
      <c r="AC1406" s="306"/>
    </row>
    <row r="1407">
      <c r="A1407" s="306"/>
      <c r="B1407" s="306"/>
      <c r="C1407" s="306"/>
      <c r="D1407" s="305"/>
      <c r="E1407" s="306"/>
      <c r="F1407" s="306"/>
      <c r="G1407" s="306"/>
      <c r="H1407" s="306"/>
      <c r="I1407" s="306"/>
      <c r="J1407" s="306"/>
      <c r="K1407" s="307"/>
      <c r="L1407" s="306"/>
      <c r="M1407" s="306"/>
      <c r="N1407" s="306"/>
      <c r="O1407" s="306"/>
      <c r="P1407" s="306"/>
      <c r="Q1407" s="306"/>
      <c r="R1407" s="306"/>
      <c r="S1407" s="306"/>
      <c r="T1407" s="306"/>
      <c r="U1407" s="306"/>
      <c r="V1407" s="305"/>
      <c r="W1407" s="306"/>
      <c r="X1407" s="306"/>
      <c r="Y1407" s="306"/>
      <c r="Z1407" s="307"/>
      <c r="AA1407" s="306"/>
      <c r="AB1407" s="306"/>
      <c r="AC1407" s="306"/>
    </row>
    <row r="1408">
      <c r="A1408" s="306"/>
      <c r="B1408" s="306"/>
      <c r="C1408" s="306"/>
      <c r="D1408" s="305"/>
      <c r="E1408" s="306"/>
      <c r="F1408" s="306"/>
      <c r="G1408" s="306"/>
      <c r="H1408" s="306"/>
      <c r="I1408" s="306"/>
      <c r="J1408" s="306"/>
      <c r="K1408" s="307"/>
      <c r="L1408" s="306"/>
      <c r="M1408" s="306"/>
      <c r="N1408" s="306"/>
      <c r="O1408" s="306"/>
      <c r="P1408" s="306"/>
      <c r="Q1408" s="306"/>
      <c r="R1408" s="306"/>
      <c r="S1408" s="306"/>
      <c r="T1408" s="306"/>
      <c r="U1408" s="306"/>
      <c r="V1408" s="305"/>
      <c r="W1408" s="306"/>
      <c r="X1408" s="306"/>
      <c r="Y1408" s="306"/>
      <c r="Z1408" s="307"/>
      <c r="AA1408" s="306"/>
      <c r="AB1408" s="306"/>
      <c r="AC1408" s="306"/>
    </row>
    <row r="1409">
      <c r="A1409" s="306"/>
      <c r="B1409" s="306"/>
      <c r="C1409" s="306"/>
      <c r="D1409" s="305"/>
      <c r="E1409" s="306"/>
      <c r="F1409" s="306"/>
      <c r="G1409" s="306"/>
      <c r="H1409" s="306"/>
      <c r="I1409" s="306"/>
      <c r="J1409" s="306"/>
      <c r="K1409" s="307"/>
      <c r="L1409" s="306"/>
      <c r="M1409" s="306"/>
      <c r="N1409" s="306"/>
      <c r="O1409" s="306"/>
      <c r="P1409" s="306"/>
      <c r="Q1409" s="306"/>
      <c r="R1409" s="306"/>
      <c r="S1409" s="306"/>
      <c r="T1409" s="306"/>
      <c r="U1409" s="306"/>
      <c r="V1409" s="305"/>
      <c r="W1409" s="306"/>
      <c r="X1409" s="306"/>
      <c r="Y1409" s="306"/>
      <c r="Z1409" s="307"/>
      <c r="AA1409" s="306"/>
      <c r="AB1409" s="306"/>
      <c r="AC1409" s="306"/>
    </row>
    <row r="1410">
      <c r="A1410" s="306"/>
      <c r="B1410" s="306"/>
      <c r="C1410" s="306"/>
      <c r="D1410" s="305"/>
      <c r="E1410" s="306"/>
      <c r="F1410" s="306"/>
      <c r="G1410" s="306"/>
      <c r="H1410" s="306"/>
      <c r="I1410" s="306"/>
      <c r="J1410" s="306"/>
      <c r="K1410" s="307"/>
      <c r="L1410" s="306"/>
      <c r="M1410" s="306"/>
      <c r="N1410" s="306"/>
      <c r="O1410" s="306"/>
      <c r="P1410" s="306"/>
      <c r="Q1410" s="306"/>
      <c r="R1410" s="306"/>
      <c r="S1410" s="306"/>
      <c r="T1410" s="306"/>
      <c r="U1410" s="306"/>
      <c r="V1410" s="305"/>
      <c r="W1410" s="306"/>
      <c r="X1410" s="306"/>
      <c r="Y1410" s="306"/>
      <c r="Z1410" s="307"/>
      <c r="AA1410" s="306"/>
      <c r="AB1410" s="306"/>
      <c r="AC1410" s="306"/>
    </row>
    <row r="1411">
      <c r="A1411" s="306"/>
      <c r="B1411" s="306"/>
      <c r="C1411" s="306"/>
      <c r="D1411" s="305"/>
      <c r="E1411" s="306"/>
      <c r="F1411" s="306"/>
      <c r="G1411" s="306"/>
      <c r="H1411" s="306"/>
      <c r="I1411" s="306"/>
      <c r="J1411" s="306"/>
      <c r="K1411" s="307"/>
      <c r="L1411" s="306"/>
      <c r="M1411" s="306"/>
      <c r="N1411" s="306"/>
      <c r="O1411" s="306"/>
      <c r="P1411" s="306"/>
      <c r="Q1411" s="306"/>
      <c r="R1411" s="306"/>
      <c r="S1411" s="306"/>
      <c r="T1411" s="306"/>
      <c r="U1411" s="306"/>
      <c r="V1411" s="305"/>
      <c r="W1411" s="306"/>
      <c r="X1411" s="306"/>
      <c r="Y1411" s="306"/>
      <c r="Z1411" s="307"/>
      <c r="AA1411" s="306"/>
      <c r="AB1411" s="306"/>
      <c r="AC1411" s="306"/>
    </row>
    <row r="1412">
      <c r="A1412" s="306"/>
      <c r="B1412" s="306"/>
      <c r="C1412" s="306"/>
      <c r="D1412" s="305"/>
      <c r="E1412" s="306"/>
      <c r="F1412" s="306"/>
      <c r="G1412" s="306"/>
      <c r="H1412" s="306"/>
      <c r="I1412" s="306"/>
      <c r="J1412" s="306"/>
      <c r="K1412" s="307"/>
      <c r="L1412" s="306"/>
      <c r="M1412" s="306"/>
      <c r="N1412" s="306"/>
      <c r="O1412" s="306"/>
      <c r="P1412" s="306"/>
      <c r="Q1412" s="306"/>
      <c r="R1412" s="306"/>
      <c r="S1412" s="306"/>
      <c r="T1412" s="306"/>
      <c r="U1412" s="306"/>
      <c r="V1412" s="305"/>
      <c r="W1412" s="306"/>
      <c r="X1412" s="306"/>
      <c r="Y1412" s="306"/>
      <c r="Z1412" s="307"/>
      <c r="AA1412" s="306"/>
      <c r="AB1412" s="306"/>
      <c r="AC1412" s="306"/>
    </row>
    <row r="1413">
      <c r="A1413" s="306"/>
      <c r="B1413" s="306"/>
      <c r="C1413" s="306"/>
      <c r="D1413" s="305"/>
      <c r="E1413" s="306"/>
      <c r="F1413" s="306"/>
      <c r="G1413" s="306"/>
      <c r="H1413" s="306"/>
      <c r="I1413" s="306"/>
      <c r="J1413" s="306"/>
      <c r="K1413" s="307"/>
      <c r="L1413" s="306"/>
      <c r="M1413" s="306"/>
      <c r="N1413" s="306"/>
      <c r="O1413" s="306"/>
      <c r="P1413" s="306"/>
      <c r="Q1413" s="306"/>
      <c r="R1413" s="306"/>
      <c r="S1413" s="306"/>
      <c r="T1413" s="306"/>
      <c r="U1413" s="306"/>
      <c r="V1413" s="305"/>
      <c r="W1413" s="306"/>
      <c r="X1413" s="306"/>
      <c r="Y1413" s="306"/>
      <c r="Z1413" s="307"/>
      <c r="AA1413" s="306"/>
      <c r="AB1413" s="306"/>
      <c r="AC1413" s="306"/>
    </row>
    <row r="1414">
      <c r="A1414" s="306"/>
      <c r="B1414" s="306"/>
      <c r="C1414" s="306"/>
      <c r="D1414" s="305"/>
      <c r="E1414" s="306"/>
      <c r="F1414" s="306"/>
      <c r="G1414" s="306"/>
      <c r="H1414" s="306"/>
      <c r="I1414" s="306"/>
      <c r="J1414" s="306"/>
      <c r="K1414" s="307"/>
      <c r="L1414" s="306"/>
      <c r="M1414" s="306"/>
      <c r="N1414" s="306"/>
      <c r="O1414" s="306"/>
      <c r="P1414" s="306"/>
      <c r="Q1414" s="306"/>
      <c r="R1414" s="306"/>
      <c r="S1414" s="306"/>
      <c r="T1414" s="306"/>
      <c r="U1414" s="306"/>
      <c r="V1414" s="305"/>
      <c r="W1414" s="306"/>
      <c r="X1414" s="306"/>
      <c r="Y1414" s="306"/>
      <c r="Z1414" s="307"/>
      <c r="AA1414" s="306"/>
      <c r="AB1414" s="306"/>
      <c r="AC1414" s="306"/>
    </row>
    <row r="1415">
      <c r="A1415" s="306"/>
      <c r="B1415" s="306"/>
      <c r="C1415" s="306"/>
      <c r="D1415" s="305"/>
      <c r="E1415" s="306"/>
      <c r="F1415" s="306"/>
      <c r="G1415" s="306"/>
      <c r="H1415" s="306"/>
      <c r="I1415" s="306"/>
      <c r="J1415" s="306"/>
      <c r="K1415" s="307"/>
      <c r="L1415" s="306"/>
      <c r="M1415" s="306"/>
      <c r="N1415" s="306"/>
      <c r="O1415" s="306"/>
      <c r="P1415" s="306"/>
      <c r="Q1415" s="306"/>
      <c r="R1415" s="306"/>
      <c r="S1415" s="306"/>
      <c r="T1415" s="306"/>
      <c r="U1415" s="306"/>
      <c r="V1415" s="305"/>
      <c r="W1415" s="306"/>
      <c r="X1415" s="306"/>
      <c r="Y1415" s="306"/>
      <c r="Z1415" s="307"/>
      <c r="AA1415" s="306"/>
      <c r="AB1415" s="306"/>
      <c r="AC1415" s="306"/>
    </row>
    <row r="1416">
      <c r="A1416" s="306"/>
      <c r="B1416" s="306"/>
      <c r="C1416" s="306"/>
      <c r="D1416" s="305"/>
      <c r="E1416" s="306"/>
      <c r="F1416" s="306"/>
      <c r="G1416" s="306"/>
      <c r="H1416" s="306"/>
      <c r="I1416" s="306"/>
      <c r="J1416" s="306"/>
      <c r="K1416" s="307"/>
      <c r="L1416" s="306"/>
      <c r="M1416" s="306"/>
      <c r="N1416" s="306"/>
      <c r="O1416" s="306"/>
      <c r="P1416" s="306"/>
      <c r="Q1416" s="306"/>
      <c r="R1416" s="306"/>
      <c r="S1416" s="306"/>
      <c r="T1416" s="306"/>
      <c r="U1416" s="306"/>
      <c r="V1416" s="305"/>
      <c r="W1416" s="306"/>
      <c r="X1416" s="306"/>
      <c r="Y1416" s="306"/>
      <c r="Z1416" s="307"/>
      <c r="AA1416" s="306"/>
      <c r="AB1416" s="306"/>
      <c r="AC1416" s="306"/>
    </row>
    <row r="1417">
      <c r="A1417" s="306"/>
      <c r="B1417" s="306"/>
      <c r="C1417" s="306"/>
      <c r="D1417" s="305"/>
      <c r="E1417" s="306"/>
      <c r="F1417" s="306"/>
      <c r="G1417" s="306"/>
      <c r="H1417" s="306"/>
      <c r="I1417" s="306"/>
      <c r="J1417" s="306"/>
      <c r="K1417" s="307"/>
      <c r="L1417" s="306"/>
      <c r="M1417" s="306"/>
      <c r="N1417" s="306"/>
      <c r="O1417" s="306"/>
      <c r="P1417" s="306"/>
      <c r="Q1417" s="306"/>
      <c r="R1417" s="306"/>
      <c r="S1417" s="306"/>
      <c r="T1417" s="306"/>
      <c r="U1417" s="306"/>
      <c r="V1417" s="305"/>
      <c r="W1417" s="306"/>
      <c r="X1417" s="306"/>
      <c r="Y1417" s="306"/>
      <c r="Z1417" s="307"/>
      <c r="AA1417" s="306"/>
      <c r="AB1417" s="306"/>
      <c r="AC1417" s="306"/>
    </row>
    <row r="1418">
      <c r="A1418" s="306"/>
      <c r="B1418" s="306"/>
      <c r="C1418" s="306"/>
      <c r="D1418" s="305"/>
      <c r="E1418" s="306"/>
      <c r="F1418" s="306"/>
      <c r="G1418" s="306"/>
      <c r="H1418" s="306"/>
      <c r="I1418" s="306"/>
      <c r="J1418" s="306"/>
      <c r="K1418" s="307"/>
      <c r="L1418" s="306"/>
      <c r="M1418" s="306"/>
      <c r="N1418" s="306"/>
      <c r="O1418" s="306"/>
      <c r="P1418" s="306"/>
      <c r="Q1418" s="306"/>
      <c r="R1418" s="306"/>
      <c r="S1418" s="306"/>
      <c r="T1418" s="306"/>
      <c r="U1418" s="306"/>
      <c r="V1418" s="305"/>
      <c r="W1418" s="306"/>
      <c r="X1418" s="306"/>
      <c r="Y1418" s="306"/>
      <c r="Z1418" s="307"/>
      <c r="AA1418" s="306"/>
      <c r="AB1418" s="306"/>
      <c r="AC1418" s="306"/>
    </row>
    <row r="1419">
      <c r="A1419" s="306"/>
      <c r="B1419" s="306"/>
      <c r="C1419" s="306"/>
      <c r="D1419" s="305"/>
      <c r="E1419" s="306"/>
      <c r="F1419" s="306"/>
      <c r="G1419" s="306"/>
      <c r="H1419" s="306"/>
      <c r="I1419" s="306"/>
      <c r="J1419" s="306"/>
      <c r="K1419" s="307"/>
      <c r="L1419" s="306"/>
      <c r="M1419" s="306"/>
      <c r="N1419" s="306"/>
      <c r="O1419" s="306"/>
      <c r="P1419" s="306"/>
      <c r="Q1419" s="306"/>
      <c r="R1419" s="306"/>
      <c r="S1419" s="306"/>
      <c r="T1419" s="306"/>
      <c r="U1419" s="306"/>
      <c r="V1419" s="305"/>
      <c r="W1419" s="306"/>
      <c r="X1419" s="306"/>
      <c r="Y1419" s="306"/>
      <c r="Z1419" s="307"/>
      <c r="AA1419" s="306"/>
      <c r="AB1419" s="306"/>
      <c r="AC1419" s="306"/>
    </row>
    <row r="1420">
      <c r="A1420" s="306"/>
      <c r="B1420" s="306"/>
      <c r="C1420" s="306"/>
      <c r="D1420" s="305"/>
      <c r="E1420" s="306"/>
      <c r="F1420" s="306"/>
      <c r="G1420" s="306"/>
      <c r="H1420" s="306"/>
      <c r="I1420" s="306"/>
      <c r="J1420" s="306"/>
      <c r="K1420" s="307"/>
      <c r="L1420" s="306"/>
      <c r="M1420" s="306"/>
      <c r="N1420" s="306"/>
      <c r="O1420" s="306"/>
      <c r="P1420" s="306"/>
      <c r="Q1420" s="306"/>
      <c r="R1420" s="306"/>
      <c r="S1420" s="306"/>
      <c r="T1420" s="306"/>
      <c r="U1420" s="306"/>
      <c r="V1420" s="305"/>
      <c r="W1420" s="306"/>
      <c r="X1420" s="306"/>
      <c r="Y1420" s="306"/>
      <c r="Z1420" s="307"/>
      <c r="AA1420" s="306"/>
      <c r="AB1420" s="306"/>
      <c r="AC1420" s="306"/>
    </row>
    <row r="1421">
      <c r="A1421" s="306"/>
      <c r="B1421" s="306"/>
      <c r="C1421" s="306"/>
      <c r="D1421" s="305"/>
      <c r="E1421" s="306"/>
      <c r="F1421" s="306"/>
      <c r="G1421" s="306"/>
      <c r="H1421" s="306"/>
      <c r="I1421" s="306"/>
      <c r="J1421" s="306"/>
      <c r="K1421" s="307"/>
      <c r="L1421" s="306"/>
      <c r="M1421" s="306"/>
      <c r="N1421" s="306"/>
      <c r="O1421" s="306"/>
      <c r="P1421" s="306"/>
      <c r="Q1421" s="306"/>
      <c r="R1421" s="306"/>
      <c r="S1421" s="306"/>
      <c r="T1421" s="306"/>
      <c r="U1421" s="306"/>
      <c r="V1421" s="305"/>
      <c r="W1421" s="306"/>
      <c r="X1421" s="306"/>
      <c r="Y1421" s="306"/>
      <c r="Z1421" s="307"/>
      <c r="AA1421" s="306"/>
      <c r="AB1421" s="306"/>
      <c r="AC1421" s="306"/>
    </row>
    <row r="1422">
      <c r="A1422" s="306"/>
      <c r="B1422" s="306"/>
      <c r="C1422" s="306"/>
      <c r="D1422" s="305"/>
      <c r="E1422" s="306"/>
      <c r="F1422" s="306"/>
      <c r="G1422" s="306"/>
      <c r="H1422" s="306"/>
      <c r="I1422" s="306"/>
      <c r="J1422" s="306"/>
      <c r="K1422" s="307"/>
      <c r="L1422" s="306"/>
      <c r="M1422" s="306"/>
      <c r="N1422" s="306"/>
      <c r="O1422" s="306"/>
      <c r="P1422" s="306"/>
      <c r="Q1422" s="306"/>
      <c r="R1422" s="306"/>
      <c r="S1422" s="306"/>
      <c r="T1422" s="306"/>
      <c r="U1422" s="306"/>
      <c r="V1422" s="305"/>
      <c r="W1422" s="306"/>
      <c r="X1422" s="306"/>
      <c r="Y1422" s="306"/>
      <c r="Z1422" s="307"/>
      <c r="AA1422" s="306"/>
      <c r="AB1422" s="306"/>
      <c r="AC1422" s="306"/>
    </row>
    <row r="1423">
      <c r="A1423" s="306"/>
      <c r="B1423" s="306"/>
      <c r="C1423" s="306"/>
      <c r="D1423" s="305"/>
      <c r="E1423" s="306"/>
      <c r="F1423" s="306"/>
      <c r="G1423" s="306"/>
      <c r="H1423" s="306"/>
      <c r="I1423" s="306"/>
      <c r="J1423" s="306"/>
      <c r="K1423" s="307"/>
      <c r="L1423" s="306"/>
      <c r="M1423" s="306"/>
      <c r="N1423" s="306"/>
      <c r="O1423" s="306"/>
      <c r="P1423" s="306"/>
      <c r="Q1423" s="306"/>
      <c r="R1423" s="306"/>
      <c r="S1423" s="306"/>
      <c r="T1423" s="306"/>
      <c r="U1423" s="306"/>
      <c r="V1423" s="305"/>
      <c r="W1423" s="306"/>
      <c r="X1423" s="306"/>
      <c r="Y1423" s="306"/>
      <c r="Z1423" s="307"/>
      <c r="AA1423" s="306"/>
      <c r="AB1423" s="306"/>
      <c r="AC1423" s="306"/>
    </row>
    <row r="1424">
      <c r="A1424" s="306"/>
      <c r="B1424" s="306"/>
      <c r="C1424" s="306"/>
      <c r="D1424" s="305"/>
      <c r="E1424" s="306"/>
      <c r="F1424" s="306"/>
      <c r="G1424" s="306"/>
      <c r="H1424" s="306"/>
      <c r="I1424" s="306"/>
      <c r="J1424" s="306"/>
      <c r="K1424" s="307"/>
      <c r="L1424" s="306"/>
      <c r="M1424" s="306"/>
      <c r="N1424" s="306"/>
      <c r="O1424" s="306"/>
      <c r="P1424" s="306"/>
      <c r="Q1424" s="306"/>
      <c r="R1424" s="306"/>
      <c r="S1424" s="306"/>
      <c r="T1424" s="306"/>
      <c r="U1424" s="306"/>
      <c r="V1424" s="305"/>
      <c r="W1424" s="306"/>
      <c r="X1424" s="306"/>
      <c r="Y1424" s="306"/>
      <c r="Z1424" s="307"/>
      <c r="AA1424" s="306"/>
      <c r="AB1424" s="306"/>
      <c r="AC1424" s="306"/>
    </row>
    <row r="1425">
      <c r="A1425" s="306"/>
      <c r="B1425" s="306"/>
      <c r="C1425" s="306"/>
      <c r="D1425" s="305"/>
      <c r="E1425" s="306"/>
      <c r="F1425" s="306"/>
      <c r="G1425" s="306"/>
      <c r="H1425" s="306"/>
      <c r="I1425" s="306"/>
      <c r="J1425" s="306"/>
      <c r="K1425" s="307"/>
      <c r="L1425" s="306"/>
      <c r="M1425" s="306"/>
      <c r="N1425" s="306"/>
      <c r="O1425" s="306"/>
      <c r="P1425" s="306"/>
      <c r="Q1425" s="306"/>
      <c r="R1425" s="306"/>
      <c r="S1425" s="306"/>
      <c r="T1425" s="306"/>
      <c r="U1425" s="306"/>
      <c r="V1425" s="305"/>
      <c r="W1425" s="306"/>
      <c r="X1425" s="306"/>
      <c r="Y1425" s="306"/>
      <c r="Z1425" s="307"/>
      <c r="AA1425" s="306"/>
      <c r="AB1425" s="306"/>
      <c r="AC1425" s="306"/>
    </row>
    <row r="1426">
      <c r="A1426" s="306"/>
      <c r="B1426" s="306"/>
      <c r="C1426" s="306"/>
      <c r="D1426" s="305"/>
      <c r="E1426" s="306"/>
      <c r="F1426" s="306"/>
      <c r="G1426" s="306"/>
      <c r="H1426" s="306"/>
      <c r="I1426" s="306"/>
      <c r="J1426" s="306"/>
      <c r="K1426" s="307"/>
      <c r="L1426" s="306"/>
      <c r="M1426" s="306"/>
      <c r="N1426" s="306"/>
      <c r="O1426" s="306"/>
      <c r="P1426" s="306"/>
      <c r="Q1426" s="306"/>
      <c r="R1426" s="306"/>
      <c r="S1426" s="306"/>
      <c r="T1426" s="306"/>
      <c r="U1426" s="306"/>
      <c r="V1426" s="305"/>
      <c r="W1426" s="306"/>
      <c r="X1426" s="306"/>
      <c r="Y1426" s="306"/>
      <c r="Z1426" s="307"/>
      <c r="AA1426" s="306"/>
      <c r="AB1426" s="306"/>
      <c r="AC1426" s="306"/>
    </row>
    <row r="1427">
      <c r="A1427" s="306"/>
      <c r="B1427" s="306"/>
      <c r="C1427" s="306"/>
      <c r="D1427" s="305"/>
      <c r="E1427" s="306"/>
      <c r="F1427" s="306"/>
      <c r="G1427" s="306"/>
      <c r="H1427" s="306"/>
      <c r="I1427" s="306"/>
      <c r="J1427" s="306"/>
      <c r="K1427" s="307"/>
      <c r="L1427" s="306"/>
      <c r="M1427" s="306"/>
      <c r="N1427" s="306"/>
      <c r="O1427" s="306"/>
      <c r="P1427" s="306"/>
      <c r="Q1427" s="306"/>
      <c r="R1427" s="306"/>
      <c r="S1427" s="306"/>
      <c r="T1427" s="306"/>
      <c r="U1427" s="306"/>
      <c r="V1427" s="305"/>
      <c r="W1427" s="306"/>
      <c r="X1427" s="306"/>
      <c r="Y1427" s="306"/>
      <c r="Z1427" s="307"/>
      <c r="AA1427" s="306"/>
      <c r="AB1427" s="306"/>
      <c r="AC1427" s="306"/>
    </row>
    <row r="1428">
      <c r="A1428" s="306"/>
      <c r="B1428" s="306"/>
      <c r="C1428" s="306"/>
      <c r="D1428" s="305"/>
      <c r="E1428" s="306"/>
      <c r="F1428" s="306"/>
      <c r="G1428" s="306"/>
      <c r="H1428" s="306"/>
      <c r="I1428" s="306"/>
      <c r="J1428" s="306"/>
      <c r="K1428" s="307"/>
      <c r="L1428" s="306"/>
      <c r="M1428" s="306"/>
      <c r="N1428" s="306"/>
      <c r="O1428" s="306"/>
      <c r="P1428" s="306"/>
      <c r="Q1428" s="306"/>
      <c r="R1428" s="306"/>
      <c r="S1428" s="306"/>
      <c r="T1428" s="306"/>
      <c r="U1428" s="306"/>
      <c r="V1428" s="305"/>
      <c r="W1428" s="306"/>
      <c r="X1428" s="306"/>
      <c r="Y1428" s="306"/>
      <c r="Z1428" s="307"/>
      <c r="AA1428" s="306"/>
      <c r="AB1428" s="306"/>
      <c r="AC1428" s="306"/>
    </row>
    <row r="1429">
      <c r="A1429" s="306"/>
      <c r="B1429" s="306"/>
      <c r="C1429" s="306"/>
      <c r="D1429" s="305"/>
      <c r="E1429" s="306"/>
      <c r="F1429" s="306"/>
      <c r="G1429" s="306"/>
      <c r="H1429" s="306"/>
      <c r="I1429" s="306"/>
      <c r="J1429" s="306"/>
      <c r="K1429" s="307"/>
      <c r="L1429" s="306"/>
      <c r="M1429" s="306"/>
      <c r="N1429" s="306"/>
      <c r="O1429" s="306"/>
      <c r="P1429" s="306"/>
      <c r="Q1429" s="306"/>
      <c r="R1429" s="306"/>
      <c r="S1429" s="306"/>
      <c r="T1429" s="306"/>
      <c r="U1429" s="306"/>
      <c r="V1429" s="305"/>
      <c r="W1429" s="306"/>
      <c r="X1429" s="306"/>
      <c r="Y1429" s="306"/>
      <c r="Z1429" s="307"/>
      <c r="AA1429" s="306"/>
      <c r="AB1429" s="306"/>
      <c r="AC1429" s="306"/>
    </row>
    <row r="1430">
      <c r="A1430" s="306"/>
      <c r="B1430" s="306"/>
      <c r="C1430" s="306"/>
      <c r="D1430" s="305"/>
      <c r="E1430" s="306"/>
      <c r="F1430" s="306"/>
      <c r="G1430" s="306"/>
      <c r="H1430" s="306"/>
      <c r="I1430" s="306"/>
      <c r="J1430" s="306"/>
      <c r="K1430" s="307"/>
      <c r="L1430" s="306"/>
      <c r="M1430" s="306"/>
      <c r="N1430" s="306"/>
      <c r="O1430" s="306"/>
      <c r="P1430" s="306"/>
      <c r="Q1430" s="306"/>
      <c r="R1430" s="306"/>
      <c r="S1430" s="306"/>
      <c r="T1430" s="306"/>
      <c r="U1430" s="306"/>
      <c r="V1430" s="305"/>
      <c r="W1430" s="306"/>
      <c r="X1430" s="306"/>
      <c r="Y1430" s="306"/>
      <c r="Z1430" s="307"/>
      <c r="AA1430" s="306"/>
      <c r="AB1430" s="306"/>
      <c r="AC1430" s="306"/>
    </row>
    <row r="1431">
      <c r="A1431" s="306"/>
      <c r="B1431" s="306"/>
      <c r="C1431" s="306"/>
      <c r="D1431" s="305"/>
      <c r="E1431" s="306"/>
      <c r="F1431" s="306"/>
      <c r="G1431" s="306"/>
      <c r="H1431" s="306"/>
      <c r="I1431" s="306"/>
      <c r="J1431" s="306"/>
      <c r="K1431" s="307"/>
      <c r="L1431" s="306"/>
      <c r="M1431" s="306"/>
      <c r="N1431" s="306"/>
      <c r="O1431" s="306"/>
      <c r="P1431" s="306"/>
      <c r="Q1431" s="306"/>
      <c r="R1431" s="306"/>
      <c r="S1431" s="306"/>
      <c r="T1431" s="306"/>
      <c r="U1431" s="306"/>
      <c r="V1431" s="305"/>
      <c r="W1431" s="306"/>
      <c r="X1431" s="306"/>
      <c r="Y1431" s="306"/>
      <c r="Z1431" s="307"/>
      <c r="AA1431" s="306"/>
      <c r="AB1431" s="306"/>
      <c r="AC1431" s="306"/>
    </row>
    <row r="1432">
      <c r="A1432" s="306"/>
      <c r="B1432" s="306"/>
      <c r="C1432" s="306"/>
      <c r="D1432" s="305"/>
      <c r="E1432" s="306"/>
      <c r="F1432" s="306"/>
      <c r="G1432" s="306"/>
      <c r="H1432" s="306"/>
      <c r="I1432" s="306"/>
      <c r="J1432" s="306"/>
      <c r="K1432" s="307"/>
      <c r="L1432" s="306"/>
      <c r="M1432" s="306"/>
      <c r="N1432" s="306"/>
      <c r="O1432" s="306"/>
      <c r="P1432" s="306"/>
      <c r="Q1432" s="306"/>
      <c r="R1432" s="306"/>
      <c r="S1432" s="306"/>
      <c r="T1432" s="306"/>
      <c r="U1432" s="306"/>
      <c r="V1432" s="305"/>
      <c r="W1432" s="306"/>
      <c r="X1432" s="306"/>
      <c r="Y1432" s="306"/>
      <c r="Z1432" s="307"/>
      <c r="AA1432" s="306"/>
      <c r="AB1432" s="306"/>
      <c r="AC1432" s="306"/>
    </row>
    <row r="1433">
      <c r="A1433" s="306"/>
      <c r="B1433" s="306"/>
      <c r="C1433" s="306"/>
      <c r="D1433" s="305"/>
      <c r="E1433" s="306"/>
      <c r="F1433" s="306"/>
      <c r="G1433" s="306"/>
      <c r="H1433" s="306"/>
      <c r="I1433" s="306"/>
      <c r="J1433" s="306"/>
      <c r="K1433" s="307"/>
      <c r="L1433" s="306"/>
      <c r="M1433" s="306"/>
      <c r="N1433" s="306"/>
      <c r="O1433" s="306"/>
      <c r="P1433" s="306"/>
      <c r="Q1433" s="306"/>
      <c r="R1433" s="306"/>
      <c r="S1433" s="306"/>
      <c r="T1433" s="306"/>
      <c r="U1433" s="306"/>
      <c r="V1433" s="305"/>
      <c r="W1433" s="306"/>
      <c r="X1433" s="306"/>
      <c r="Y1433" s="306"/>
      <c r="Z1433" s="307"/>
      <c r="AA1433" s="306"/>
      <c r="AB1433" s="306"/>
      <c r="AC1433" s="306"/>
    </row>
    <row r="1434">
      <c r="A1434" s="306"/>
      <c r="B1434" s="306"/>
      <c r="C1434" s="306"/>
      <c r="D1434" s="305"/>
      <c r="E1434" s="306"/>
      <c r="F1434" s="306"/>
      <c r="G1434" s="306"/>
      <c r="H1434" s="306"/>
      <c r="I1434" s="306"/>
      <c r="J1434" s="306"/>
      <c r="K1434" s="307"/>
      <c r="L1434" s="306"/>
      <c r="M1434" s="306"/>
      <c r="N1434" s="306"/>
      <c r="O1434" s="306"/>
      <c r="P1434" s="306"/>
      <c r="Q1434" s="306"/>
      <c r="R1434" s="306"/>
      <c r="S1434" s="306"/>
      <c r="T1434" s="306"/>
      <c r="U1434" s="306"/>
      <c r="V1434" s="305"/>
      <c r="W1434" s="306"/>
      <c r="X1434" s="306"/>
      <c r="Y1434" s="306"/>
      <c r="Z1434" s="307"/>
      <c r="AA1434" s="306"/>
      <c r="AB1434" s="306"/>
      <c r="AC1434" s="306"/>
    </row>
    <row r="1435">
      <c r="A1435" s="306"/>
      <c r="B1435" s="306"/>
      <c r="C1435" s="306"/>
      <c r="D1435" s="305"/>
      <c r="E1435" s="306"/>
      <c r="F1435" s="306"/>
      <c r="G1435" s="306"/>
      <c r="H1435" s="306"/>
      <c r="I1435" s="306"/>
      <c r="J1435" s="306"/>
      <c r="K1435" s="307"/>
      <c r="L1435" s="306"/>
      <c r="M1435" s="306"/>
      <c r="N1435" s="306"/>
      <c r="O1435" s="306"/>
      <c r="P1435" s="306"/>
      <c r="Q1435" s="306"/>
      <c r="R1435" s="306"/>
      <c r="S1435" s="306"/>
      <c r="T1435" s="306"/>
      <c r="U1435" s="306"/>
      <c r="V1435" s="305"/>
      <c r="W1435" s="306"/>
      <c r="X1435" s="306"/>
      <c r="Y1435" s="306"/>
      <c r="Z1435" s="307"/>
      <c r="AA1435" s="306"/>
      <c r="AB1435" s="306"/>
      <c r="AC1435" s="306"/>
    </row>
    <row r="1436">
      <c r="A1436" s="306"/>
      <c r="B1436" s="306"/>
      <c r="C1436" s="306"/>
      <c r="D1436" s="305"/>
      <c r="E1436" s="306"/>
      <c r="F1436" s="306"/>
      <c r="G1436" s="306"/>
      <c r="H1436" s="306"/>
      <c r="I1436" s="306"/>
      <c r="J1436" s="306"/>
      <c r="K1436" s="307"/>
      <c r="L1436" s="306"/>
      <c r="M1436" s="306"/>
      <c r="N1436" s="306"/>
      <c r="O1436" s="306"/>
      <c r="P1436" s="306"/>
      <c r="Q1436" s="306"/>
      <c r="R1436" s="306"/>
      <c r="S1436" s="306"/>
      <c r="T1436" s="306"/>
      <c r="U1436" s="306"/>
      <c r="V1436" s="305"/>
      <c r="W1436" s="306"/>
      <c r="X1436" s="306"/>
      <c r="Y1436" s="306"/>
      <c r="Z1436" s="307"/>
      <c r="AA1436" s="306"/>
      <c r="AB1436" s="306"/>
      <c r="AC1436" s="306"/>
    </row>
    <row r="1437">
      <c r="A1437" s="306"/>
      <c r="B1437" s="306"/>
      <c r="C1437" s="306"/>
      <c r="D1437" s="305"/>
      <c r="E1437" s="306"/>
      <c r="F1437" s="306"/>
      <c r="G1437" s="306"/>
      <c r="H1437" s="306"/>
      <c r="I1437" s="306"/>
      <c r="J1437" s="306"/>
      <c r="K1437" s="307"/>
      <c r="L1437" s="306"/>
      <c r="M1437" s="306"/>
      <c r="N1437" s="306"/>
      <c r="O1437" s="306"/>
      <c r="P1437" s="306"/>
      <c r="Q1437" s="306"/>
      <c r="R1437" s="306"/>
      <c r="S1437" s="306"/>
      <c r="T1437" s="306"/>
      <c r="U1437" s="306"/>
      <c r="V1437" s="305"/>
      <c r="W1437" s="306"/>
      <c r="X1437" s="306"/>
      <c r="Y1437" s="306"/>
      <c r="Z1437" s="307"/>
      <c r="AA1437" s="306"/>
      <c r="AB1437" s="306"/>
      <c r="AC1437" s="306"/>
    </row>
    <row r="1438">
      <c r="A1438" s="306"/>
      <c r="B1438" s="306"/>
      <c r="C1438" s="306"/>
      <c r="D1438" s="305"/>
      <c r="E1438" s="306"/>
      <c r="F1438" s="306"/>
      <c r="G1438" s="306"/>
      <c r="H1438" s="306"/>
      <c r="I1438" s="306"/>
      <c r="J1438" s="306"/>
      <c r="K1438" s="307"/>
      <c r="L1438" s="306"/>
      <c r="M1438" s="306"/>
      <c r="N1438" s="306"/>
      <c r="O1438" s="306"/>
      <c r="P1438" s="306"/>
      <c r="Q1438" s="306"/>
      <c r="R1438" s="306"/>
      <c r="S1438" s="306"/>
      <c r="T1438" s="306"/>
      <c r="U1438" s="306"/>
      <c r="V1438" s="305"/>
      <c r="W1438" s="306"/>
      <c r="X1438" s="306"/>
      <c r="Y1438" s="306"/>
      <c r="Z1438" s="307"/>
      <c r="AA1438" s="306"/>
      <c r="AB1438" s="306"/>
      <c r="AC1438" s="306"/>
    </row>
    <row r="1439">
      <c r="A1439" s="306"/>
      <c r="B1439" s="306"/>
      <c r="C1439" s="306"/>
      <c r="D1439" s="305"/>
      <c r="E1439" s="306"/>
      <c r="F1439" s="306"/>
      <c r="G1439" s="306"/>
      <c r="H1439" s="306"/>
      <c r="I1439" s="306"/>
      <c r="J1439" s="306"/>
      <c r="K1439" s="307"/>
      <c r="L1439" s="306"/>
      <c r="M1439" s="306"/>
      <c r="N1439" s="306"/>
      <c r="O1439" s="306"/>
      <c r="P1439" s="306"/>
      <c r="Q1439" s="306"/>
      <c r="R1439" s="306"/>
      <c r="S1439" s="306"/>
      <c r="T1439" s="306"/>
      <c r="U1439" s="306"/>
      <c r="V1439" s="305"/>
      <c r="W1439" s="306"/>
      <c r="X1439" s="306"/>
      <c r="Y1439" s="306"/>
      <c r="Z1439" s="307"/>
      <c r="AA1439" s="306"/>
      <c r="AB1439" s="306"/>
      <c r="AC1439" s="306"/>
    </row>
    <row r="1440">
      <c r="A1440" s="306"/>
      <c r="B1440" s="306"/>
      <c r="C1440" s="306"/>
      <c r="D1440" s="305"/>
      <c r="E1440" s="306"/>
      <c r="F1440" s="306"/>
      <c r="G1440" s="306"/>
      <c r="H1440" s="306"/>
      <c r="I1440" s="306"/>
      <c r="J1440" s="306"/>
      <c r="K1440" s="307"/>
      <c r="L1440" s="306"/>
      <c r="M1440" s="306"/>
      <c r="N1440" s="306"/>
      <c r="O1440" s="306"/>
      <c r="P1440" s="306"/>
      <c r="Q1440" s="306"/>
      <c r="R1440" s="306"/>
      <c r="S1440" s="306"/>
      <c r="T1440" s="306"/>
      <c r="U1440" s="306"/>
      <c r="V1440" s="305"/>
      <c r="W1440" s="306"/>
      <c r="X1440" s="306"/>
      <c r="Y1440" s="306"/>
      <c r="Z1440" s="307"/>
      <c r="AA1440" s="306"/>
      <c r="AB1440" s="306"/>
      <c r="AC1440" s="306"/>
    </row>
    <row r="1441">
      <c r="A1441" s="306"/>
      <c r="B1441" s="306"/>
      <c r="C1441" s="306"/>
      <c r="D1441" s="305"/>
      <c r="E1441" s="306"/>
      <c r="F1441" s="306"/>
      <c r="G1441" s="306"/>
      <c r="H1441" s="306"/>
      <c r="I1441" s="306"/>
      <c r="J1441" s="306"/>
      <c r="K1441" s="307"/>
      <c r="L1441" s="306"/>
      <c r="M1441" s="306"/>
      <c r="N1441" s="306"/>
      <c r="O1441" s="306"/>
      <c r="P1441" s="306"/>
      <c r="Q1441" s="306"/>
      <c r="R1441" s="306"/>
      <c r="S1441" s="306"/>
      <c r="T1441" s="306"/>
      <c r="U1441" s="306"/>
      <c r="V1441" s="305"/>
      <c r="W1441" s="306"/>
      <c r="X1441" s="306"/>
      <c r="Y1441" s="306"/>
      <c r="Z1441" s="307"/>
      <c r="AA1441" s="306"/>
      <c r="AB1441" s="306"/>
      <c r="AC1441" s="306"/>
    </row>
    <row r="1442">
      <c r="A1442" s="306"/>
      <c r="B1442" s="306"/>
      <c r="C1442" s="306"/>
      <c r="D1442" s="305"/>
      <c r="E1442" s="306"/>
      <c r="F1442" s="306"/>
      <c r="G1442" s="306"/>
      <c r="H1442" s="306"/>
      <c r="I1442" s="306"/>
      <c r="J1442" s="306"/>
      <c r="K1442" s="307"/>
      <c r="L1442" s="306"/>
      <c r="M1442" s="306"/>
      <c r="N1442" s="306"/>
      <c r="O1442" s="306"/>
      <c r="P1442" s="306"/>
      <c r="Q1442" s="306"/>
      <c r="R1442" s="306"/>
      <c r="S1442" s="306"/>
      <c r="T1442" s="306"/>
      <c r="U1442" s="306"/>
      <c r="V1442" s="305"/>
      <c r="W1442" s="306"/>
      <c r="X1442" s="306"/>
      <c r="Y1442" s="306"/>
      <c r="Z1442" s="307"/>
      <c r="AA1442" s="306"/>
      <c r="AB1442" s="306"/>
      <c r="AC1442" s="306"/>
    </row>
    <row r="1443">
      <c r="A1443" s="306"/>
      <c r="B1443" s="306"/>
      <c r="C1443" s="306"/>
      <c r="D1443" s="305"/>
      <c r="E1443" s="306"/>
      <c r="F1443" s="306"/>
      <c r="G1443" s="306"/>
      <c r="H1443" s="306"/>
      <c r="I1443" s="306"/>
      <c r="J1443" s="306"/>
      <c r="K1443" s="307"/>
      <c r="L1443" s="306"/>
      <c r="M1443" s="306"/>
      <c r="N1443" s="306"/>
      <c r="O1443" s="306"/>
      <c r="P1443" s="306"/>
      <c r="Q1443" s="306"/>
      <c r="R1443" s="306"/>
      <c r="S1443" s="306"/>
      <c r="T1443" s="306"/>
      <c r="U1443" s="306"/>
      <c r="V1443" s="305"/>
      <c r="W1443" s="306"/>
      <c r="X1443" s="306"/>
      <c r="Y1443" s="306"/>
      <c r="Z1443" s="307"/>
      <c r="AA1443" s="306"/>
      <c r="AB1443" s="306"/>
      <c r="AC1443" s="306"/>
    </row>
    <row r="1444">
      <c r="A1444" s="306"/>
      <c r="B1444" s="306"/>
      <c r="C1444" s="306"/>
      <c r="D1444" s="305"/>
      <c r="E1444" s="306"/>
      <c r="F1444" s="306"/>
      <c r="G1444" s="306"/>
      <c r="H1444" s="306"/>
      <c r="I1444" s="306"/>
      <c r="J1444" s="306"/>
      <c r="K1444" s="307"/>
      <c r="L1444" s="306"/>
      <c r="M1444" s="306"/>
      <c r="N1444" s="306"/>
      <c r="O1444" s="306"/>
      <c r="P1444" s="306"/>
      <c r="Q1444" s="306"/>
      <c r="R1444" s="306"/>
      <c r="S1444" s="306"/>
      <c r="T1444" s="306"/>
      <c r="U1444" s="306"/>
      <c r="V1444" s="305"/>
      <c r="W1444" s="306"/>
      <c r="X1444" s="306"/>
      <c r="Y1444" s="306"/>
      <c r="Z1444" s="307"/>
      <c r="AA1444" s="306"/>
      <c r="AB1444" s="306"/>
      <c r="AC1444" s="306"/>
    </row>
    <row r="1445">
      <c r="A1445" s="306"/>
      <c r="B1445" s="306"/>
      <c r="C1445" s="306"/>
      <c r="D1445" s="305"/>
      <c r="E1445" s="306"/>
      <c r="F1445" s="306"/>
      <c r="G1445" s="306"/>
      <c r="H1445" s="306"/>
      <c r="I1445" s="306"/>
      <c r="J1445" s="306"/>
      <c r="K1445" s="307"/>
      <c r="L1445" s="306"/>
      <c r="M1445" s="306"/>
      <c r="N1445" s="306"/>
      <c r="O1445" s="306"/>
      <c r="P1445" s="306"/>
      <c r="Q1445" s="306"/>
      <c r="R1445" s="306"/>
      <c r="S1445" s="306"/>
      <c r="T1445" s="306"/>
      <c r="U1445" s="306"/>
      <c r="V1445" s="305"/>
      <c r="W1445" s="306"/>
      <c r="X1445" s="306"/>
      <c r="Y1445" s="306"/>
      <c r="Z1445" s="307"/>
      <c r="AA1445" s="306"/>
      <c r="AB1445" s="306"/>
      <c r="AC1445" s="306"/>
    </row>
    <row r="1446">
      <c r="A1446" s="306"/>
      <c r="B1446" s="306"/>
      <c r="C1446" s="306"/>
      <c r="D1446" s="305"/>
      <c r="E1446" s="306"/>
      <c r="F1446" s="306"/>
      <c r="G1446" s="306"/>
      <c r="H1446" s="306"/>
      <c r="I1446" s="306"/>
      <c r="J1446" s="306"/>
      <c r="K1446" s="307"/>
      <c r="L1446" s="306"/>
      <c r="M1446" s="306"/>
      <c r="N1446" s="306"/>
      <c r="O1446" s="306"/>
      <c r="P1446" s="306"/>
      <c r="Q1446" s="306"/>
      <c r="R1446" s="306"/>
      <c r="S1446" s="306"/>
      <c r="T1446" s="306"/>
      <c r="U1446" s="306"/>
      <c r="V1446" s="305"/>
      <c r="W1446" s="306"/>
      <c r="X1446" s="306"/>
      <c r="Y1446" s="306"/>
      <c r="Z1446" s="307"/>
      <c r="AA1446" s="306"/>
      <c r="AB1446" s="306"/>
      <c r="AC1446" s="306"/>
    </row>
    <row r="1447">
      <c r="A1447" s="306"/>
      <c r="B1447" s="306"/>
      <c r="C1447" s="306"/>
      <c r="D1447" s="305"/>
      <c r="E1447" s="306"/>
      <c r="F1447" s="306"/>
      <c r="G1447" s="306"/>
      <c r="H1447" s="306"/>
      <c r="I1447" s="306"/>
      <c r="J1447" s="306"/>
      <c r="K1447" s="307"/>
      <c r="L1447" s="306"/>
      <c r="M1447" s="306"/>
      <c r="N1447" s="306"/>
      <c r="O1447" s="306"/>
      <c r="P1447" s="306"/>
      <c r="Q1447" s="306"/>
      <c r="R1447" s="306"/>
      <c r="S1447" s="306"/>
      <c r="T1447" s="306"/>
      <c r="U1447" s="306"/>
      <c r="V1447" s="305"/>
      <c r="W1447" s="306"/>
      <c r="X1447" s="306"/>
      <c r="Y1447" s="306"/>
      <c r="Z1447" s="307"/>
      <c r="AA1447" s="306"/>
      <c r="AB1447" s="306"/>
      <c r="AC1447" s="306"/>
    </row>
    <row r="1448">
      <c r="A1448" s="306"/>
      <c r="B1448" s="306"/>
      <c r="C1448" s="306"/>
      <c r="D1448" s="305"/>
      <c r="E1448" s="306"/>
      <c r="F1448" s="306"/>
      <c r="G1448" s="306"/>
      <c r="H1448" s="306"/>
      <c r="I1448" s="306"/>
      <c r="J1448" s="306"/>
      <c r="K1448" s="307"/>
      <c r="L1448" s="306"/>
      <c r="M1448" s="306"/>
      <c r="N1448" s="306"/>
      <c r="O1448" s="306"/>
      <c r="P1448" s="306"/>
      <c r="Q1448" s="306"/>
      <c r="R1448" s="306"/>
      <c r="S1448" s="306"/>
      <c r="T1448" s="306"/>
      <c r="U1448" s="306"/>
      <c r="V1448" s="305"/>
      <c r="W1448" s="306"/>
      <c r="X1448" s="306"/>
      <c r="Y1448" s="306"/>
      <c r="Z1448" s="307"/>
      <c r="AA1448" s="306"/>
      <c r="AB1448" s="306"/>
      <c r="AC1448" s="306"/>
    </row>
    <row r="1449">
      <c r="A1449" s="306"/>
      <c r="B1449" s="306"/>
      <c r="C1449" s="306"/>
      <c r="D1449" s="305"/>
      <c r="E1449" s="306"/>
      <c r="F1449" s="306"/>
      <c r="G1449" s="306"/>
      <c r="H1449" s="306"/>
      <c r="I1449" s="306"/>
      <c r="J1449" s="306"/>
      <c r="K1449" s="307"/>
      <c r="L1449" s="306"/>
      <c r="M1449" s="306"/>
      <c r="N1449" s="306"/>
      <c r="O1449" s="306"/>
      <c r="P1449" s="306"/>
      <c r="Q1449" s="306"/>
      <c r="R1449" s="306"/>
      <c r="S1449" s="306"/>
      <c r="T1449" s="306"/>
      <c r="U1449" s="306"/>
      <c r="V1449" s="305"/>
      <c r="W1449" s="306"/>
      <c r="X1449" s="306"/>
      <c r="Y1449" s="306"/>
      <c r="Z1449" s="307"/>
      <c r="AA1449" s="306"/>
      <c r="AB1449" s="306"/>
      <c r="AC1449" s="306"/>
    </row>
    <row r="1450">
      <c r="A1450" s="306"/>
      <c r="B1450" s="306"/>
      <c r="C1450" s="306"/>
      <c r="D1450" s="305"/>
      <c r="E1450" s="306"/>
      <c r="F1450" s="306"/>
      <c r="G1450" s="306"/>
      <c r="H1450" s="306"/>
      <c r="I1450" s="306"/>
      <c r="J1450" s="306"/>
      <c r="K1450" s="307"/>
      <c r="L1450" s="306"/>
      <c r="M1450" s="306"/>
      <c r="N1450" s="306"/>
      <c r="O1450" s="306"/>
      <c r="P1450" s="306"/>
      <c r="Q1450" s="306"/>
      <c r="R1450" s="306"/>
      <c r="S1450" s="306"/>
      <c r="T1450" s="306"/>
      <c r="U1450" s="306"/>
      <c r="V1450" s="305"/>
      <c r="W1450" s="306"/>
      <c r="X1450" s="306"/>
      <c r="Y1450" s="306"/>
      <c r="Z1450" s="307"/>
      <c r="AA1450" s="306"/>
      <c r="AB1450" s="306"/>
      <c r="AC1450" s="306"/>
    </row>
    <row r="1451">
      <c r="A1451" s="306"/>
      <c r="B1451" s="306"/>
      <c r="C1451" s="306"/>
      <c r="D1451" s="305"/>
      <c r="E1451" s="306"/>
      <c r="F1451" s="306"/>
      <c r="G1451" s="306"/>
      <c r="H1451" s="306"/>
      <c r="I1451" s="306"/>
      <c r="J1451" s="306"/>
      <c r="K1451" s="307"/>
      <c r="L1451" s="306"/>
      <c r="M1451" s="306"/>
      <c r="N1451" s="306"/>
      <c r="O1451" s="306"/>
      <c r="P1451" s="306"/>
      <c r="Q1451" s="306"/>
      <c r="R1451" s="306"/>
      <c r="S1451" s="306"/>
      <c r="T1451" s="306"/>
      <c r="U1451" s="306"/>
      <c r="V1451" s="305"/>
      <c r="W1451" s="306"/>
      <c r="X1451" s="306"/>
      <c r="Y1451" s="306"/>
      <c r="Z1451" s="307"/>
      <c r="AA1451" s="306"/>
      <c r="AB1451" s="306"/>
      <c r="AC1451" s="306"/>
    </row>
    <row r="1452">
      <c r="A1452" s="306"/>
      <c r="B1452" s="306"/>
      <c r="C1452" s="306"/>
      <c r="D1452" s="305"/>
      <c r="E1452" s="306"/>
      <c r="F1452" s="306"/>
      <c r="G1452" s="306"/>
      <c r="H1452" s="306"/>
      <c r="I1452" s="306"/>
      <c r="J1452" s="306"/>
      <c r="K1452" s="307"/>
      <c r="L1452" s="306"/>
      <c r="M1452" s="306"/>
      <c r="N1452" s="306"/>
      <c r="O1452" s="306"/>
      <c r="P1452" s="306"/>
      <c r="Q1452" s="306"/>
      <c r="R1452" s="306"/>
      <c r="S1452" s="306"/>
      <c r="T1452" s="306"/>
      <c r="U1452" s="306"/>
      <c r="V1452" s="305"/>
      <c r="W1452" s="306"/>
      <c r="X1452" s="306"/>
      <c r="Y1452" s="306"/>
      <c r="Z1452" s="307"/>
      <c r="AA1452" s="306"/>
      <c r="AB1452" s="306"/>
      <c r="AC1452" s="306"/>
    </row>
    <row r="1453">
      <c r="A1453" s="306"/>
      <c r="B1453" s="306"/>
      <c r="C1453" s="306"/>
      <c r="D1453" s="305"/>
      <c r="E1453" s="306"/>
      <c r="F1453" s="306"/>
      <c r="G1453" s="306"/>
      <c r="H1453" s="306"/>
      <c r="I1453" s="306"/>
      <c r="J1453" s="306"/>
      <c r="K1453" s="307"/>
      <c r="L1453" s="306"/>
      <c r="M1453" s="306"/>
      <c r="N1453" s="306"/>
      <c r="O1453" s="306"/>
      <c r="P1453" s="306"/>
      <c r="Q1453" s="306"/>
      <c r="R1453" s="306"/>
      <c r="S1453" s="306"/>
      <c r="T1453" s="306"/>
      <c r="U1453" s="306"/>
      <c r="V1453" s="305"/>
      <c r="W1453" s="306"/>
      <c r="X1453" s="306"/>
      <c r="Y1453" s="306"/>
      <c r="Z1453" s="307"/>
      <c r="AA1453" s="306"/>
      <c r="AB1453" s="306"/>
      <c r="AC1453" s="306"/>
    </row>
    <row r="1454">
      <c r="A1454" s="306"/>
      <c r="B1454" s="306"/>
      <c r="C1454" s="306"/>
      <c r="D1454" s="305"/>
      <c r="E1454" s="306"/>
      <c r="F1454" s="306"/>
      <c r="G1454" s="306"/>
      <c r="H1454" s="306"/>
      <c r="I1454" s="306"/>
      <c r="J1454" s="306"/>
      <c r="K1454" s="307"/>
      <c r="L1454" s="306"/>
      <c r="M1454" s="306"/>
      <c r="N1454" s="306"/>
      <c r="O1454" s="306"/>
      <c r="P1454" s="306"/>
      <c r="Q1454" s="306"/>
      <c r="R1454" s="306"/>
      <c r="S1454" s="306"/>
      <c r="T1454" s="306"/>
      <c r="U1454" s="306"/>
      <c r="V1454" s="305"/>
      <c r="W1454" s="306"/>
      <c r="X1454" s="306"/>
      <c r="Y1454" s="306"/>
      <c r="Z1454" s="307"/>
      <c r="AA1454" s="306"/>
      <c r="AB1454" s="306"/>
      <c r="AC1454" s="306"/>
    </row>
    <row r="1455">
      <c r="A1455" s="306"/>
      <c r="B1455" s="306"/>
      <c r="C1455" s="306"/>
      <c r="D1455" s="305"/>
      <c r="E1455" s="306"/>
      <c r="F1455" s="306"/>
      <c r="G1455" s="306"/>
      <c r="H1455" s="306"/>
      <c r="I1455" s="306"/>
      <c r="J1455" s="306"/>
      <c r="K1455" s="307"/>
      <c r="L1455" s="306"/>
      <c r="M1455" s="306"/>
      <c r="N1455" s="306"/>
      <c r="O1455" s="306"/>
      <c r="P1455" s="306"/>
      <c r="Q1455" s="306"/>
      <c r="R1455" s="306"/>
      <c r="S1455" s="306"/>
      <c r="T1455" s="306"/>
      <c r="U1455" s="306"/>
      <c r="V1455" s="305"/>
      <c r="W1455" s="306"/>
      <c r="X1455" s="306"/>
      <c r="Y1455" s="306"/>
      <c r="Z1455" s="307"/>
      <c r="AA1455" s="306"/>
      <c r="AB1455" s="306"/>
      <c r="AC1455" s="306"/>
    </row>
    <row r="1456">
      <c r="A1456" s="306"/>
      <c r="B1456" s="306"/>
      <c r="C1456" s="306"/>
      <c r="D1456" s="305"/>
      <c r="E1456" s="306"/>
      <c r="F1456" s="306"/>
      <c r="G1456" s="306"/>
      <c r="H1456" s="306"/>
      <c r="I1456" s="306"/>
      <c r="J1456" s="306"/>
      <c r="K1456" s="307"/>
      <c r="L1456" s="306"/>
      <c r="M1456" s="306"/>
      <c r="N1456" s="306"/>
      <c r="O1456" s="306"/>
      <c r="P1456" s="306"/>
      <c r="Q1456" s="306"/>
      <c r="R1456" s="306"/>
      <c r="S1456" s="306"/>
      <c r="T1456" s="306"/>
      <c r="U1456" s="306"/>
      <c r="V1456" s="305"/>
      <c r="W1456" s="306"/>
      <c r="X1456" s="306"/>
      <c r="Y1456" s="306"/>
      <c r="Z1456" s="307"/>
      <c r="AA1456" s="306"/>
      <c r="AB1456" s="306"/>
      <c r="AC1456" s="306"/>
    </row>
    <row r="1457">
      <c r="A1457" s="306"/>
      <c r="B1457" s="306"/>
      <c r="C1457" s="306"/>
      <c r="D1457" s="305"/>
      <c r="E1457" s="306"/>
      <c r="F1457" s="306"/>
      <c r="G1457" s="306"/>
      <c r="H1457" s="306"/>
      <c r="I1457" s="306"/>
      <c r="J1457" s="306"/>
      <c r="K1457" s="307"/>
      <c r="L1457" s="306"/>
      <c r="M1457" s="306"/>
      <c r="N1457" s="306"/>
      <c r="O1457" s="306"/>
      <c r="P1457" s="306"/>
      <c r="Q1457" s="306"/>
      <c r="R1457" s="306"/>
      <c r="S1457" s="306"/>
      <c r="T1457" s="306"/>
      <c r="U1457" s="306"/>
      <c r="V1457" s="305"/>
      <c r="W1457" s="306"/>
      <c r="X1457" s="306"/>
      <c r="Y1457" s="306"/>
      <c r="Z1457" s="307"/>
      <c r="AA1457" s="306"/>
      <c r="AB1457" s="306"/>
      <c r="AC1457" s="306"/>
    </row>
    <row r="1458">
      <c r="A1458" s="306"/>
      <c r="B1458" s="306"/>
      <c r="C1458" s="306"/>
      <c r="D1458" s="305"/>
      <c r="E1458" s="306"/>
      <c r="F1458" s="306"/>
      <c r="G1458" s="306"/>
      <c r="H1458" s="306"/>
      <c r="I1458" s="306"/>
      <c r="J1458" s="306"/>
      <c r="K1458" s="307"/>
      <c r="L1458" s="306"/>
      <c r="M1458" s="306"/>
      <c r="N1458" s="306"/>
      <c r="O1458" s="306"/>
      <c r="P1458" s="306"/>
      <c r="Q1458" s="306"/>
      <c r="R1458" s="306"/>
      <c r="S1458" s="306"/>
      <c r="T1458" s="306"/>
      <c r="U1458" s="306"/>
      <c r="V1458" s="305"/>
      <c r="W1458" s="306"/>
      <c r="X1458" s="306"/>
      <c r="Y1458" s="306"/>
      <c r="Z1458" s="307"/>
      <c r="AA1458" s="306"/>
      <c r="AB1458" s="306"/>
      <c r="AC1458" s="306"/>
    </row>
    <row r="1459">
      <c r="A1459" s="306"/>
      <c r="B1459" s="306"/>
      <c r="C1459" s="306"/>
      <c r="D1459" s="305"/>
      <c r="E1459" s="306"/>
      <c r="F1459" s="306"/>
      <c r="G1459" s="306"/>
      <c r="H1459" s="306"/>
      <c r="I1459" s="306"/>
      <c r="J1459" s="306"/>
      <c r="K1459" s="307"/>
      <c r="L1459" s="306"/>
      <c r="M1459" s="306"/>
      <c r="N1459" s="306"/>
      <c r="O1459" s="306"/>
      <c r="P1459" s="306"/>
      <c r="Q1459" s="306"/>
      <c r="R1459" s="306"/>
      <c r="S1459" s="306"/>
      <c r="T1459" s="306"/>
      <c r="U1459" s="306"/>
      <c r="V1459" s="305"/>
      <c r="W1459" s="306"/>
      <c r="X1459" s="306"/>
      <c r="Y1459" s="306"/>
      <c r="Z1459" s="307"/>
      <c r="AA1459" s="306"/>
      <c r="AB1459" s="306"/>
      <c r="AC1459" s="306"/>
    </row>
    <row r="1460">
      <c r="A1460" s="306"/>
      <c r="B1460" s="306"/>
      <c r="C1460" s="306"/>
      <c r="D1460" s="305"/>
      <c r="E1460" s="306"/>
      <c r="F1460" s="306"/>
      <c r="G1460" s="306"/>
      <c r="H1460" s="306"/>
      <c r="I1460" s="306"/>
      <c r="J1460" s="306"/>
      <c r="K1460" s="307"/>
      <c r="L1460" s="306"/>
      <c r="M1460" s="306"/>
      <c r="N1460" s="306"/>
      <c r="O1460" s="306"/>
      <c r="P1460" s="306"/>
      <c r="Q1460" s="306"/>
      <c r="R1460" s="306"/>
      <c r="S1460" s="306"/>
      <c r="T1460" s="306"/>
      <c r="U1460" s="306"/>
      <c r="V1460" s="305"/>
      <c r="W1460" s="306"/>
      <c r="X1460" s="306"/>
      <c r="Y1460" s="306"/>
      <c r="Z1460" s="307"/>
      <c r="AA1460" s="306"/>
      <c r="AB1460" s="306"/>
      <c r="AC1460" s="306"/>
    </row>
    <row r="1461">
      <c r="A1461" s="306"/>
      <c r="B1461" s="306"/>
      <c r="C1461" s="306"/>
      <c r="D1461" s="305"/>
      <c r="E1461" s="306"/>
      <c r="F1461" s="306"/>
      <c r="G1461" s="306"/>
      <c r="H1461" s="306"/>
      <c r="I1461" s="306"/>
      <c r="J1461" s="306"/>
      <c r="K1461" s="307"/>
      <c r="L1461" s="306"/>
      <c r="M1461" s="306"/>
      <c r="N1461" s="306"/>
      <c r="O1461" s="306"/>
      <c r="P1461" s="306"/>
      <c r="Q1461" s="306"/>
      <c r="R1461" s="306"/>
      <c r="S1461" s="306"/>
      <c r="T1461" s="306"/>
      <c r="U1461" s="306"/>
      <c r="V1461" s="305"/>
      <c r="W1461" s="306"/>
      <c r="X1461" s="306"/>
      <c r="Y1461" s="306"/>
      <c r="Z1461" s="307"/>
      <c r="AA1461" s="306"/>
      <c r="AB1461" s="306"/>
      <c r="AC1461" s="306"/>
    </row>
    <row r="1462">
      <c r="A1462" s="306"/>
      <c r="B1462" s="306"/>
      <c r="C1462" s="306"/>
      <c r="D1462" s="305"/>
      <c r="E1462" s="306"/>
      <c r="F1462" s="306"/>
      <c r="G1462" s="306"/>
      <c r="H1462" s="306"/>
      <c r="I1462" s="306"/>
      <c r="J1462" s="306"/>
      <c r="K1462" s="307"/>
      <c r="L1462" s="306"/>
      <c r="M1462" s="306"/>
      <c r="N1462" s="306"/>
      <c r="O1462" s="306"/>
      <c r="P1462" s="306"/>
      <c r="Q1462" s="306"/>
      <c r="R1462" s="306"/>
      <c r="S1462" s="306"/>
      <c r="T1462" s="306"/>
      <c r="U1462" s="306"/>
      <c r="V1462" s="305"/>
      <c r="W1462" s="306"/>
      <c r="X1462" s="306"/>
      <c r="Y1462" s="306"/>
      <c r="Z1462" s="307"/>
      <c r="AA1462" s="306"/>
      <c r="AB1462" s="306"/>
      <c r="AC1462" s="306"/>
    </row>
    <row r="1463">
      <c r="A1463" s="306"/>
      <c r="B1463" s="306"/>
      <c r="C1463" s="306"/>
      <c r="D1463" s="305"/>
      <c r="E1463" s="306"/>
      <c r="F1463" s="306"/>
      <c r="G1463" s="306"/>
      <c r="H1463" s="306"/>
      <c r="I1463" s="306"/>
      <c r="J1463" s="306"/>
      <c r="K1463" s="307"/>
      <c r="L1463" s="306"/>
      <c r="M1463" s="306"/>
      <c r="N1463" s="306"/>
      <c r="O1463" s="306"/>
      <c r="P1463" s="306"/>
      <c r="Q1463" s="306"/>
      <c r="R1463" s="306"/>
      <c r="S1463" s="306"/>
      <c r="T1463" s="306"/>
      <c r="U1463" s="306"/>
      <c r="V1463" s="305"/>
      <c r="W1463" s="306"/>
      <c r="X1463" s="306"/>
      <c r="Y1463" s="306"/>
      <c r="Z1463" s="307"/>
      <c r="AA1463" s="306"/>
      <c r="AB1463" s="306"/>
      <c r="AC1463" s="306"/>
    </row>
    <row r="1464">
      <c r="A1464" s="306"/>
      <c r="B1464" s="306"/>
      <c r="C1464" s="306"/>
      <c r="D1464" s="305"/>
      <c r="E1464" s="306"/>
      <c r="F1464" s="306"/>
      <c r="G1464" s="306"/>
      <c r="H1464" s="306"/>
      <c r="I1464" s="306"/>
      <c r="J1464" s="306"/>
      <c r="K1464" s="307"/>
      <c r="L1464" s="306"/>
      <c r="M1464" s="306"/>
      <c r="N1464" s="306"/>
      <c r="O1464" s="306"/>
      <c r="P1464" s="306"/>
      <c r="Q1464" s="306"/>
      <c r="R1464" s="306"/>
      <c r="S1464" s="306"/>
      <c r="T1464" s="306"/>
      <c r="U1464" s="306"/>
      <c r="V1464" s="305"/>
      <c r="W1464" s="306"/>
      <c r="X1464" s="306"/>
      <c r="Y1464" s="306"/>
      <c r="Z1464" s="307"/>
      <c r="AA1464" s="306"/>
      <c r="AB1464" s="306"/>
      <c r="AC1464" s="306"/>
    </row>
    <row r="1465">
      <c r="A1465" s="306"/>
      <c r="B1465" s="306"/>
      <c r="C1465" s="306"/>
      <c r="D1465" s="305"/>
      <c r="E1465" s="306"/>
      <c r="F1465" s="306"/>
      <c r="G1465" s="306"/>
      <c r="H1465" s="306"/>
      <c r="I1465" s="306"/>
      <c r="J1465" s="306"/>
      <c r="K1465" s="307"/>
      <c r="L1465" s="306"/>
      <c r="M1465" s="306"/>
      <c r="N1465" s="306"/>
      <c r="O1465" s="306"/>
      <c r="P1465" s="306"/>
      <c r="Q1465" s="306"/>
      <c r="R1465" s="306"/>
      <c r="S1465" s="306"/>
      <c r="T1465" s="306"/>
      <c r="U1465" s="306"/>
      <c r="V1465" s="305"/>
      <c r="W1465" s="306"/>
      <c r="X1465" s="306"/>
      <c r="Y1465" s="306"/>
      <c r="Z1465" s="307"/>
      <c r="AA1465" s="306"/>
      <c r="AB1465" s="306"/>
      <c r="AC1465" s="306"/>
    </row>
    <row r="1466">
      <c r="A1466" s="306"/>
      <c r="B1466" s="306"/>
      <c r="C1466" s="306"/>
      <c r="D1466" s="305"/>
      <c r="E1466" s="306"/>
      <c r="F1466" s="306"/>
      <c r="G1466" s="306"/>
      <c r="H1466" s="306"/>
      <c r="I1466" s="306"/>
      <c r="J1466" s="306"/>
      <c r="K1466" s="307"/>
      <c r="L1466" s="306"/>
      <c r="M1466" s="306"/>
      <c r="N1466" s="306"/>
      <c r="O1466" s="306"/>
      <c r="P1466" s="306"/>
      <c r="Q1466" s="306"/>
      <c r="R1466" s="306"/>
      <c r="S1466" s="306"/>
      <c r="T1466" s="306"/>
      <c r="U1466" s="306"/>
      <c r="V1466" s="305"/>
      <c r="W1466" s="306"/>
      <c r="X1466" s="306"/>
      <c r="Y1466" s="306"/>
      <c r="Z1466" s="307"/>
      <c r="AA1466" s="306"/>
      <c r="AB1466" s="306"/>
      <c r="AC1466" s="306"/>
    </row>
    <row r="1467">
      <c r="A1467" s="306"/>
      <c r="B1467" s="306"/>
      <c r="C1467" s="306"/>
      <c r="D1467" s="305"/>
      <c r="E1467" s="306"/>
      <c r="F1467" s="306"/>
      <c r="G1467" s="306"/>
      <c r="H1467" s="306"/>
      <c r="I1467" s="306"/>
      <c r="J1467" s="306"/>
      <c r="K1467" s="307"/>
      <c r="L1467" s="306"/>
      <c r="M1467" s="306"/>
      <c r="N1467" s="306"/>
      <c r="O1467" s="306"/>
      <c r="P1467" s="306"/>
      <c r="Q1467" s="306"/>
      <c r="R1467" s="306"/>
      <c r="S1467" s="306"/>
      <c r="T1467" s="306"/>
      <c r="U1467" s="306"/>
      <c r="V1467" s="305"/>
      <c r="W1467" s="306"/>
      <c r="X1467" s="306"/>
      <c r="Y1467" s="306"/>
      <c r="Z1467" s="307"/>
      <c r="AA1467" s="306"/>
      <c r="AB1467" s="306"/>
      <c r="AC1467" s="306"/>
    </row>
    <row r="1468">
      <c r="A1468" s="306"/>
      <c r="B1468" s="306"/>
      <c r="C1468" s="306"/>
      <c r="D1468" s="305"/>
      <c r="E1468" s="306"/>
      <c r="F1468" s="306"/>
      <c r="G1468" s="306"/>
      <c r="H1468" s="306"/>
      <c r="I1468" s="306"/>
      <c r="J1468" s="306"/>
      <c r="K1468" s="307"/>
      <c r="L1468" s="306"/>
      <c r="M1468" s="306"/>
      <c r="N1468" s="306"/>
      <c r="O1468" s="306"/>
      <c r="P1468" s="306"/>
      <c r="Q1468" s="306"/>
      <c r="R1468" s="306"/>
      <c r="S1468" s="306"/>
      <c r="T1468" s="306"/>
      <c r="U1468" s="306"/>
      <c r="V1468" s="305"/>
      <c r="W1468" s="306"/>
      <c r="X1468" s="306"/>
      <c r="Y1468" s="306"/>
      <c r="Z1468" s="307"/>
      <c r="AA1468" s="306"/>
      <c r="AB1468" s="306"/>
      <c r="AC1468" s="306"/>
    </row>
    <row r="1469">
      <c r="A1469" s="306"/>
      <c r="B1469" s="306"/>
      <c r="C1469" s="306"/>
      <c r="D1469" s="305"/>
      <c r="E1469" s="306"/>
      <c r="F1469" s="306"/>
      <c r="G1469" s="306"/>
      <c r="H1469" s="306"/>
      <c r="I1469" s="306"/>
      <c r="J1469" s="306"/>
      <c r="K1469" s="307"/>
      <c r="L1469" s="306"/>
      <c r="M1469" s="306"/>
      <c r="N1469" s="306"/>
      <c r="O1469" s="306"/>
      <c r="P1469" s="306"/>
      <c r="Q1469" s="306"/>
      <c r="R1469" s="306"/>
      <c r="S1469" s="306"/>
      <c r="T1469" s="306"/>
      <c r="U1469" s="306"/>
      <c r="V1469" s="305"/>
      <c r="W1469" s="306"/>
      <c r="X1469" s="306"/>
      <c r="Y1469" s="306"/>
      <c r="Z1469" s="307"/>
      <c r="AA1469" s="306"/>
      <c r="AB1469" s="306"/>
      <c r="AC1469" s="306"/>
    </row>
    <row r="1470">
      <c r="A1470" s="306"/>
      <c r="B1470" s="306"/>
      <c r="C1470" s="306"/>
      <c r="D1470" s="305"/>
      <c r="E1470" s="306"/>
      <c r="F1470" s="306"/>
      <c r="G1470" s="306"/>
      <c r="H1470" s="306"/>
      <c r="I1470" s="306"/>
      <c r="J1470" s="306"/>
      <c r="K1470" s="307"/>
      <c r="L1470" s="306"/>
      <c r="M1470" s="306"/>
      <c r="N1470" s="306"/>
      <c r="O1470" s="306"/>
      <c r="P1470" s="306"/>
      <c r="Q1470" s="306"/>
      <c r="R1470" s="306"/>
      <c r="S1470" s="306"/>
      <c r="T1470" s="306"/>
      <c r="U1470" s="306"/>
      <c r="V1470" s="305"/>
      <c r="W1470" s="306"/>
      <c r="X1470" s="306"/>
      <c r="Y1470" s="306"/>
      <c r="Z1470" s="307"/>
      <c r="AA1470" s="306"/>
      <c r="AB1470" s="306"/>
      <c r="AC1470" s="306"/>
    </row>
    <row r="1471">
      <c r="A1471" s="306"/>
      <c r="B1471" s="306"/>
      <c r="C1471" s="306"/>
      <c r="D1471" s="305"/>
      <c r="E1471" s="306"/>
      <c r="F1471" s="306"/>
      <c r="G1471" s="306"/>
      <c r="H1471" s="306"/>
      <c r="I1471" s="306"/>
      <c r="J1471" s="306"/>
      <c r="K1471" s="307"/>
      <c r="L1471" s="306"/>
      <c r="M1471" s="306"/>
      <c r="N1471" s="306"/>
      <c r="O1471" s="306"/>
      <c r="P1471" s="306"/>
      <c r="Q1471" s="306"/>
      <c r="R1471" s="306"/>
      <c r="S1471" s="306"/>
      <c r="T1471" s="306"/>
      <c r="U1471" s="306"/>
      <c r="V1471" s="305"/>
      <c r="W1471" s="306"/>
      <c r="X1471" s="306"/>
      <c r="Y1471" s="306"/>
      <c r="Z1471" s="307"/>
      <c r="AA1471" s="306"/>
      <c r="AB1471" s="306"/>
      <c r="AC1471" s="306"/>
    </row>
    <row r="1472">
      <c r="A1472" s="306"/>
      <c r="B1472" s="306"/>
      <c r="C1472" s="306"/>
      <c r="D1472" s="305"/>
      <c r="E1472" s="306"/>
      <c r="F1472" s="306"/>
      <c r="G1472" s="306"/>
      <c r="H1472" s="306"/>
      <c r="I1472" s="306"/>
      <c r="J1472" s="306"/>
      <c r="K1472" s="307"/>
      <c r="L1472" s="306"/>
      <c r="M1472" s="306"/>
      <c r="N1472" s="306"/>
      <c r="O1472" s="306"/>
      <c r="P1472" s="306"/>
      <c r="Q1472" s="306"/>
      <c r="R1472" s="306"/>
      <c r="S1472" s="306"/>
      <c r="T1472" s="306"/>
      <c r="U1472" s="306"/>
      <c r="V1472" s="305"/>
      <c r="W1472" s="306"/>
      <c r="X1472" s="306"/>
      <c r="Y1472" s="306"/>
      <c r="Z1472" s="307"/>
      <c r="AA1472" s="306"/>
      <c r="AB1472" s="306"/>
      <c r="AC1472" s="306"/>
    </row>
    <row r="1473">
      <c r="A1473" s="306"/>
      <c r="B1473" s="306"/>
      <c r="C1473" s="306"/>
      <c r="D1473" s="305"/>
      <c r="E1473" s="306"/>
      <c r="F1473" s="306"/>
      <c r="G1473" s="306"/>
      <c r="H1473" s="306"/>
      <c r="I1473" s="306"/>
      <c r="J1473" s="306"/>
      <c r="K1473" s="307"/>
      <c r="L1473" s="306"/>
      <c r="M1473" s="306"/>
      <c r="N1473" s="306"/>
      <c r="O1473" s="306"/>
      <c r="P1473" s="306"/>
      <c r="Q1473" s="306"/>
      <c r="R1473" s="306"/>
      <c r="S1473" s="306"/>
      <c r="T1473" s="306"/>
      <c r="U1473" s="306"/>
      <c r="V1473" s="305"/>
      <c r="W1473" s="306"/>
      <c r="X1473" s="306"/>
      <c r="Y1473" s="306"/>
      <c r="Z1473" s="307"/>
      <c r="AA1473" s="306"/>
      <c r="AB1473" s="306"/>
      <c r="AC1473" s="306"/>
    </row>
    <row r="1474">
      <c r="A1474" s="306"/>
      <c r="B1474" s="306"/>
      <c r="C1474" s="306"/>
      <c r="D1474" s="305"/>
      <c r="E1474" s="306"/>
      <c r="F1474" s="306"/>
      <c r="G1474" s="306"/>
      <c r="H1474" s="306"/>
      <c r="I1474" s="306"/>
      <c r="J1474" s="306"/>
      <c r="K1474" s="307"/>
      <c r="L1474" s="306"/>
      <c r="M1474" s="306"/>
      <c r="N1474" s="306"/>
      <c r="O1474" s="306"/>
      <c r="P1474" s="306"/>
      <c r="Q1474" s="306"/>
      <c r="R1474" s="306"/>
      <c r="S1474" s="306"/>
      <c r="T1474" s="306"/>
      <c r="U1474" s="306"/>
      <c r="V1474" s="305"/>
      <c r="W1474" s="306"/>
      <c r="X1474" s="306"/>
      <c r="Y1474" s="306"/>
      <c r="Z1474" s="307"/>
      <c r="AA1474" s="306"/>
      <c r="AB1474" s="306"/>
      <c r="AC1474" s="306"/>
    </row>
    <row r="1475">
      <c r="A1475" s="306"/>
      <c r="B1475" s="306"/>
      <c r="C1475" s="306"/>
      <c r="D1475" s="305"/>
      <c r="E1475" s="306"/>
      <c r="F1475" s="306"/>
      <c r="G1475" s="306"/>
      <c r="H1475" s="306"/>
      <c r="I1475" s="306"/>
      <c r="J1475" s="306"/>
      <c r="K1475" s="307"/>
      <c r="L1475" s="306"/>
      <c r="M1475" s="306"/>
      <c r="N1475" s="306"/>
      <c r="O1475" s="306"/>
      <c r="P1475" s="306"/>
      <c r="Q1475" s="306"/>
      <c r="R1475" s="306"/>
      <c r="S1475" s="306"/>
      <c r="T1475" s="306"/>
      <c r="U1475" s="306"/>
      <c r="V1475" s="305"/>
      <c r="W1475" s="306"/>
      <c r="X1475" s="306"/>
      <c r="Y1475" s="306"/>
      <c r="Z1475" s="307"/>
      <c r="AA1475" s="306"/>
      <c r="AB1475" s="306"/>
      <c r="AC1475" s="306"/>
    </row>
    <row r="1476">
      <c r="A1476" s="306"/>
      <c r="B1476" s="306"/>
      <c r="C1476" s="306"/>
      <c r="D1476" s="305"/>
      <c r="E1476" s="306"/>
      <c r="F1476" s="306"/>
      <c r="G1476" s="306"/>
      <c r="H1476" s="306"/>
      <c r="I1476" s="306"/>
      <c r="J1476" s="306"/>
      <c r="K1476" s="307"/>
      <c r="L1476" s="306"/>
      <c r="M1476" s="306"/>
      <c r="N1476" s="306"/>
      <c r="O1476" s="306"/>
      <c r="P1476" s="306"/>
      <c r="Q1476" s="306"/>
      <c r="R1476" s="306"/>
      <c r="S1476" s="306"/>
      <c r="T1476" s="306"/>
      <c r="U1476" s="306"/>
      <c r="V1476" s="305"/>
      <c r="W1476" s="306"/>
      <c r="X1476" s="306"/>
      <c r="Y1476" s="306"/>
      <c r="Z1476" s="307"/>
      <c r="AA1476" s="306"/>
      <c r="AB1476" s="306"/>
      <c r="AC1476" s="306"/>
    </row>
    <row r="1477">
      <c r="A1477" s="306"/>
      <c r="B1477" s="306"/>
      <c r="C1477" s="306"/>
      <c r="D1477" s="305"/>
      <c r="E1477" s="306"/>
      <c r="F1477" s="306"/>
      <c r="G1477" s="306"/>
      <c r="H1477" s="306"/>
      <c r="I1477" s="306"/>
      <c r="J1477" s="306"/>
      <c r="K1477" s="307"/>
      <c r="L1477" s="306"/>
      <c r="M1477" s="306"/>
      <c r="N1477" s="306"/>
      <c r="O1477" s="306"/>
      <c r="P1477" s="306"/>
      <c r="Q1477" s="306"/>
      <c r="R1477" s="306"/>
      <c r="S1477" s="306"/>
      <c r="T1477" s="306"/>
      <c r="U1477" s="306"/>
      <c r="V1477" s="305"/>
      <c r="W1477" s="306"/>
      <c r="X1477" s="306"/>
      <c r="Y1477" s="306"/>
      <c r="Z1477" s="307"/>
      <c r="AA1477" s="306"/>
      <c r="AB1477" s="306"/>
      <c r="AC1477" s="306"/>
    </row>
    <row r="1478">
      <c r="A1478" s="306"/>
      <c r="B1478" s="306"/>
      <c r="C1478" s="306"/>
      <c r="D1478" s="305"/>
      <c r="E1478" s="306"/>
      <c r="F1478" s="306"/>
      <c r="G1478" s="306"/>
      <c r="H1478" s="306"/>
      <c r="I1478" s="306"/>
      <c r="J1478" s="306"/>
      <c r="K1478" s="307"/>
      <c r="L1478" s="306"/>
      <c r="M1478" s="306"/>
      <c r="N1478" s="306"/>
      <c r="O1478" s="306"/>
      <c r="P1478" s="306"/>
      <c r="Q1478" s="306"/>
      <c r="R1478" s="306"/>
      <c r="S1478" s="306"/>
      <c r="T1478" s="306"/>
      <c r="U1478" s="306"/>
      <c r="V1478" s="305"/>
      <c r="W1478" s="306"/>
      <c r="X1478" s="306"/>
      <c r="Y1478" s="306"/>
      <c r="Z1478" s="307"/>
      <c r="AA1478" s="306"/>
      <c r="AB1478" s="306"/>
      <c r="AC1478" s="306"/>
    </row>
    <row r="1479">
      <c r="A1479" s="306"/>
      <c r="B1479" s="306"/>
      <c r="C1479" s="306"/>
      <c r="D1479" s="305"/>
      <c r="E1479" s="306"/>
      <c r="F1479" s="306"/>
      <c r="G1479" s="306"/>
      <c r="H1479" s="306"/>
      <c r="I1479" s="306"/>
      <c r="J1479" s="306"/>
      <c r="K1479" s="307"/>
      <c r="L1479" s="306"/>
      <c r="M1479" s="306"/>
      <c r="N1479" s="306"/>
      <c r="O1479" s="306"/>
      <c r="P1479" s="306"/>
      <c r="Q1479" s="306"/>
      <c r="R1479" s="306"/>
      <c r="S1479" s="306"/>
      <c r="T1479" s="306"/>
      <c r="U1479" s="306"/>
      <c r="V1479" s="305"/>
      <c r="W1479" s="306"/>
      <c r="X1479" s="306"/>
      <c r="Y1479" s="306"/>
      <c r="Z1479" s="307"/>
      <c r="AA1479" s="306"/>
      <c r="AB1479" s="306"/>
      <c r="AC1479" s="306"/>
    </row>
    <row r="1480">
      <c r="A1480" s="306"/>
      <c r="B1480" s="306"/>
      <c r="C1480" s="306"/>
      <c r="D1480" s="305"/>
      <c r="E1480" s="306"/>
      <c r="F1480" s="306"/>
      <c r="G1480" s="306"/>
      <c r="H1480" s="306"/>
      <c r="I1480" s="306"/>
      <c r="J1480" s="306"/>
      <c r="K1480" s="307"/>
      <c r="L1480" s="306"/>
      <c r="M1480" s="306"/>
      <c r="N1480" s="306"/>
      <c r="O1480" s="306"/>
      <c r="P1480" s="306"/>
      <c r="Q1480" s="306"/>
      <c r="R1480" s="306"/>
      <c r="S1480" s="306"/>
      <c r="T1480" s="306"/>
      <c r="U1480" s="306"/>
      <c r="V1480" s="305"/>
      <c r="W1480" s="306"/>
      <c r="X1480" s="306"/>
      <c r="Y1480" s="306"/>
      <c r="Z1480" s="307"/>
      <c r="AA1480" s="306"/>
      <c r="AB1480" s="306"/>
      <c r="AC1480" s="306"/>
    </row>
    <row r="1481">
      <c r="A1481" s="306"/>
      <c r="B1481" s="306"/>
      <c r="C1481" s="306"/>
      <c r="D1481" s="305"/>
      <c r="E1481" s="306"/>
      <c r="F1481" s="306"/>
      <c r="G1481" s="306"/>
      <c r="H1481" s="306"/>
      <c r="I1481" s="306"/>
      <c r="J1481" s="306"/>
      <c r="K1481" s="307"/>
      <c r="L1481" s="306"/>
      <c r="M1481" s="306"/>
      <c r="N1481" s="306"/>
      <c r="O1481" s="306"/>
      <c r="P1481" s="306"/>
      <c r="Q1481" s="306"/>
      <c r="R1481" s="306"/>
      <c r="S1481" s="306"/>
      <c r="T1481" s="306"/>
      <c r="U1481" s="306"/>
      <c r="V1481" s="305"/>
      <c r="W1481" s="306"/>
      <c r="X1481" s="306"/>
      <c r="Y1481" s="306"/>
      <c r="Z1481" s="307"/>
      <c r="AA1481" s="306"/>
      <c r="AB1481" s="306"/>
      <c r="AC1481" s="306"/>
    </row>
    <row r="1482">
      <c r="A1482" s="306"/>
      <c r="B1482" s="306"/>
      <c r="C1482" s="306"/>
      <c r="D1482" s="305"/>
      <c r="E1482" s="306"/>
      <c r="F1482" s="306"/>
      <c r="G1482" s="306"/>
      <c r="H1482" s="306"/>
      <c r="I1482" s="306"/>
      <c r="J1482" s="306"/>
      <c r="K1482" s="307"/>
      <c r="L1482" s="306"/>
      <c r="M1482" s="306"/>
      <c r="N1482" s="306"/>
      <c r="O1482" s="306"/>
      <c r="P1482" s="306"/>
      <c r="Q1482" s="306"/>
      <c r="R1482" s="306"/>
      <c r="S1482" s="306"/>
      <c r="T1482" s="306"/>
      <c r="U1482" s="306"/>
      <c r="V1482" s="305"/>
      <c r="W1482" s="306"/>
      <c r="X1482" s="306"/>
      <c r="Y1482" s="306"/>
      <c r="Z1482" s="307"/>
      <c r="AA1482" s="306"/>
      <c r="AB1482" s="306"/>
      <c r="AC1482" s="306"/>
    </row>
    <row r="1483">
      <c r="A1483" s="306"/>
      <c r="B1483" s="306"/>
      <c r="C1483" s="306"/>
      <c r="D1483" s="305"/>
      <c r="E1483" s="306"/>
      <c r="F1483" s="306"/>
      <c r="G1483" s="306"/>
      <c r="H1483" s="306"/>
      <c r="I1483" s="306"/>
      <c r="J1483" s="306"/>
      <c r="K1483" s="307"/>
      <c r="L1483" s="306"/>
      <c r="M1483" s="306"/>
      <c r="N1483" s="306"/>
      <c r="O1483" s="306"/>
      <c r="P1483" s="306"/>
      <c r="Q1483" s="306"/>
      <c r="R1483" s="306"/>
      <c r="S1483" s="306"/>
      <c r="T1483" s="306"/>
      <c r="U1483" s="306"/>
      <c r="V1483" s="305"/>
      <c r="W1483" s="306"/>
      <c r="X1483" s="306"/>
      <c r="Y1483" s="306"/>
      <c r="Z1483" s="307"/>
      <c r="AA1483" s="306"/>
      <c r="AB1483" s="306"/>
      <c r="AC1483" s="306"/>
    </row>
    <row r="1484">
      <c r="A1484" s="306"/>
      <c r="B1484" s="306"/>
      <c r="C1484" s="306"/>
      <c r="D1484" s="305"/>
      <c r="E1484" s="306"/>
      <c r="F1484" s="306"/>
      <c r="G1484" s="306"/>
      <c r="H1484" s="306"/>
      <c r="I1484" s="306"/>
      <c r="J1484" s="306"/>
      <c r="K1484" s="307"/>
      <c r="L1484" s="306"/>
      <c r="M1484" s="306"/>
      <c r="N1484" s="306"/>
      <c r="O1484" s="306"/>
      <c r="P1484" s="306"/>
      <c r="Q1484" s="306"/>
      <c r="R1484" s="306"/>
      <c r="S1484" s="306"/>
      <c r="T1484" s="306"/>
      <c r="U1484" s="306"/>
      <c r="V1484" s="305"/>
      <c r="W1484" s="306"/>
      <c r="X1484" s="306"/>
      <c r="Y1484" s="306"/>
      <c r="Z1484" s="307"/>
      <c r="AA1484" s="306"/>
      <c r="AB1484" s="306"/>
      <c r="AC1484" s="306"/>
    </row>
    <row r="1485">
      <c r="A1485" s="306"/>
      <c r="B1485" s="306"/>
      <c r="C1485" s="306"/>
      <c r="D1485" s="305"/>
      <c r="E1485" s="306"/>
      <c r="F1485" s="306"/>
      <c r="G1485" s="306"/>
      <c r="H1485" s="306"/>
      <c r="I1485" s="306"/>
      <c r="J1485" s="306"/>
      <c r="K1485" s="307"/>
      <c r="L1485" s="306"/>
      <c r="M1485" s="306"/>
      <c r="N1485" s="306"/>
      <c r="O1485" s="306"/>
      <c r="P1485" s="306"/>
      <c r="Q1485" s="306"/>
      <c r="R1485" s="306"/>
      <c r="S1485" s="306"/>
      <c r="T1485" s="306"/>
      <c r="U1485" s="306"/>
      <c r="V1485" s="305"/>
      <c r="W1485" s="306"/>
      <c r="X1485" s="306"/>
      <c r="Y1485" s="306"/>
      <c r="Z1485" s="307"/>
      <c r="AA1485" s="306"/>
      <c r="AB1485" s="306"/>
      <c r="AC1485" s="306"/>
    </row>
    <row r="1486">
      <c r="A1486" s="306"/>
      <c r="B1486" s="306"/>
      <c r="C1486" s="306"/>
      <c r="D1486" s="305"/>
      <c r="E1486" s="306"/>
      <c r="F1486" s="306"/>
      <c r="G1486" s="306"/>
      <c r="H1486" s="306"/>
      <c r="I1486" s="306"/>
      <c r="J1486" s="306"/>
      <c r="K1486" s="307"/>
      <c r="L1486" s="306"/>
      <c r="M1486" s="306"/>
      <c r="N1486" s="306"/>
      <c r="O1486" s="306"/>
      <c r="P1486" s="306"/>
      <c r="Q1486" s="306"/>
      <c r="R1486" s="306"/>
      <c r="S1486" s="306"/>
      <c r="T1486" s="306"/>
      <c r="U1486" s="306"/>
      <c r="V1486" s="305"/>
      <c r="W1486" s="306"/>
      <c r="X1486" s="306"/>
      <c r="Y1486" s="306"/>
      <c r="Z1486" s="307"/>
      <c r="AA1486" s="306"/>
      <c r="AB1486" s="306"/>
      <c r="AC1486" s="306"/>
    </row>
    <row r="1487">
      <c r="A1487" s="306"/>
      <c r="B1487" s="306"/>
      <c r="C1487" s="306"/>
      <c r="D1487" s="305"/>
      <c r="E1487" s="306"/>
      <c r="F1487" s="306"/>
      <c r="G1487" s="306"/>
      <c r="H1487" s="306"/>
      <c r="I1487" s="306"/>
      <c r="J1487" s="306"/>
      <c r="K1487" s="307"/>
      <c r="L1487" s="306"/>
      <c r="M1487" s="306"/>
      <c r="N1487" s="306"/>
      <c r="O1487" s="306"/>
      <c r="P1487" s="306"/>
      <c r="Q1487" s="306"/>
      <c r="R1487" s="306"/>
      <c r="S1487" s="306"/>
      <c r="T1487" s="306"/>
      <c r="U1487" s="306"/>
      <c r="V1487" s="305"/>
      <c r="W1487" s="306"/>
      <c r="X1487" s="306"/>
      <c r="Y1487" s="306"/>
      <c r="Z1487" s="307"/>
      <c r="AA1487" s="306"/>
      <c r="AB1487" s="306"/>
      <c r="AC1487" s="306"/>
    </row>
    <row r="1488">
      <c r="A1488" s="306"/>
      <c r="B1488" s="306"/>
      <c r="C1488" s="306"/>
      <c r="D1488" s="305"/>
      <c r="E1488" s="306"/>
      <c r="F1488" s="306"/>
      <c r="G1488" s="306"/>
      <c r="H1488" s="306"/>
      <c r="I1488" s="306"/>
      <c r="J1488" s="306"/>
      <c r="K1488" s="307"/>
      <c r="L1488" s="306"/>
      <c r="M1488" s="306"/>
      <c r="N1488" s="306"/>
      <c r="O1488" s="306"/>
      <c r="P1488" s="306"/>
      <c r="Q1488" s="306"/>
      <c r="R1488" s="306"/>
      <c r="S1488" s="306"/>
      <c r="T1488" s="306"/>
      <c r="U1488" s="306"/>
      <c r="V1488" s="305"/>
      <c r="W1488" s="306"/>
      <c r="X1488" s="306"/>
      <c r="Y1488" s="306"/>
      <c r="Z1488" s="307"/>
      <c r="AA1488" s="306"/>
      <c r="AB1488" s="306"/>
      <c r="AC1488" s="306"/>
    </row>
  </sheetData>
  <customSheetViews>
    <customSheetView guid="{855B9DD6-19E0-4F39-93E6-3C9691D15ED6}" filter="1" showAutoFilter="1">
      <autoFilter ref="$A$1:$Z$485">
        <sortState ref="A1:Z485">
          <sortCondition descending="1" ref="C1:C485"/>
        </sortState>
      </autoFilter>
    </customSheetView>
    <customSheetView guid="{ABDC3239-A9C8-494F-8C26-36331D7E5157}" filter="1" showAutoFilter="1">
      <autoFilter ref="$A$1:$Z$485">
        <sortState ref="A1:Z485">
          <sortCondition descending="1" ref="C1:C485"/>
        </sortState>
      </autoFilter>
    </customSheetView>
    <customSheetView guid="{52D3D8FB-3DEC-4E8F-95A3-5B4CE7BD889C}" filter="1" showAutoFilter="1">
      <autoFilter ref="$A$1:$Z$485">
        <sortState ref="A1:Z485">
          <sortCondition descending="1" ref="C1:C485"/>
        </sortState>
      </autoFilter>
    </customSheetView>
  </customSheetViews>
  <mergeCells count="3">
    <mergeCell ref="D1:K1"/>
    <mergeCell ref="L1:U1"/>
    <mergeCell ref="V1:Z1"/>
  </mergeCells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3.0"/>
    <col customWidth="1" min="2" max="2" width="8.0"/>
    <col customWidth="1" hidden="1" min="3" max="3" width="3.0"/>
    <col customWidth="1" hidden="1" min="4" max="4" width="17.86"/>
    <col customWidth="1" hidden="1" min="5" max="5" width="3.0"/>
    <col customWidth="1" hidden="1" min="6" max="6" width="17.86"/>
    <col hidden="1" min="7" max="8" width="14.43"/>
    <col customWidth="1" min="9" max="9" width="17.86"/>
    <col customWidth="1" min="10" max="10" width="20.71"/>
    <col customWidth="1" min="11" max="11" width="23.86"/>
    <col customWidth="1" min="12" max="12" width="16.43"/>
    <col customWidth="1" min="13" max="14" width="17.86"/>
    <col customWidth="1" min="16" max="16" width="15.14"/>
    <col customWidth="1" min="17" max="17" width="17.0"/>
    <col customWidth="1" min="18" max="18" width="19.29"/>
    <col customWidth="1" min="19" max="19" width="20.29"/>
    <col customWidth="1" min="20" max="20" width="17.86"/>
    <col customWidth="1" min="21" max="21" width="20.29"/>
    <col customWidth="1" min="22" max="22" width="17.86"/>
    <col customWidth="1" min="23" max="23" width="17.71"/>
    <col customWidth="1" min="24" max="24" width="19.29"/>
  </cols>
  <sheetData>
    <row r="1">
      <c r="A1" s="435"/>
      <c r="B1" s="436"/>
      <c r="C1" s="437"/>
      <c r="D1" s="438" t="str">
        <f>Input!$E$18</f>
        <v>Max mage harm</v>
      </c>
      <c r="E1" s="437"/>
      <c r="F1" s="439" t="str">
        <f>Input!$M$18</f>
        <v>Set 2</v>
      </c>
      <c r="G1" s="278" t="s">
        <v>66</v>
      </c>
      <c r="H1" s="278" t="s">
        <v>61</v>
      </c>
      <c r="I1" s="278" t="s">
        <v>194</v>
      </c>
      <c r="J1" s="278" t="s">
        <v>1566</v>
      </c>
      <c r="K1" s="278" t="s">
        <v>60</v>
      </c>
      <c r="L1" s="278" t="s">
        <v>1567</v>
      </c>
      <c r="M1" s="278" t="s">
        <v>1568</v>
      </c>
      <c r="N1" s="278" t="s">
        <v>1569</v>
      </c>
      <c r="O1" s="278" t="s">
        <v>156</v>
      </c>
      <c r="P1" s="278" t="s">
        <v>201</v>
      </c>
      <c r="Q1" s="278" t="s">
        <v>1570</v>
      </c>
      <c r="R1" s="278" t="s">
        <v>1571</v>
      </c>
      <c r="S1" s="278" t="s">
        <v>1572</v>
      </c>
      <c r="T1" s="278" t="s">
        <v>1573</v>
      </c>
      <c r="U1" s="278" t="s">
        <v>1574</v>
      </c>
      <c r="V1" s="278" t="s">
        <v>1575</v>
      </c>
      <c r="W1" s="278" t="s">
        <v>1576</v>
      </c>
      <c r="X1" s="278" t="s">
        <v>1577</v>
      </c>
      <c r="Y1" s="440"/>
      <c r="Z1" s="440"/>
      <c r="AA1" s="440"/>
      <c r="AB1" s="440"/>
    </row>
    <row r="2">
      <c r="A2" s="441" t="str">
        <f>IMAGE("http://vignette1.wikia.nocookie.net/2007scape/images/d/d1/Weapon_slot.png/revision/latest?cb=20130227121007")</f>
        <v/>
      </c>
      <c r="B2" s="157" t="s">
        <v>64</v>
      </c>
      <c r="C2" s="440"/>
      <c r="D2" s="442" t="str">
        <f t="shared" ref="D2:D14" si="1">HLOOKUP(D$1,G$1:AB$14,row(),false)</f>
        <v>Harmonised nightmare staff</v>
      </c>
      <c r="E2" s="440"/>
      <c r="F2" s="443" t="str">
        <f t="shared" ref="F2:F14" si="2">HLOOKUP(F$1,G$1:AB$14,row(),false)</f>
        <v/>
      </c>
      <c r="G2" s="440"/>
      <c r="H2" s="440"/>
      <c r="I2" s="278" t="s">
        <v>365</v>
      </c>
      <c r="J2" s="278" t="s">
        <v>501</v>
      </c>
      <c r="K2" s="444" t="s">
        <v>65</v>
      </c>
      <c r="L2" s="278"/>
      <c r="M2" s="278" t="s">
        <v>1578</v>
      </c>
      <c r="N2" s="278" t="s">
        <v>487</v>
      </c>
      <c r="O2" s="440"/>
      <c r="P2" s="278" t="s">
        <v>1579</v>
      </c>
      <c r="Q2" s="278" t="s">
        <v>351</v>
      </c>
      <c r="R2" s="278" t="s">
        <v>379</v>
      </c>
      <c r="S2" s="278" t="s">
        <v>373</v>
      </c>
      <c r="T2" s="444" t="s">
        <v>487</v>
      </c>
      <c r="U2" s="444" t="s">
        <v>501</v>
      </c>
      <c r="V2" s="278" t="s">
        <v>486</v>
      </c>
      <c r="W2" s="444" t="s">
        <v>440</v>
      </c>
      <c r="X2" s="444" t="s">
        <v>379</v>
      </c>
      <c r="Y2" s="440"/>
      <c r="AA2" s="440"/>
      <c r="AB2" s="440"/>
    </row>
    <row r="3">
      <c r="A3" s="441" t="str">
        <f>IMAGE("http://vignette4.wikia.nocookie.net/2007scape/images/1/18/Combat_Options.png/revision/latest?cb=20130317121347")</f>
        <v/>
      </c>
      <c r="B3" s="157" t="s">
        <v>68</v>
      </c>
      <c r="C3" s="440"/>
      <c r="D3" s="442" t="str">
        <f t="shared" si="1"/>
        <v>*choose spell* *magic*</v>
      </c>
      <c r="E3" s="440"/>
      <c r="F3" s="443" t="str">
        <f t="shared" si="2"/>
        <v/>
      </c>
      <c r="G3" s="440"/>
      <c r="H3" s="440"/>
      <c r="I3" s="278" t="s">
        <v>1580</v>
      </c>
      <c r="J3" s="278" t="s">
        <v>1581</v>
      </c>
      <c r="K3" s="444" t="s">
        <v>69</v>
      </c>
      <c r="L3" s="278"/>
      <c r="M3" s="278" t="s">
        <v>1580</v>
      </c>
      <c r="N3" s="278" t="s">
        <v>1582</v>
      </c>
      <c r="O3" s="440"/>
      <c r="P3" s="440"/>
      <c r="Q3" s="278" t="s">
        <v>1583</v>
      </c>
      <c r="R3" s="278" t="s">
        <v>1584</v>
      </c>
      <c r="S3" s="278" t="s">
        <v>1585</v>
      </c>
      <c r="T3" s="444" t="s">
        <v>1582</v>
      </c>
      <c r="U3" s="444" t="s">
        <v>1581</v>
      </c>
      <c r="V3" s="278" t="s">
        <v>1582</v>
      </c>
      <c r="W3" s="444" t="s">
        <v>1586</v>
      </c>
      <c r="X3" s="444" t="s">
        <v>1584</v>
      </c>
      <c r="Y3" s="440"/>
      <c r="AA3" s="440"/>
      <c r="AB3" s="440"/>
    </row>
    <row r="4">
      <c r="A4" s="445" t="str">
        <f>IMAGE("http://vignette1.wikia.nocookie.net/2007scape/images/0/0d/Spellbook.png/revision/latest?cb=20150606082306")</f>
        <v/>
      </c>
      <c r="B4" s="157" t="s">
        <v>71</v>
      </c>
      <c r="C4" s="440"/>
      <c r="D4" s="442" t="str">
        <f t="shared" si="1"/>
        <v>Fire surge</v>
      </c>
      <c r="E4" s="440"/>
      <c r="F4" s="443" t="str">
        <f t="shared" si="2"/>
        <v/>
      </c>
      <c r="G4" s="440"/>
      <c r="H4" s="440"/>
      <c r="I4" s="440"/>
      <c r="J4" s="440"/>
      <c r="K4" s="444" t="s">
        <v>72</v>
      </c>
      <c r="L4" s="440"/>
      <c r="M4" s="440"/>
      <c r="N4" s="440"/>
      <c r="O4" s="440"/>
      <c r="P4" s="440"/>
      <c r="Q4" s="440"/>
      <c r="R4" s="440"/>
      <c r="S4" s="440"/>
      <c r="T4" s="440"/>
      <c r="U4" s="440"/>
      <c r="V4" s="278"/>
      <c r="W4" s="444"/>
      <c r="X4" s="444"/>
      <c r="Y4" s="440"/>
      <c r="AA4" s="440"/>
      <c r="AB4" s="440"/>
    </row>
    <row r="5">
      <c r="A5" s="441" t="str">
        <f>IMAGE("http://vignette2.wikia.nocookie.net/2007scape/images/6/64/Ammo_slot.png/revision/latest?cb=20130227122436")</f>
        <v/>
      </c>
      <c r="B5" s="157" t="s">
        <v>75</v>
      </c>
      <c r="C5" s="440"/>
      <c r="D5" s="442" t="str">
        <f t="shared" si="1"/>
        <v/>
      </c>
      <c r="E5" s="440"/>
      <c r="F5" s="443" t="str">
        <f t="shared" si="2"/>
        <v/>
      </c>
      <c r="G5" s="440"/>
      <c r="H5" s="440"/>
      <c r="I5" s="440"/>
      <c r="J5" s="440"/>
      <c r="K5" s="444"/>
      <c r="L5" s="440"/>
      <c r="M5" s="440"/>
      <c r="N5" s="278" t="s">
        <v>810</v>
      </c>
      <c r="O5" s="440"/>
      <c r="P5" s="440"/>
      <c r="Q5" s="440"/>
      <c r="R5" s="440"/>
      <c r="S5" s="440"/>
      <c r="T5" s="444" t="s">
        <v>810</v>
      </c>
      <c r="U5" s="440"/>
      <c r="V5" s="278" t="s">
        <v>794</v>
      </c>
      <c r="W5" s="444" t="s">
        <v>786</v>
      </c>
      <c r="X5" s="444"/>
      <c r="Y5" s="440"/>
      <c r="AA5" s="440"/>
      <c r="AB5" s="440"/>
    </row>
    <row r="6">
      <c r="A6" s="441" t="str">
        <f>IMAGE("http://vignette1.wikia.nocookie.net/2007scape/images/3/35/Head_slot.png/revision/latest?cb=20130227123039")</f>
        <v/>
      </c>
      <c r="B6" s="157" t="s">
        <v>78</v>
      </c>
      <c r="C6" s="440"/>
      <c r="D6" s="442" t="str">
        <f t="shared" si="1"/>
        <v>Ancestral hat</v>
      </c>
      <c r="E6" s="440"/>
      <c r="F6" s="443" t="str">
        <f t="shared" si="2"/>
        <v/>
      </c>
      <c r="G6" s="440"/>
      <c r="H6" s="440"/>
      <c r="I6" s="279" t="s">
        <v>520</v>
      </c>
      <c r="J6" s="278" t="s">
        <v>79</v>
      </c>
      <c r="K6" s="444" t="s">
        <v>79</v>
      </c>
      <c r="L6" s="278"/>
      <c r="M6" s="278" t="s">
        <v>518</v>
      </c>
      <c r="N6" s="278" t="s">
        <v>539</v>
      </c>
      <c r="O6" s="278" t="s">
        <v>534</v>
      </c>
      <c r="P6" s="278" t="s">
        <v>533</v>
      </c>
      <c r="Q6" s="278" t="s">
        <v>530</v>
      </c>
      <c r="R6" s="444" t="s">
        <v>519</v>
      </c>
      <c r="S6" s="278" t="s">
        <v>518</v>
      </c>
      <c r="T6" s="444"/>
      <c r="U6" s="444"/>
      <c r="V6" s="278" t="s">
        <v>534</v>
      </c>
      <c r="W6" s="444" t="s">
        <v>525</v>
      </c>
      <c r="X6" s="444" t="s">
        <v>519</v>
      </c>
      <c r="Y6" s="440"/>
      <c r="AA6" s="440"/>
      <c r="AB6" s="440"/>
    </row>
    <row r="7">
      <c r="A7" s="441" t="str">
        <f>IMAGE("http://vignette4.wikia.nocookie.net/2007scape/images/b/ba/Cape_slot.png/revision/latest?cb=20130227182819")</f>
        <v/>
      </c>
      <c r="B7" s="157" t="s">
        <v>82</v>
      </c>
      <c r="C7" s="440"/>
      <c r="D7" s="442" t="str">
        <f t="shared" si="1"/>
        <v>God cape (i)</v>
      </c>
      <c r="E7" s="440"/>
      <c r="F7" s="443" t="str">
        <f t="shared" si="2"/>
        <v/>
      </c>
      <c r="G7" s="440"/>
      <c r="H7" s="440"/>
      <c r="I7" s="278" t="s">
        <v>562</v>
      </c>
      <c r="J7" s="278" t="str">
        <f>Items!A257</f>
        <v>God cape (i)</v>
      </c>
      <c r="K7" s="444" t="s">
        <v>83</v>
      </c>
      <c r="L7" s="278" t="s">
        <v>562</v>
      </c>
      <c r="M7" s="278" t="s">
        <v>562</v>
      </c>
      <c r="N7" s="278" t="s">
        <v>576</v>
      </c>
      <c r="O7" s="440"/>
      <c r="P7" s="440"/>
      <c r="Q7" s="278" t="s">
        <v>563</v>
      </c>
      <c r="R7" s="278" t="s">
        <v>564</v>
      </c>
      <c r="S7" s="278" t="s">
        <v>562</v>
      </c>
      <c r="T7" s="444" t="s">
        <v>576</v>
      </c>
      <c r="U7" s="444" t="s">
        <v>83</v>
      </c>
      <c r="V7" s="278" t="s">
        <v>576</v>
      </c>
      <c r="W7" s="444" t="s">
        <v>562</v>
      </c>
      <c r="X7" s="444" t="s">
        <v>562</v>
      </c>
      <c r="Y7" s="440"/>
      <c r="AA7" s="440"/>
      <c r="AB7" s="440"/>
    </row>
    <row r="8">
      <c r="A8" s="441" t="str">
        <f>IMAGE("http://vignette2.wikia.nocookie.net/2007scape/images/b/b4/Neck_slot.png/revision/latest?cb=20130227122801")</f>
        <v/>
      </c>
      <c r="B8" s="157" t="s">
        <v>86</v>
      </c>
      <c r="C8" s="440"/>
      <c r="D8" s="442" t="str">
        <f t="shared" si="1"/>
        <v>Occult necklace</v>
      </c>
      <c r="E8" s="440"/>
      <c r="F8" s="443" t="str">
        <f t="shared" si="2"/>
        <v/>
      </c>
      <c r="G8" s="440"/>
      <c r="H8" s="440"/>
      <c r="I8" s="278" t="s">
        <v>583</v>
      </c>
      <c r="J8" s="278" t="s">
        <v>87</v>
      </c>
      <c r="K8" s="444" t="s">
        <v>87</v>
      </c>
      <c r="L8" s="278" t="s">
        <v>583</v>
      </c>
      <c r="M8" s="278" t="s">
        <v>583</v>
      </c>
      <c r="N8" s="278" t="s">
        <v>584</v>
      </c>
      <c r="O8" s="440"/>
      <c r="P8" s="440"/>
      <c r="Q8" s="278" t="s">
        <v>583</v>
      </c>
      <c r="R8" s="278" t="s">
        <v>583</v>
      </c>
      <c r="S8" s="278" t="s">
        <v>583</v>
      </c>
      <c r="T8" s="444" t="s">
        <v>584</v>
      </c>
      <c r="U8" s="444" t="s">
        <v>87</v>
      </c>
      <c r="V8" s="278" t="s">
        <v>584</v>
      </c>
      <c r="W8" s="444" t="s">
        <v>582</v>
      </c>
      <c r="X8" s="444" t="s">
        <v>583</v>
      </c>
      <c r="Y8" s="440"/>
      <c r="AA8" s="440"/>
      <c r="AB8" s="440"/>
    </row>
    <row r="9">
      <c r="A9" s="441" t="str">
        <f>IMAGE("http://vignette1.wikia.nocookie.net/2007scape/images/3/33/Torso_slot.png/revision/latest?cb=20130227120231")</f>
        <v/>
      </c>
      <c r="B9" s="157" t="s">
        <v>90</v>
      </c>
      <c r="C9" s="440"/>
      <c r="D9" s="442" t="str">
        <f t="shared" si="1"/>
        <v>Ancestral robe top</v>
      </c>
      <c r="E9" s="440"/>
      <c r="F9" s="443" t="str">
        <f t="shared" si="2"/>
        <v/>
      </c>
      <c r="G9" s="440"/>
      <c r="H9" s="440"/>
      <c r="I9" s="278" t="s">
        <v>603</v>
      </c>
      <c r="J9" s="278" t="s">
        <v>91</v>
      </c>
      <c r="K9" s="444" t="s">
        <v>91</v>
      </c>
      <c r="L9" s="278" t="s">
        <v>598</v>
      </c>
      <c r="M9" s="278" t="s">
        <v>598</v>
      </c>
      <c r="N9" s="278" t="s">
        <v>613</v>
      </c>
      <c r="O9" s="278" t="s">
        <v>601</v>
      </c>
      <c r="P9" s="278" t="s">
        <v>602</v>
      </c>
      <c r="Q9" s="278" t="s">
        <v>607</v>
      </c>
      <c r="R9" s="444" t="s">
        <v>597</v>
      </c>
      <c r="S9" s="278" t="s">
        <v>598</v>
      </c>
      <c r="T9" s="444" t="s">
        <v>613</v>
      </c>
      <c r="U9" s="444" t="s">
        <v>91</v>
      </c>
      <c r="V9" s="278" t="s">
        <v>601</v>
      </c>
      <c r="W9" s="444" t="s">
        <v>608</v>
      </c>
      <c r="X9" s="444" t="s">
        <v>597</v>
      </c>
      <c r="Y9" s="440"/>
      <c r="AA9" s="440"/>
      <c r="AB9" s="440"/>
    </row>
    <row r="10">
      <c r="A10" s="441" t="str">
        <f>IMAGE("http://vignette3.wikia.nocookie.net/2007scape/images/2/25/Legs_slot.png/revision/latest?cb=20130227123853")</f>
        <v/>
      </c>
      <c r="B10" s="157" t="s">
        <v>94</v>
      </c>
      <c r="C10" s="440"/>
      <c r="D10" s="442" t="str">
        <f t="shared" si="1"/>
        <v>Ancestral robe bottoms</v>
      </c>
      <c r="E10" s="440"/>
      <c r="F10" s="443" t="str">
        <f t="shared" si="2"/>
        <v/>
      </c>
      <c r="G10" s="440"/>
      <c r="H10" s="440"/>
      <c r="I10" s="278" t="s">
        <v>642</v>
      </c>
      <c r="J10" s="278" t="s">
        <v>95</v>
      </c>
      <c r="K10" s="444" t="s">
        <v>95</v>
      </c>
      <c r="L10" s="278" t="s">
        <v>638</v>
      </c>
      <c r="M10" s="278" t="s">
        <v>638</v>
      </c>
      <c r="N10" s="278" t="s">
        <v>651</v>
      </c>
      <c r="O10" s="278" t="s">
        <v>640</v>
      </c>
      <c r="P10" s="278" t="s">
        <v>641</v>
      </c>
      <c r="Q10" s="278" t="s">
        <v>646</v>
      </c>
      <c r="R10" s="444" t="s">
        <v>637</v>
      </c>
      <c r="S10" s="278" t="s">
        <v>95</v>
      </c>
      <c r="T10" s="444" t="s">
        <v>651</v>
      </c>
      <c r="U10" s="444" t="s">
        <v>95</v>
      </c>
      <c r="V10" s="278" t="s">
        <v>640</v>
      </c>
      <c r="W10" s="444" t="s">
        <v>647</v>
      </c>
      <c r="X10" s="444" t="s">
        <v>637</v>
      </c>
      <c r="Y10" s="440"/>
      <c r="AA10" s="440"/>
      <c r="AB10" s="440"/>
    </row>
    <row r="11">
      <c r="A11" s="441" t="str">
        <f>IMAGE("http://vignette3.wikia.nocookie.net/2007scape/images/d/d9/Shield_slot.png/revision/latest?cb=20130227123309")</f>
        <v/>
      </c>
      <c r="B11" s="157" t="s">
        <v>98</v>
      </c>
      <c r="C11" s="440"/>
      <c r="D11" s="442" t="str">
        <f t="shared" si="1"/>
        <v>Tome of fire</v>
      </c>
      <c r="E11" s="440"/>
      <c r="F11" s="443" t="str">
        <f t="shared" si="2"/>
        <v/>
      </c>
      <c r="G11" s="440"/>
      <c r="H11" s="440"/>
      <c r="I11" s="440"/>
      <c r="J11" s="278" t="s">
        <v>691</v>
      </c>
      <c r="K11" s="444" t="s">
        <v>99</v>
      </c>
      <c r="L11" s="278"/>
      <c r="M11" s="278"/>
      <c r="N11" s="440"/>
      <c r="O11" s="440"/>
      <c r="P11" s="440"/>
      <c r="Q11" s="278" t="s">
        <v>676</v>
      </c>
      <c r="R11" s="444" t="s">
        <v>674</v>
      </c>
      <c r="S11" s="278" t="s">
        <v>674</v>
      </c>
      <c r="T11" s="440"/>
      <c r="U11" s="444"/>
      <c r="V11" s="440"/>
      <c r="W11" s="444" t="s">
        <v>690</v>
      </c>
      <c r="X11" s="444" t="s">
        <v>674</v>
      </c>
      <c r="Y11" s="440"/>
      <c r="AA11" s="440"/>
      <c r="AB11" s="440"/>
    </row>
    <row r="12">
      <c r="A12" s="441" t="str">
        <f>IMAGE("http://vignette1.wikia.nocookie.net/2007scape/images/6/69/Gloves_slot.png/revision/latest?cb=20130227123502")</f>
        <v/>
      </c>
      <c r="B12" s="157" t="s">
        <v>102</v>
      </c>
      <c r="C12" s="440"/>
      <c r="D12" s="442" t="str">
        <f t="shared" si="1"/>
        <v>Tormented bracelet</v>
      </c>
      <c r="E12" s="440"/>
      <c r="F12" s="443" t="str">
        <f t="shared" si="2"/>
        <v/>
      </c>
      <c r="G12" s="440"/>
      <c r="H12" s="440"/>
      <c r="I12" s="278" t="s">
        <v>712</v>
      </c>
      <c r="J12" s="278" t="s">
        <v>103</v>
      </c>
      <c r="K12" s="444" t="s">
        <v>103</v>
      </c>
      <c r="L12" s="278" t="s">
        <v>711</v>
      </c>
      <c r="M12" s="278" t="s">
        <v>711</v>
      </c>
      <c r="N12" s="278" t="s">
        <v>712</v>
      </c>
      <c r="O12" s="278" t="s">
        <v>713</v>
      </c>
      <c r="P12" s="278" t="s">
        <v>712</v>
      </c>
      <c r="Q12" s="278" t="s">
        <v>712</v>
      </c>
      <c r="R12" s="444" t="s">
        <v>711</v>
      </c>
      <c r="S12" s="278" t="s">
        <v>711</v>
      </c>
      <c r="T12" s="444" t="s">
        <v>712</v>
      </c>
      <c r="U12" s="444" t="s">
        <v>103</v>
      </c>
      <c r="V12" s="278" t="s">
        <v>713</v>
      </c>
      <c r="W12" s="444" t="s">
        <v>712</v>
      </c>
      <c r="X12" s="444" t="s">
        <v>711</v>
      </c>
      <c r="Y12" s="440"/>
      <c r="AA12" s="440"/>
      <c r="AB12" s="440"/>
    </row>
    <row r="13">
      <c r="A13" s="441" t="str">
        <f>IMAGE("http://vignette2.wikia.nocookie.net/2007scape/images/b/b0/Boots_slot.png/revision/latest?cb=20130227123356")</f>
        <v/>
      </c>
      <c r="B13" s="157" t="s">
        <v>106</v>
      </c>
      <c r="C13" s="440"/>
      <c r="D13" s="442" t="str">
        <f t="shared" si="1"/>
        <v>Eternal boots</v>
      </c>
      <c r="E13" s="440"/>
      <c r="F13" s="443" t="str">
        <f t="shared" si="2"/>
        <v/>
      </c>
      <c r="G13" s="440"/>
      <c r="H13" s="440"/>
      <c r="I13" s="278" t="s">
        <v>739</v>
      </c>
      <c r="J13" s="278" t="s">
        <v>107</v>
      </c>
      <c r="K13" s="444" t="s">
        <v>107</v>
      </c>
      <c r="L13" s="278" t="s">
        <v>739</v>
      </c>
      <c r="M13" s="278" t="s">
        <v>739</v>
      </c>
      <c r="N13" s="278" t="s">
        <v>752</v>
      </c>
      <c r="O13" s="440"/>
      <c r="P13" s="440"/>
      <c r="Q13" s="278" t="s">
        <v>739</v>
      </c>
      <c r="R13" s="444" t="s">
        <v>739</v>
      </c>
      <c r="S13" s="278" t="s">
        <v>739</v>
      </c>
      <c r="T13" s="444"/>
      <c r="U13" s="444"/>
      <c r="V13" s="278" t="s">
        <v>752</v>
      </c>
      <c r="W13" s="444" t="s">
        <v>746</v>
      </c>
      <c r="X13" s="444" t="s">
        <v>739</v>
      </c>
      <c r="Y13" s="440"/>
      <c r="AA13" s="440"/>
      <c r="AB13" s="440"/>
    </row>
    <row r="14">
      <c r="A14" s="446" t="str">
        <f>IMAGE("http://vignette3.wikia.nocookie.net/2007scape/images/9/9f/Ring_slot.png/revision/latest?cb=20130227123624")</f>
        <v/>
      </c>
      <c r="B14" s="447" t="s">
        <v>109</v>
      </c>
      <c r="C14" s="448"/>
      <c r="D14" s="449" t="str">
        <f t="shared" si="1"/>
        <v>Seers (i)</v>
      </c>
      <c r="E14" s="448"/>
      <c r="F14" s="450" t="str">
        <f t="shared" si="2"/>
        <v/>
      </c>
      <c r="G14" s="440"/>
      <c r="H14" s="440"/>
      <c r="I14" s="278" t="s">
        <v>765</v>
      </c>
      <c r="J14" s="278" t="s">
        <v>110</v>
      </c>
      <c r="K14" s="444" t="s">
        <v>110</v>
      </c>
      <c r="L14" s="278" t="s">
        <v>765</v>
      </c>
      <c r="M14" s="278" t="s">
        <v>765</v>
      </c>
      <c r="N14" s="278" t="s">
        <v>777</v>
      </c>
      <c r="O14" s="440"/>
      <c r="P14" s="440"/>
      <c r="Q14" s="278" t="s">
        <v>765</v>
      </c>
      <c r="R14" s="444" t="s">
        <v>771</v>
      </c>
      <c r="S14" s="278" t="s">
        <v>765</v>
      </c>
      <c r="T14" s="278"/>
      <c r="U14" s="278"/>
      <c r="V14" s="278" t="s">
        <v>777</v>
      </c>
      <c r="W14" s="444" t="s">
        <v>776</v>
      </c>
      <c r="X14" s="278" t="s">
        <v>765</v>
      </c>
      <c r="Y14" s="440"/>
      <c r="AA14" s="440"/>
      <c r="AB14" s="440"/>
    </row>
  </sheetData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</cols>
  <sheetData>
    <row r="1">
      <c r="A1" t="str">
        <f>IFERROR(__xludf.DUMMYFUNCTION("importrange(""https://docs.google.com/spreadsheets/d/1MAKq71Izvhtgi-xqlNeNMKtjELafxg3yfLYR-D9VEhw/edit#gid=1340590114"",""Prices!a1:b"")"),"#N/A")</f>
        <v>#N/A</v>
      </c>
      <c r="B1" s="451" t="str">
        <f>IFERROR(__xludf.DUMMYFUNCTION("""COMPUTED_VALUE"""),"#REF!")</f>
        <v>#REF!</v>
      </c>
    </row>
    <row r="2">
      <c r="A2" t="str">
        <f>IFERROR(__xludf.DUMMYFUNCTION("""COMPUTED_VALUE"""),"#N/A")</f>
        <v>#N/A</v>
      </c>
      <c r="B2" s="451" t="str">
        <f>IFERROR(__xludf.DUMMYFUNCTION("""COMPUTED_VALUE"""),"#N/A")</f>
        <v>#N/A</v>
      </c>
    </row>
    <row r="3">
      <c r="A3" t="str">
        <f>IFERROR(__xludf.DUMMYFUNCTION("""COMPUTED_VALUE"""),"#N/A")</f>
        <v>#N/A</v>
      </c>
      <c r="B3" s="451" t="str">
        <f>IFERROR(__xludf.DUMMYFUNCTION("""COMPUTED_VALUE"""),"#N/A")</f>
        <v>#N/A</v>
      </c>
    </row>
    <row r="4">
      <c r="A4" t="str">
        <f>IFERROR(__xludf.DUMMYFUNCTION("""COMPUTED_VALUE"""),"#N/A")</f>
        <v>#N/A</v>
      </c>
      <c r="B4" s="451" t="str">
        <f>IFERROR(__xludf.DUMMYFUNCTION("""COMPUTED_VALUE"""),"#N/A")</f>
        <v>#N/A</v>
      </c>
    </row>
    <row r="5">
      <c r="A5" t="str">
        <f>IFERROR(__xludf.DUMMYFUNCTION("""COMPUTED_VALUE"""),"#N/A")</f>
        <v>#N/A</v>
      </c>
      <c r="B5" s="451" t="str">
        <f>IFERROR(__xludf.DUMMYFUNCTION("""COMPUTED_VALUE"""),"#N/A")</f>
        <v>#N/A</v>
      </c>
    </row>
    <row r="6">
      <c r="A6" t="str">
        <f>IFERROR(__xludf.DUMMYFUNCTION("""COMPUTED_VALUE"""),"#N/A")</f>
        <v>#N/A</v>
      </c>
      <c r="B6" s="451" t="str">
        <f>IFERROR(__xludf.DUMMYFUNCTION("""COMPUTED_VALUE"""),"#N/A")</f>
        <v>#N/A</v>
      </c>
    </row>
    <row r="7">
      <c r="A7" t="str">
        <f>IFERROR(__xludf.DUMMYFUNCTION("""COMPUTED_VALUE"""),"#N/A")</f>
        <v>#N/A</v>
      </c>
      <c r="B7" s="451" t="str">
        <f>IFERROR(__xludf.DUMMYFUNCTION("""COMPUTED_VALUE"""),"#N/A")</f>
        <v>#N/A</v>
      </c>
    </row>
    <row r="8">
      <c r="A8" t="str">
        <f>IFERROR(__xludf.DUMMYFUNCTION("""COMPUTED_VALUE"""),"#N/A")</f>
        <v>#N/A</v>
      </c>
      <c r="B8" s="451" t="str">
        <f>IFERROR(__xludf.DUMMYFUNCTION("""COMPUTED_VALUE"""),"#N/A")</f>
        <v>#N/A</v>
      </c>
    </row>
    <row r="9">
      <c r="A9" t="str">
        <f>IFERROR(__xludf.DUMMYFUNCTION("""COMPUTED_VALUE"""),"#N/A")</f>
        <v>#N/A</v>
      </c>
      <c r="B9" s="451" t="str">
        <f>IFERROR(__xludf.DUMMYFUNCTION("""COMPUTED_VALUE"""),"#N/A")</f>
        <v>#N/A</v>
      </c>
    </row>
    <row r="10">
      <c r="A10" t="str">
        <f>IFERROR(__xludf.DUMMYFUNCTION("""COMPUTED_VALUE"""),"#N/A")</f>
        <v>#N/A</v>
      </c>
      <c r="B10" s="451" t="str">
        <f>IFERROR(__xludf.DUMMYFUNCTION("""COMPUTED_VALUE"""),"#N/A")</f>
        <v>#N/A</v>
      </c>
    </row>
    <row r="11">
      <c r="A11" t="str">
        <f>IFERROR(__xludf.DUMMYFUNCTION("""COMPUTED_VALUE"""),"#N/A")</f>
        <v>#N/A</v>
      </c>
      <c r="B11" s="451" t="str">
        <f>IFERROR(__xludf.DUMMYFUNCTION("""COMPUTED_VALUE"""),"#N/A")</f>
        <v>#N/A</v>
      </c>
    </row>
    <row r="12">
      <c r="A12" t="str">
        <f>IFERROR(__xludf.DUMMYFUNCTION("""COMPUTED_VALUE"""),"#N/A")</f>
        <v>#N/A</v>
      </c>
      <c r="B12" s="451" t="str">
        <f>IFERROR(__xludf.DUMMYFUNCTION("""COMPUTED_VALUE"""),"#N/A")</f>
        <v>#N/A</v>
      </c>
    </row>
    <row r="13">
      <c r="A13" t="str">
        <f>IFERROR(__xludf.DUMMYFUNCTION("""COMPUTED_VALUE"""),"#N/A")</f>
        <v>#N/A</v>
      </c>
      <c r="B13" s="451" t="str">
        <f>IFERROR(__xludf.DUMMYFUNCTION("""COMPUTED_VALUE"""),"#N/A")</f>
        <v>#N/A</v>
      </c>
    </row>
    <row r="14">
      <c r="A14" t="str">
        <f>IFERROR(__xludf.DUMMYFUNCTION("""COMPUTED_VALUE"""),"#N/A")</f>
        <v>#N/A</v>
      </c>
      <c r="B14" s="451" t="str">
        <f>IFERROR(__xludf.DUMMYFUNCTION("""COMPUTED_VALUE"""),"#N/A")</f>
        <v>#N/A</v>
      </c>
    </row>
    <row r="15">
      <c r="A15" t="str">
        <f>IFERROR(__xludf.DUMMYFUNCTION("""COMPUTED_VALUE"""),"#N/A")</f>
        <v>#N/A</v>
      </c>
      <c r="B15" s="451" t="str">
        <f>IFERROR(__xludf.DUMMYFUNCTION("""COMPUTED_VALUE"""),"#N/A")</f>
        <v>#N/A</v>
      </c>
    </row>
    <row r="16">
      <c r="A16" t="str">
        <f>IFERROR(__xludf.DUMMYFUNCTION("""COMPUTED_VALUE"""),"#N/A")</f>
        <v>#N/A</v>
      </c>
      <c r="B16" s="451" t="str">
        <f>IFERROR(__xludf.DUMMYFUNCTION("""COMPUTED_VALUE"""),"#N/A")</f>
        <v>#N/A</v>
      </c>
    </row>
    <row r="17">
      <c r="A17" t="str">
        <f>IFERROR(__xludf.DUMMYFUNCTION("""COMPUTED_VALUE"""),"#N/A")</f>
        <v>#N/A</v>
      </c>
      <c r="B17" s="451" t="str">
        <f>IFERROR(__xludf.DUMMYFUNCTION("""COMPUTED_VALUE"""),"#N/A")</f>
        <v>#N/A</v>
      </c>
    </row>
    <row r="18">
      <c r="A18" t="str">
        <f>IFERROR(__xludf.DUMMYFUNCTION("""COMPUTED_VALUE"""),"#N/A")</f>
        <v>#N/A</v>
      </c>
      <c r="B18" s="451" t="str">
        <f>IFERROR(__xludf.DUMMYFUNCTION("""COMPUTED_VALUE"""),"#N/A")</f>
        <v>#N/A</v>
      </c>
    </row>
    <row r="19">
      <c r="A19" t="str">
        <f>IFERROR(__xludf.DUMMYFUNCTION("""COMPUTED_VALUE"""),"#N/A")</f>
        <v>#N/A</v>
      </c>
      <c r="B19" s="451" t="str">
        <f>IFERROR(__xludf.DUMMYFUNCTION("""COMPUTED_VALUE"""),"#N/A")</f>
        <v>#N/A</v>
      </c>
    </row>
    <row r="20">
      <c r="A20" t="str">
        <f>IFERROR(__xludf.DUMMYFUNCTION("""COMPUTED_VALUE"""),"#N/A")</f>
        <v>#N/A</v>
      </c>
      <c r="B20" s="451" t="str">
        <f>IFERROR(__xludf.DUMMYFUNCTION("""COMPUTED_VALUE"""),"#N/A")</f>
        <v>#N/A</v>
      </c>
    </row>
    <row r="21">
      <c r="A21" t="str">
        <f>IFERROR(__xludf.DUMMYFUNCTION("""COMPUTED_VALUE"""),"#N/A")</f>
        <v>#N/A</v>
      </c>
      <c r="B21" s="451" t="str">
        <f>IFERROR(__xludf.DUMMYFUNCTION("""COMPUTED_VALUE"""),"#N/A")</f>
        <v>#N/A</v>
      </c>
    </row>
    <row r="22">
      <c r="A22" t="str">
        <f>IFERROR(__xludf.DUMMYFUNCTION("""COMPUTED_VALUE"""),"#N/A")</f>
        <v>#N/A</v>
      </c>
      <c r="B22" s="451" t="str">
        <f>IFERROR(__xludf.DUMMYFUNCTION("""COMPUTED_VALUE"""),"#N/A")</f>
        <v>#N/A</v>
      </c>
    </row>
    <row r="23">
      <c r="A23" t="str">
        <f>IFERROR(__xludf.DUMMYFUNCTION("""COMPUTED_VALUE"""),"#N/A")</f>
        <v>#N/A</v>
      </c>
      <c r="B23" s="451" t="str">
        <f>IFERROR(__xludf.DUMMYFUNCTION("""COMPUTED_VALUE"""),"#N/A")</f>
        <v>#N/A</v>
      </c>
    </row>
    <row r="24">
      <c r="A24" t="str">
        <f>IFERROR(__xludf.DUMMYFUNCTION("""COMPUTED_VALUE"""),"#N/A")</f>
        <v>#N/A</v>
      </c>
      <c r="B24" s="451" t="str">
        <f>IFERROR(__xludf.DUMMYFUNCTION("""COMPUTED_VALUE"""),"#N/A")</f>
        <v>#N/A</v>
      </c>
    </row>
    <row r="25">
      <c r="A25" t="str">
        <f>IFERROR(__xludf.DUMMYFUNCTION("""COMPUTED_VALUE"""),"#N/A")</f>
        <v>#N/A</v>
      </c>
      <c r="B25" s="451" t="str">
        <f>IFERROR(__xludf.DUMMYFUNCTION("""COMPUTED_VALUE"""),"#N/A")</f>
        <v>#N/A</v>
      </c>
    </row>
    <row r="26">
      <c r="A26" t="str">
        <f>IFERROR(__xludf.DUMMYFUNCTION("""COMPUTED_VALUE"""),"#N/A")</f>
        <v>#N/A</v>
      </c>
      <c r="B26" s="451" t="str">
        <f>IFERROR(__xludf.DUMMYFUNCTION("""COMPUTED_VALUE"""),"#N/A")</f>
        <v>#N/A</v>
      </c>
    </row>
    <row r="27">
      <c r="A27" t="str">
        <f>IFERROR(__xludf.DUMMYFUNCTION("""COMPUTED_VALUE"""),"#N/A")</f>
        <v>#N/A</v>
      </c>
      <c r="B27" s="451" t="str">
        <f>IFERROR(__xludf.DUMMYFUNCTION("""COMPUTED_VALUE"""),"#N/A")</f>
        <v>#N/A</v>
      </c>
    </row>
    <row r="28">
      <c r="A28" t="str">
        <f>IFERROR(__xludf.DUMMYFUNCTION("""COMPUTED_VALUE"""),"#N/A")</f>
        <v>#N/A</v>
      </c>
      <c r="B28" s="451" t="str">
        <f>IFERROR(__xludf.DUMMYFUNCTION("""COMPUTED_VALUE"""),"#N/A")</f>
        <v>#N/A</v>
      </c>
    </row>
    <row r="29">
      <c r="A29" t="str">
        <f>IFERROR(__xludf.DUMMYFUNCTION("""COMPUTED_VALUE"""),"#N/A")</f>
        <v>#N/A</v>
      </c>
      <c r="B29" s="451" t="str">
        <f>IFERROR(__xludf.DUMMYFUNCTION("""COMPUTED_VALUE"""),"#N/A")</f>
        <v>#N/A</v>
      </c>
    </row>
    <row r="30">
      <c r="A30" t="str">
        <f>IFERROR(__xludf.DUMMYFUNCTION("""COMPUTED_VALUE"""),"#N/A")</f>
        <v>#N/A</v>
      </c>
      <c r="B30" s="451" t="str">
        <f>IFERROR(__xludf.DUMMYFUNCTION("""COMPUTED_VALUE"""),"#N/A")</f>
        <v>#N/A</v>
      </c>
    </row>
    <row r="31">
      <c r="A31" t="str">
        <f>IFERROR(__xludf.DUMMYFUNCTION("""COMPUTED_VALUE"""),"#N/A")</f>
        <v>#N/A</v>
      </c>
      <c r="B31" s="451" t="str">
        <f>IFERROR(__xludf.DUMMYFUNCTION("""COMPUTED_VALUE"""),"#N/A")</f>
        <v>#N/A</v>
      </c>
    </row>
    <row r="32">
      <c r="A32" t="str">
        <f>IFERROR(__xludf.DUMMYFUNCTION("""COMPUTED_VALUE"""),"#N/A")</f>
        <v>#N/A</v>
      </c>
      <c r="B32" s="451" t="str">
        <f>IFERROR(__xludf.DUMMYFUNCTION("""COMPUTED_VALUE"""),"#N/A")</f>
        <v>#N/A</v>
      </c>
    </row>
    <row r="33">
      <c r="A33" t="str">
        <f>IFERROR(__xludf.DUMMYFUNCTION("""COMPUTED_VALUE"""),"#N/A")</f>
        <v>#N/A</v>
      </c>
      <c r="B33" s="451" t="str">
        <f>IFERROR(__xludf.DUMMYFUNCTION("""COMPUTED_VALUE"""),"#N/A")</f>
        <v>#N/A</v>
      </c>
    </row>
    <row r="34">
      <c r="A34" t="str">
        <f>IFERROR(__xludf.DUMMYFUNCTION("""COMPUTED_VALUE"""),"#N/A")</f>
        <v>#N/A</v>
      </c>
      <c r="B34" s="451" t="str">
        <f>IFERROR(__xludf.DUMMYFUNCTION("""COMPUTED_VALUE"""),"#N/A")</f>
        <v>#N/A</v>
      </c>
    </row>
    <row r="35">
      <c r="A35" t="str">
        <f>IFERROR(__xludf.DUMMYFUNCTION("""COMPUTED_VALUE"""),"#N/A")</f>
        <v>#N/A</v>
      </c>
      <c r="B35" s="451" t="str">
        <f>IFERROR(__xludf.DUMMYFUNCTION("""COMPUTED_VALUE"""),"#N/A")</f>
        <v>#N/A</v>
      </c>
    </row>
    <row r="36">
      <c r="A36" t="str">
        <f>IFERROR(__xludf.DUMMYFUNCTION("""COMPUTED_VALUE"""),"#N/A")</f>
        <v>#N/A</v>
      </c>
      <c r="B36" s="451" t="str">
        <f>IFERROR(__xludf.DUMMYFUNCTION("""COMPUTED_VALUE"""),"#N/A")</f>
        <v>#N/A</v>
      </c>
    </row>
    <row r="37">
      <c r="A37" t="str">
        <f>IFERROR(__xludf.DUMMYFUNCTION("""COMPUTED_VALUE"""),"#N/A")</f>
        <v>#N/A</v>
      </c>
      <c r="B37" s="451" t="str">
        <f>IFERROR(__xludf.DUMMYFUNCTION("""COMPUTED_VALUE"""),"#N/A")</f>
        <v>#N/A</v>
      </c>
    </row>
    <row r="38">
      <c r="A38" t="str">
        <f>IFERROR(__xludf.DUMMYFUNCTION("""COMPUTED_VALUE"""),"#N/A")</f>
        <v>#N/A</v>
      </c>
      <c r="B38" s="451" t="str">
        <f>IFERROR(__xludf.DUMMYFUNCTION("""COMPUTED_VALUE"""),"#N/A")</f>
        <v>#N/A</v>
      </c>
    </row>
    <row r="39">
      <c r="A39" t="str">
        <f>IFERROR(__xludf.DUMMYFUNCTION("""COMPUTED_VALUE"""),"#N/A")</f>
        <v>#N/A</v>
      </c>
      <c r="B39" s="451" t="str">
        <f>IFERROR(__xludf.DUMMYFUNCTION("""COMPUTED_VALUE"""),"#N/A")</f>
        <v>#N/A</v>
      </c>
    </row>
    <row r="40">
      <c r="A40" t="str">
        <f>IFERROR(__xludf.DUMMYFUNCTION("""COMPUTED_VALUE"""),"#N/A")</f>
        <v>#N/A</v>
      </c>
      <c r="B40" s="451" t="str">
        <f>IFERROR(__xludf.DUMMYFUNCTION("""COMPUTED_VALUE"""),"#N/A")</f>
        <v>#N/A</v>
      </c>
    </row>
    <row r="41">
      <c r="A41" t="str">
        <f>IFERROR(__xludf.DUMMYFUNCTION("""COMPUTED_VALUE"""),"#N/A")</f>
        <v>#N/A</v>
      </c>
      <c r="B41" s="451" t="str">
        <f>IFERROR(__xludf.DUMMYFUNCTION("""COMPUTED_VALUE"""),"#N/A")</f>
        <v>#N/A</v>
      </c>
    </row>
    <row r="42">
      <c r="A42" t="str">
        <f>IFERROR(__xludf.DUMMYFUNCTION("""COMPUTED_VALUE"""),"#N/A")</f>
        <v>#N/A</v>
      </c>
      <c r="B42" s="451" t="str">
        <f>IFERROR(__xludf.DUMMYFUNCTION("""COMPUTED_VALUE"""),"#N/A")</f>
        <v>#N/A</v>
      </c>
    </row>
    <row r="43">
      <c r="A43" t="str">
        <f>IFERROR(__xludf.DUMMYFUNCTION("""COMPUTED_VALUE"""),"#N/A")</f>
        <v>#N/A</v>
      </c>
      <c r="B43" s="451" t="str">
        <f>IFERROR(__xludf.DUMMYFUNCTION("""COMPUTED_VALUE"""),"#N/A")</f>
        <v>#N/A</v>
      </c>
    </row>
    <row r="44">
      <c r="A44" t="str">
        <f>IFERROR(__xludf.DUMMYFUNCTION("""COMPUTED_VALUE"""),"#N/A")</f>
        <v>#N/A</v>
      </c>
      <c r="B44" s="451" t="str">
        <f>IFERROR(__xludf.DUMMYFUNCTION("""COMPUTED_VALUE"""),"#N/A")</f>
        <v>#N/A</v>
      </c>
    </row>
    <row r="45">
      <c r="A45" t="str">
        <f>IFERROR(__xludf.DUMMYFUNCTION("""COMPUTED_VALUE"""),"#N/A")</f>
        <v>#N/A</v>
      </c>
      <c r="B45" s="451" t="str">
        <f>IFERROR(__xludf.DUMMYFUNCTION("""COMPUTED_VALUE"""),"#N/A")</f>
        <v>#N/A</v>
      </c>
    </row>
    <row r="46">
      <c r="A46" t="str">
        <f>IFERROR(__xludf.DUMMYFUNCTION("""COMPUTED_VALUE"""),"#N/A")</f>
        <v>#N/A</v>
      </c>
      <c r="B46" s="451" t="str">
        <f>IFERROR(__xludf.DUMMYFUNCTION("""COMPUTED_VALUE"""),"#N/A")</f>
        <v>#N/A</v>
      </c>
    </row>
    <row r="47">
      <c r="A47" t="str">
        <f>IFERROR(__xludf.DUMMYFUNCTION("""COMPUTED_VALUE"""),"#N/A")</f>
        <v>#N/A</v>
      </c>
      <c r="B47" s="451" t="str">
        <f>IFERROR(__xludf.DUMMYFUNCTION("""COMPUTED_VALUE"""),"#N/A")</f>
        <v>#N/A</v>
      </c>
    </row>
    <row r="48">
      <c r="A48" t="str">
        <f>IFERROR(__xludf.DUMMYFUNCTION("""COMPUTED_VALUE"""),"#N/A")</f>
        <v>#N/A</v>
      </c>
      <c r="B48" s="451" t="str">
        <f>IFERROR(__xludf.DUMMYFUNCTION("""COMPUTED_VALUE"""),"#N/A")</f>
        <v>#N/A</v>
      </c>
    </row>
    <row r="49">
      <c r="A49" t="str">
        <f>IFERROR(__xludf.DUMMYFUNCTION("""COMPUTED_VALUE"""),"#N/A")</f>
        <v>#N/A</v>
      </c>
      <c r="B49" s="451" t="str">
        <f>IFERROR(__xludf.DUMMYFUNCTION("""COMPUTED_VALUE"""),"#N/A")</f>
        <v>#N/A</v>
      </c>
    </row>
    <row r="50">
      <c r="A50" t="str">
        <f>IFERROR(__xludf.DUMMYFUNCTION("""COMPUTED_VALUE"""),"#N/A")</f>
        <v>#N/A</v>
      </c>
      <c r="B50" s="451" t="str">
        <f>IFERROR(__xludf.DUMMYFUNCTION("""COMPUTED_VALUE"""),"#N/A")</f>
        <v>#N/A</v>
      </c>
    </row>
    <row r="51">
      <c r="A51" t="str">
        <f>IFERROR(__xludf.DUMMYFUNCTION("""COMPUTED_VALUE"""),"#N/A")</f>
        <v>#N/A</v>
      </c>
      <c r="B51" s="451" t="str">
        <f>IFERROR(__xludf.DUMMYFUNCTION("""COMPUTED_VALUE"""),"#N/A")</f>
        <v>#N/A</v>
      </c>
    </row>
    <row r="52">
      <c r="A52" t="str">
        <f>IFERROR(__xludf.DUMMYFUNCTION("""COMPUTED_VALUE"""),"#N/A")</f>
        <v>#N/A</v>
      </c>
      <c r="B52" s="451" t="str">
        <f>IFERROR(__xludf.DUMMYFUNCTION("""COMPUTED_VALUE"""),"#N/A")</f>
        <v>#N/A</v>
      </c>
    </row>
    <row r="53">
      <c r="A53" t="str">
        <f>IFERROR(__xludf.DUMMYFUNCTION("""COMPUTED_VALUE"""),"#N/A")</f>
        <v>#N/A</v>
      </c>
      <c r="B53" s="451" t="str">
        <f>IFERROR(__xludf.DUMMYFUNCTION("""COMPUTED_VALUE"""),"#N/A")</f>
        <v>#N/A</v>
      </c>
    </row>
    <row r="54">
      <c r="A54" t="str">
        <f>IFERROR(__xludf.DUMMYFUNCTION("""COMPUTED_VALUE"""),"#N/A")</f>
        <v>#N/A</v>
      </c>
      <c r="B54" s="451" t="str">
        <f>IFERROR(__xludf.DUMMYFUNCTION("""COMPUTED_VALUE"""),"#N/A")</f>
        <v>#N/A</v>
      </c>
    </row>
    <row r="55">
      <c r="A55" t="str">
        <f>IFERROR(__xludf.DUMMYFUNCTION("""COMPUTED_VALUE"""),"#N/A")</f>
        <v>#N/A</v>
      </c>
      <c r="B55" s="451" t="str">
        <f>IFERROR(__xludf.DUMMYFUNCTION("""COMPUTED_VALUE"""),"#N/A")</f>
        <v>#N/A</v>
      </c>
    </row>
    <row r="56">
      <c r="A56" t="str">
        <f>IFERROR(__xludf.DUMMYFUNCTION("""COMPUTED_VALUE"""),"#N/A")</f>
        <v>#N/A</v>
      </c>
      <c r="B56" s="451" t="str">
        <f>IFERROR(__xludf.DUMMYFUNCTION("""COMPUTED_VALUE"""),"#N/A")</f>
        <v>#N/A</v>
      </c>
    </row>
    <row r="57">
      <c r="A57" t="str">
        <f>IFERROR(__xludf.DUMMYFUNCTION("""COMPUTED_VALUE"""),"#N/A")</f>
        <v>#N/A</v>
      </c>
      <c r="B57" s="451" t="str">
        <f>IFERROR(__xludf.DUMMYFUNCTION("""COMPUTED_VALUE"""),"#N/A")</f>
        <v>#N/A</v>
      </c>
    </row>
    <row r="58">
      <c r="A58" t="str">
        <f>IFERROR(__xludf.DUMMYFUNCTION("""COMPUTED_VALUE"""),"#N/A")</f>
        <v>#N/A</v>
      </c>
      <c r="B58" s="451" t="str">
        <f>IFERROR(__xludf.DUMMYFUNCTION("""COMPUTED_VALUE"""),"#N/A")</f>
        <v>#N/A</v>
      </c>
    </row>
    <row r="59">
      <c r="A59" t="str">
        <f>IFERROR(__xludf.DUMMYFUNCTION("""COMPUTED_VALUE"""),"#N/A")</f>
        <v>#N/A</v>
      </c>
      <c r="B59" s="451" t="str">
        <f>IFERROR(__xludf.DUMMYFUNCTION("""COMPUTED_VALUE"""),"#N/A")</f>
        <v>#N/A</v>
      </c>
    </row>
    <row r="60">
      <c r="A60" t="str">
        <f>IFERROR(__xludf.DUMMYFUNCTION("""COMPUTED_VALUE"""),"#N/A")</f>
        <v>#N/A</v>
      </c>
      <c r="B60" s="451" t="str">
        <f>IFERROR(__xludf.DUMMYFUNCTION("""COMPUTED_VALUE"""),"#N/A")</f>
        <v>#N/A</v>
      </c>
    </row>
    <row r="61">
      <c r="A61" t="str">
        <f>IFERROR(__xludf.DUMMYFUNCTION("""COMPUTED_VALUE"""),"#N/A")</f>
        <v>#N/A</v>
      </c>
      <c r="B61" s="451" t="str">
        <f>IFERROR(__xludf.DUMMYFUNCTION("""COMPUTED_VALUE"""),"#N/A")</f>
        <v>#N/A</v>
      </c>
    </row>
    <row r="62">
      <c r="A62" t="str">
        <f>IFERROR(__xludf.DUMMYFUNCTION("""COMPUTED_VALUE"""),"#N/A")</f>
        <v>#N/A</v>
      </c>
      <c r="B62" s="451" t="str">
        <f>IFERROR(__xludf.DUMMYFUNCTION("""COMPUTED_VALUE"""),"#N/A")</f>
        <v>#N/A</v>
      </c>
    </row>
    <row r="63">
      <c r="A63" t="str">
        <f>IFERROR(__xludf.DUMMYFUNCTION("""COMPUTED_VALUE"""),"#N/A")</f>
        <v>#N/A</v>
      </c>
      <c r="B63" s="451" t="str">
        <f>IFERROR(__xludf.DUMMYFUNCTION("""COMPUTED_VALUE"""),"#N/A")</f>
        <v>#N/A</v>
      </c>
    </row>
    <row r="64">
      <c r="A64" t="str">
        <f>IFERROR(__xludf.DUMMYFUNCTION("""COMPUTED_VALUE"""),"#N/A")</f>
        <v>#N/A</v>
      </c>
      <c r="B64" s="451" t="str">
        <f>IFERROR(__xludf.DUMMYFUNCTION("""COMPUTED_VALUE"""),"#N/A")</f>
        <v>#N/A</v>
      </c>
    </row>
    <row r="65">
      <c r="A65" t="str">
        <f>IFERROR(__xludf.DUMMYFUNCTION("""COMPUTED_VALUE"""),"#N/A")</f>
        <v>#N/A</v>
      </c>
      <c r="B65" s="451" t="str">
        <f>IFERROR(__xludf.DUMMYFUNCTION("""COMPUTED_VALUE"""),"#N/A")</f>
        <v>#N/A</v>
      </c>
    </row>
    <row r="66">
      <c r="A66" t="str">
        <f>IFERROR(__xludf.DUMMYFUNCTION("""COMPUTED_VALUE"""),"#N/A")</f>
        <v>#N/A</v>
      </c>
      <c r="B66" s="451" t="str">
        <f>IFERROR(__xludf.DUMMYFUNCTION("""COMPUTED_VALUE"""),"#N/A")</f>
        <v>#N/A</v>
      </c>
    </row>
    <row r="67">
      <c r="A67" t="str">
        <f>IFERROR(__xludf.DUMMYFUNCTION("""COMPUTED_VALUE"""),"#N/A")</f>
        <v>#N/A</v>
      </c>
      <c r="B67" s="451" t="str">
        <f>IFERROR(__xludf.DUMMYFUNCTION("""COMPUTED_VALUE"""),"#N/A")</f>
        <v>#N/A</v>
      </c>
    </row>
    <row r="68">
      <c r="A68" t="str">
        <f>IFERROR(__xludf.DUMMYFUNCTION("""COMPUTED_VALUE"""),"#N/A")</f>
        <v>#N/A</v>
      </c>
      <c r="B68" s="451" t="str">
        <f>IFERROR(__xludf.DUMMYFUNCTION("""COMPUTED_VALUE"""),"#N/A")</f>
        <v>#N/A</v>
      </c>
    </row>
    <row r="69">
      <c r="A69" t="str">
        <f>IFERROR(__xludf.DUMMYFUNCTION("""COMPUTED_VALUE"""),"#N/A")</f>
        <v>#N/A</v>
      </c>
      <c r="B69" s="451" t="str">
        <f>IFERROR(__xludf.DUMMYFUNCTION("""COMPUTED_VALUE"""),"#N/A")</f>
        <v>#N/A</v>
      </c>
    </row>
    <row r="70">
      <c r="A70" t="str">
        <f>IFERROR(__xludf.DUMMYFUNCTION("""COMPUTED_VALUE"""),"#N/A")</f>
        <v>#N/A</v>
      </c>
      <c r="B70" s="451" t="str">
        <f>IFERROR(__xludf.DUMMYFUNCTION("""COMPUTED_VALUE"""),"#N/A")</f>
        <v>#N/A</v>
      </c>
    </row>
    <row r="71">
      <c r="A71" t="str">
        <f>IFERROR(__xludf.DUMMYFUNCTION("""COMPUTED_VALUE"""),"#N/A")</f>
        <v>#N/A</v>
      </c>
      <c r="B71" s="451" t="str">
        <f>IFERROR(__xludf.DUMMYFUNCTION("""COMPUTED_VALUE"""),"#N/A")</f>
        <v>#N/A</v>
      </c>
    </row>
    <row r="72">
      <c r="A72" t="str">
        <f>IFERROR(__xludf.DUMMYFUNCTION("""COMPUTED_VALUE"""),"#N/A")</f>
        <v>#N/A</v>
      </c>
      <c r="B72" s="451" t="str">
        <f>IFERROR(__xludf.DUMMYFUNCTION("""COMPUTED_VALUE"""),"#N/A")</f>
        <v>#N/A</v>
      </c>
    </row>
    <row r="73">
      <c r="A73" t="str">
        <f>IFERROR(__xludf.DUMMYFUNCTION("""COMPUTED_VALUE"""),"#N/A")</f>
        <v>#N/A</v>
      </c>
      <c r="B73" s="451" t="str">
        <f>IFERROR(__xludf.DUMMYFUNCTION("""COMPUTED_VALUE"""),"#N/A")</f>
        <v>#N/A</v>
      </c>
    </row>
    <row r="74">
      <c r="A74" t="str">
        <f>IFERROR(__xludf.DUMMYFUNCTION("""COMPUTED_VALUE"""),"#N/A")</f>
        <v>#N/A</v>
      </c>
      <c r="B74" s="451" t="str">
        <f>IFERROR(__xludf.DUMMYFUNCTION("""COMPUTED_VALUE"""),"#N/A")</f>
        <v>#N/A</v>
      </c>
    </row>
    <row r="75">
      <c r="A75" t="str">
        <f>IFERROR(__xludf.DUMMYFUNCTION("""COMPUTED_VALUE"""),"#N/A")</f>
        <v>#N/A</v>
      </c>
      <c r="B75" s="451" t="str">
        <f>IFERROR(__xludf.DUMMYFUNCTION("""COMPUTED_VALUE"""),"#N/A")</f>
        <v>#N/A</v>
      </c>
    </row>
    <row r="76">
      <c r="A76" t="str">
        <f>IFERROR(__xludf.DUMMYFUNCTION("""COMPUTED_VALUE"""),"#N/A")</f>
        <v>#N/A</v>
      </c>
      <c r="B76" s="451" t="str">
        <f>IFERROR(__xludf.DUMMYFUNCTION("""COMPUTED_VALUE"""),"#N/A")</f>
        <v>#N/A</v>
      </c>
    </row>
    <row r="77">
      <c r="A77" t="str">
        <f>IFERROR(__xludf.DUMMYFUNCTION("""COMPUTED_VALUE"""),"#N/A")</f>
        <v>#N/A</v>
      </c>
      <c r="B77" s="451" t="str">
        <f>IFERROR(__xludf.DUMMYFUNCTION("""COMPUTED_VALUE"""),"#N/A")</f>
        <v>#N/A</v>
      </c>
    </row>
    <row r="78">
      <c r="A78" t="str">
        <f>IFERROR(__xludf.DUMMYFUNCTION("""COMPUTED_VALUE"""),"#N/A")</f>
        <v>#N/A</v>
      </c>
      <c r="B78" s="451" t="str">
        <f>IFERROR(__xludf.DUMMYFUNCTION("""COMPUTED_VALUE"""),"#N/A")</f>
        <v>#N/A</v>
      </c>
    </row>
    <row r="79">
      <c r="A79" t="str">
        <f>IFERROR(__xludf.DUMMYFUNCTION("""COMPUTED_VALUE"""),"#N/A")</f>
        <v>#N/A</v>
      </c>
      <c r="B79" s="451" t="str">
        <f>IFERROR(__xludf.DUMMYFUNCTION("""COMPUTED_VALUE"""),"#N/A")</f>
        <v>#N/A</v>
      </c>
    </row>
    <row r="80">
      <c r="A80" t="str">
        <f>IFERROR(__xludf.DUMMYFUNCTION("""COMPUTED_VALUE"""),"#N/A")</f>
        <v>#N/A</v>
      </c>
      <c r="B80" s="451" t="str">
        <f>IFERROR(__xludf.DUMMYFUNCTION("""COMPUTED_VALUE"""),"#N/A")</f>
        <v>#N/A</v>
      </c>
    </row>
    <row r="81">
      <c r="A81" t="str">
        <f>IFERROR(__xludf.DUMMYFUNCTION("""COMPUTED_VALUE"""),"#N/A")</f>
        <v>#N/A</v>
      </c>
      <c r="B81" s="451" t="str">
        <f>IFERROR(__xludf.DUMMYFUNCTION("""COMPUTED_VALUE"""),"#N/A")</f>
        <v>#N/A</v>
      </c>
    </row>
    <row r="82">
      <c r="A82" t="str">
        <f>IFERROR(__xludf.DUMMYFUNCTION("""COMPUTED_VALUE"""),"#N/A")</f>
        <v>#N/A</v>
      </c>
      <c r="B82" s="451" t="str">
        <f>IFERROR(__xludf.DUMMYFUNCTION("""COMPUTED_VALUE"""),"#N/A")</f>
        <v>#N/A</v>
      </c>
    </row>
    <row r="83">
      <c r="A83" t="str">
        <f>IFERROR(__xludf.DUMMYFUNCTION("""COMPUTED_VALUE"""),"#N/A")</f>
        <v>#N/A</v>
      </c>
      <c r="B83" s="451" t="str">
        <f>IFERROR(__xludf.DUMMYFUNCTION("""COMPUTED_VALUE"""),"#N/A")</f>
        <v>#N/A</v>
      </c>
    </row>
    <row r="84">
      <c r="A84" t="str">
        <f>IFERROR(__xludf.DUMMYFUNCTION("""COMPUTED_VALUE"""),"#N/A")</f>
        <v>#N/A</v>
      </c>
      <c r="B84" s="451" t="str">
        <f>IFERROR(__xludf.DUMMYFUNCTION("""COMPUTED_VALUE"""),"#N/A")</f>
        <v>#N/A</v>
      </c>
    </row>
    <row r="85">
      <c r="A85" t="str">
        <f>IFERROR(__xludf.DUMMYFUNCTION("""COMPUTED_VALUE"""),"#N/A")</f>
        <v>#N/A</v>
      </c>
      <c r="B85" s="451" t="str">
        <f>IFERROR(__xludf.DUMMYFUNCTION("""COMPUTED_VALUE"""),"#N/A")</f>
        <v>#N/A</v>
      </c>
    </row>
    <row r="86">
      <c r="A86" t="str">
        <f>IFERROR(__xludf.DUMMYFUNCTION("""COMPUTED_VALUE"""),"#N/A")</f>
        <v>#N/A</v>
      </c>
      <c r="B86" s="451" t="str">
        <f>IFERROR(__xludf.DUMMYFUNCTION("""COMPUTED_VALUE"""),"#N/A")</f>
        <v>#N/A</v>
      </c>
    </row>
    <row r="87">
      <c r="A87" t="str">
        <f>IFERROR(__xludf.DUMMYFUNCTION("""COMPUTED_VALUE"""),"#N/A")</f>
        <v>#N/A</v>
      </c>
      <c r="B87" s="451" t="str">
        <f>IFERROR(__xludf.DUMMYFUNCTION("""COMPUTED_VALUE"""),"#N/A")</f>
        <v>#N/A</v>
      </c>
    </row>
    <row r="88">
      <c r="A88" t="str">
        <f>IFERROR(__xludf.DUMMYFUNCTION("""COMPUTED_VALUE"""),"#N/A")</f>
        <v>#N/A</v>
      </c>
      <c r="B88" s="451" t="str">
        <f>IFERROR(__xludf.DUMMYFUNCTION("""COMPUTED_VALUE"""),"#N/A")</f>
        <v>#N/A</v>
      </c>
    </row>
    <row r="89">
      <c r="A89" t="str">
        <f>IFERROR(__xludf.DUMMYFUNCTION("""COMPUTED_VALUE"""),"#N/A")</f>
        <v>#N/A</v>
      </c>
      <c r="B89" s="451" t="str">
        <f>IFERROR(__xludf.DUMMYFUNCTION("""COMPUTED_VALUE"""),"#N/A")</f>
        <v>#N/A</v>
      </c>
    </row>
    <row r="90">
      <c r="A90" t="str">
        <f>IFERROR(__xludf.DUMMYFUNCTION("""COMPUTED_VALUE"""),"#N/A")</f>
        <v>#N/A</v>
      </c>
      <c r="B90" s="451" t="str">
        <f>IFERROR(__xludf.DUMMYFUNCTION("""COMPUTED_VALUE"""),"#N/A")</f>
        <v>#N/A</v>
      </c>
    </row>
    <row r="91">
      <c r="A91" t="str">
        <f>IFERROR(__xludf.DUMMYFUNCTION("""COMPUTED_VALUE"""),"#N/A")</f>
        <v>#N/A</v>
      </c>
      <c r="B91" s="451" t="str">
        <f>IFERROR(__xludf.DUMMYFUNCTION("""COMPUTED_VALUE"""),"#N/A")</f>
        <v>#N/A</v>
      </c>
    </row>
    <row r="92">
      <c r="A92" t="str">
        <f>IFERROR(__xludf.DUMMYFUNCTION("""COMPUTED_VALUE"""),"#N/A")</f>
        <v>#N/A</v>
      </c>
      <c r="B92" s="451" t="str">
        <f>IFERROR(__xludf.DUMMYFUNCTION("""COMPUTED_VALUE"""),"#N/A")</f>
        <v>#N/A</v>
      </c>
    </row>
    <row r="93">
      <c r="A93" t="str">
        <f>IFERROR(__xludf.DUMMYFUNCTION("""COMPUTED_VALUE"""),"#N/A")</f>
        <v>#N/A</v>
      </c>
      <c r="B93" s="451" t="str">
        <f>IFERROR(__xludf.DUMMYFUNCTION("""COMPUTED_VALUE"""),"#N/A")</f>
        <v>#N/A</v>
      </c>
    </row>
    <row r="94">
      <c r="A94" t="str">
        <f>IFERROR(__xludf.DUMMYFUNCTION("""COMPUTED_VALUE"""),"#N/A")</f>
        <v>#N/A</v>
      </c>
      <c r="B94" s="451" t="str">
        <f>IFERROR(__xludf.DUMMYFUNCTION("""COMPUTED_VALUE"""),"#N/A")</f>
        <v>#N/A</v>
      </c>
    </row>
    <row r="95">
      <c r="A95" t="str">
        <f>IFERROR(__xludf.DUMMYFUNCTION("""COMPUTED_VALUE"""),"#N/A")</f>
        <v>#N/A</v>
      </c>
      <c r="B95" s="451" t="str">
        <f>IFERROR(__xludf.DUMMYFUNCTION("""COMPUTED_VALUE"""),"#N/A")</f>
        <v>#N/A</v>
      </c>
    </row>
    <row r="96">
      <c r="A96" t="str">
        <f>IFERROR(__xludf.DUMMYFUNCTION("""COMPUTED_VALUE"""),"#N/A")</f>
        <v>#N/A</v>
      </c>
      <c r="B96" s="451" t="str">
        <f>IFERROR(__xludf.DUMMYFUNCTION("""COMPUTED_VALUE"""),"#N/A")</f>
        <v>#N/A</v>
      </c>
    </row>
    <row r="97">
      <c r="A97" t="str">
        <f>IFERROR(__xludf.DUMMYFUNCTION("""COMPUTED_VALUE"""),"#N/A")</f>
        <v>#N/A</v>
      </c>
      <c r="B97" s="451" t="str">
        <f>IFERROR(__xludf.DUMMYFUNCTION("""COMPUTED_VALUE"""),"#N/A")</f>
        <v>#N/A</v>
      </c>
    </row>
    <row r="98">
      <c r="A98" t="str">
        <f>IFERROR(__xludf.DUMMYFUNCTION("""COMPUTED_VALUE"""),"#N/A")</f>
        <v>#N/A</v>
      </c>
      <c r="B98" s="451" t="str">
        <f>IFERROR(__xludf.DUMMYFUNCTION("""COMPUTED_VALUE"""),"#N/A")</f>
        <v>#N/A</v>
      </c>
    </row>
    <row r="99">
      <c r="A99" t="str">
        <f>IFERROR(__xludf.DUMMYFUNCTION("""COMPUTED_VALUE"""),"#N/A")</f>
        <v>#N/A</v>
      </c>
      <c r="B99" s="451" t="str">
        <f>IFERROR(__xludf.DUMMYFUNCTION("""COMPUTED_VALUE"""),"#N/A")</f>
        <v>#N/A</v>
      </c>
    </row>
    <row r="100">
      <c r="A100" t="str">
        <f>IFERROR(__xludf.DUMMYFUNCTION("""COMPUTED_VALUE"""),"#N/A")</f>
        <v>#N/A</v>
      </c>
      <c r="B100" s="451" t="str">
        <f>IFERROR(__xludf.DUMMYFUNCTION("""COMPUTED_VALUE"""),"#N/A")</f>
        <v>#N/A</v>
      </c>
    </row>
    <row r="101">
      <c r="A101" t="str">
        <f>IFERROR(__xludf.DUMMYFUNCTION("""COMPUTED_VALUE"""),"#N/A")</f>
        <v>#N/A</v>
      </c>
      <c r="B101" s="451" t="str">
        <f>IFERROR(__xludf.DUMMYFUNCTION("""COMPUTED_VALUE"""),"#N/A")</f>
        <v>#N/A</v>
      </c>
    </row>
    <row r="102">
      <c r="A102" t="str">
        <f>IFERROR(__xludf.DUMMYFUNCTION("""COMPUTED_VALUE"""),"#N/A")</f>
        <v>#N/A</v>
      </c>
      <c r="B102" s="451" t="str">
        <f>IFERROR(__xludf.DUMMYFUNCTION("""COMPUTED_VALUE"""),"#N/A")</f>
        <v>#N/A</v>
      </c>
    </row>
    <row r="103">
      <c r="A103" t="str">
        <f>IFERROR(__xludf.DUMMYFUNCTION("""COMPUTED_VALUE"""),"#N/A")</f>
        <v>#N/A</v>
      </c>
      <c r="B103" s="451" t="str">
        <f>IFERROR(__xludf.DUMMYFUNCTION("""COMPUTED_VALUE"""),"#N/A")</f>
        <v>#N/A</v>
      </c>
    </row>
    <row r="104">
      <c r="A104" t="str">
        <f>IFERROR(__xludf.DUMMYFUNCTION("""COMPUTED_VALUE"""),"#N/A")</f>
        <v>#N/A</v>
      </c>
      <c r="B104" s="451" t="str">
        <f>IFERROR(__xludf.DUMMYFUNCTION("""COMPUTED_VALUE"""),"#N/A")</f>
        <v>#N/A</v>
      </c>
    </row>
    <row r="105">
      <c r="A105" t="str">
        <f>IFERROR(__xludf.DUMMYFUNCTION("""COMPUTED_VALUE"""),"#N/A")</f>
        <v>#N/A</v>
      </c>
      <c r="B105" s="451" t="str">
        <f>IFERROR(__xludf.DUMMYFUNCTION("""COMPUTED_VALUE"""),"#N/A")</f>
        <v>#N/A</v>
      </c>
    </row>
    <row r="106">
      <c r="A106" t="str">
        <f>IFERROR(__xludf.DUMMYFUNCTION("""COMPUTED_VALUE"""),"#N/A")</f>
        <v>#N/A</v>
      </c>
      <c r="B106" s="451" t="str">
        <f>IFERROR(__xludf.DUMMYFUNCTION("""COMPUTED_VALUE"""),"#N/A")</f>
        <v>#N/A</v>
      </c>
    </row>
    <row r="107">
      <c r="A107" t="str">
        <f>IFERROR(__xludf.DUMMYFUNCTION("""COMPUTED_VALUE"""),"#N/A")</f>
        <v>#N/A</v>
      </c>
      <c r="B107" s="451" t="str">
        <f>IFERROR(__xludf.DUMMYFUNCTION("""COMPUTED_VALUE"""),"#N/A")</f>
        <v>#N/A</v>
      </c>
    </row>
    <row r="108">
      <c r="A108" t="str">
        <f>IFERROR(__xludf.DUMMYFUNCTION("""COMPUTED_VALUE"""),"#N/A")</f>
        <v>#N/A</v>
      </c>
      <c r="B108" s="451" t="str">
        <f>IFERROR(__xludf.DUMMYFUNCTION("""COMPUTED_VALUE"""),"#N/A")</f>
        <v>#N/A</v>
      </c>
    </row>
    <row r="109">
      <c r="A109" t="str">
        <f>IFERROR(__xludf.DUMMYFUNCTION("""COMPUTED_VALUE"""),"#N/A")</f>
        <v>#N/A</v>
      </c>
      <c r="B109" s="451" t="str">
        <f>IFERROR(__xludf.DUMMYFUNCTION("""COMPUTED_VALUE"""),"#N/A")</f>
        <v>#N/A</v>
      </c>
    </row>
    <row r="110">
      <c r="A110" t="str">
        <f>IFERROR(__xludf.DUMMYFUNCTION("""COMPUTED_VALUE"""),"#N/A")</f>
        <v>#N/A</v>
      </c>
      <c r="B110" s="451" t="str">
        <f>IFERROR(__xludf.DUMMYFUNCTION("""COMPUTED_VALUE"""),"#N/A")</f>
        <v>#N/A</v>
      </c>
    </row>
    <row r="111">
      <c r="A111" t="str">
        <f>IFERROR(__xludf.DUMMYFUNCTION("""COMPUTED_VALUE"""),"#N/A")</f>
        <v>#N/A</v>
      </c>
      <c r="B111" s="451" t="str">
        <f>IFERROR(__xludf.DUMMYFUNCTION("""COMPUTED_VALUE"""),"#N/A")</f>
        <v>#N/A</v>
      </c>
    </row>
    <row r="112">
      <c r="A112" t="str">
        <f>IFERROR(__xludf.DUMMYFUNCTION("""COMPUTED_VALUE"""),"#N/A")</f>
        <v>#N/A</v>
      </c>
      <c r="B112" s="451" t="str">
        <f>IFERROR(__xludf.DUMMYFUNCTION("""COMPUTED_VALUE"""),"#N/A")</f>
        <v>#N/A</v>
      </c>
    </row>
    <row r="113">
      <c r="A113" t="str">
        <f>IFERROR(__xludf.DUMMYFUNCTION("""COMPUTED_VALUE"""),"#N/A")</f>
        <v>#N/A</v>
      </c>
      <c r="B113" s="451" t="str">
        <f>IFERROR(__xludf.DUMMYFUNCTION("""COMPUTED_VALUE"""),"#N/A")</f>
        <v>#N/A</v>
      </c>
    </row>
    <row r="114">
      <c r="A114" t="str">
        <f>IFERROR(__xludf.DUMMYFUNCTION("""COMPUTED_VALUE"""),"#N/A")</f>
        <v>#N/A</v>
      </c>
      <c r="B114" s="451" t="str">
        <f>IFERROR(__xludf.DUMMYFUNCTION("""COMPUTED_VALUE"""),"#N/A")</f>
        <v>#N/A</v>
      </c>
    </row>
    <row r="115">
      <c r="A115" t="str">
        <f>IFERROR(__xludf.DUMMYFUNCTION("""COMPUTED_VALUE"""),"#N/A")</f>
        <v>#N/A</v>
      </c>
      <c r="B115" s="451" t="str">
        <f>IFERROR(__xludf.DUMMYFUNCTION("""COMPUTED_VALUE"""),"#N/A")</f>
        <v>#N/A</v>
      </c>
    </row>
    <row r="116">
      <c r="A116" t="str">
        <f>IFERROR(__xludf.DUMMYFUNCTION("""COMPUTED_VALUE"""),"#N/A")</f>
        <v>#N/A</v>
      </c>
      <c r="B116" s="451" t="str">
        <f>IFERROR(__xludf.DUMMYFUNCTION("""COMPUTED_VALUE"""),"#N/A")</f>
        <v>#N/A</v>
      </c>
    </row>
    <row r="117">
      <c r="A117" t="str">
        <f>IFERROR(__xludf.DUMMYFUNCTION("""COMPUTED_VALUE"""),"#N/A")</f>
        <v>#N/A</v>
      </c>
      <c r="B117" s="451" t="str">
        <f>IFERROR(__xludf.DUMMYFUNCTION("""COMPUTED_VALUE"""),"#N/A")</f>
        <v>#N/A</v>
      </c>
    </row>
    <row r="118">
      <c r="A118" t="str">
        <f>IFERROR(__xludf.DUMMYFUNCTION("""COMPUTED_VALUE"""),"#N/A")</f>
        <v>#N/A</v>
      </c>
      <c r="B118" s="451" t="str">
        <f>IFERROR(__xludf.DUMMYFUNCTION("""COMPUTED_VALUE"""),"#N/A")</f>
        <v>#N/A</v>
      </c>
    </row>
    <row r="119">
      <c r="A119" t="str">
        <f>IFERROR(__xludf.DUMMYFUNCTION("""COMPUTED_VALUE"""),"#N/A")</f>
        <v>#N/A</v>
      </c>
      <c r="B119" s="451" t="str">
        <f>IFERROR(__xludf.DUMMYFUNCTION("""COMPUTED_VALUE"""),"#N/A")</f>
        <v>#N/A</v>
      </c>
    </row>
    <row r="120">
      <c r="A120" t="str">
        <f>IFERROR(__xludf.DUMMYFUNCTION("""COMPUTED_VALUE"""),"#N/A")</f>
        <v>#N/A</v>
      </c>
      <c r="B120" s="451" t="str">
        <f>IFERROR(__xludf.DUMMYFUNCTION("""COMPUTED_VALUE"""),"#N/A")</f>
        <v>#N/A</v>
      </c>
    </row>
    <row r="121">
      <c r="A121" t="str">
        <f>IFERROR(__xludf.DUMMYFUNCTION("""COMPUTED_VALUE"""),"#N/A")</f>
        <v>#N/A</v>
      </c>
      <c r="B121" s="451" t="str">
        <f>IFERROR(__xludf.DUMMYFUNCTION("""COMPUTED_VALUE"""),"#N/A")</f>
        <v>#N/A</v>
      </c>
    </row>
    <row r="122">
      <c r="A122" t="str">
        <f>IFERROR(__xludf.DUMMYFUNCTION("""COMPUTED_VALUE"""),"#N/A")</f>
        <v>#N/A</v>
      </c>
      <c r="B122" s="451" t="str">
        <f>IFERROR(__xludf.DUMMYFUNCTION("""COMPUTED_VALUE"""),"#N/A")</f>
        <v>#N/A</v>
      </c>
    </row>
    <row r="123">
      <c r="A123" t="str">
        <f>IFERROR(__xludf.DUMMYFUNCTION("""COMPUTED_VALUE"""),"#N/A")</f>
        <v>#N/A</v>
      </c>
      <c r="B123" s="451" t="str">
        <f>IFERROR(__xludf.DUMMYFUNCTION("""COMPUTED_VALUE"""),"#N/A")</f>
        <v>#N/A</v>
      </c>
    </row>
    <row r="124">
      <c r="A124" t="str">
        <f>IFERROR(__xludf.DUMMYFUNCTION("""COMPUTED_VALUE"""),"#N/A")</f>
        <v>#N/A</v>
      </c>
      <c r="B124" s="451" t="str">
        <f>IFERROR(__xludf.DUMMYFUNCTION("""COMPUTED_VALUE"""),"#N/A")</f>
        <v>#N/A</v>
      </c>
    </row>
    <row r="125">
      <c r="A125" t="str">
        <f>IFERROR(__xludf.DUMMYFUNCTION("""COMPUTED_VALUE"""),"#N/A")</f>
        <v>#N/A</v>
      </c>
      <c r="B125" s="451" t="str">
        <f>IFERROR(__xludf.DUMMYFUNCTION("""COMPUTED_VALUE"""),"#N/A")</f>
        <v>#N/A</v>
      </c>
    </row>
    <row r="126">
      <c r="A126" t="str">
        <f>IFERROR(__xludf.DUMMYFUNCTION("""COMPUTED_VALUE"""),"#N/A")</f>
        <v>#N/A</v>
      </c>
      <c r="B126" s="451" t="str">
        <f>IFERROR(__xludf.DUMMYFUNCTION("""COMPUTED_VALUE"""),"#N/A")</f>
        <v>#N/A</v>
      </c>
    </row>
    <row r="127">
      <c r="A127" t="str">
        <f>IFERROR(__xludf.DUMMYFUNCTION("""COMPUTED_VALUE"""),"#N/A")</f>
        <v>#N/A</v>
      </c>
      <c r="B127" s="451" t="str">
        <f>IFERROR(__xludf.DUMMYFUNCTION("""COMPUTED_VALUE"""),"#N/A")</f>
        <v>#N/A</v>
      </c>
    </row>
    <row r="128">
      <c r="A128" t="str">
        <f>IFERROR(__xludf.DUMMYFUNCTION("""COMPUTED_VALUE"""),"#N/A")</f>
        <v>#N/A</v>
      </c>
      <c r="B128" s="451" t="str">
        <f>IFERROR(__xludf.DUMMYFUNCTION("""COMPUTED_VALUE"""),"#N/A")</f>
        <v>#N/A</v>
      </c>
    </row>
    <row r="129">
      <c r="A129" t="str">
        <f>IFERROR(__xludf.DUMMYFUNCTION("""COMPUTED_VALUE"""),"#N/A")</f>
        <v>#N/A</v>
      </c>
      <c r="B129" s="451" t="str">
        <f>IFERROR(__xludf.DUMMYFUNCTION("""COMPUTED_VALUE"""),"#N/A")</f>
        <v>#N/A</v>
      </c>
    </row>
    <row r="130">
      <c r="A130" t="str">
        <f>IFERROR(__xludf.DUMMYFUNCTION("""COMPUTED_VALUE"""),"#N/A")</f>
        <v>#N/A</v>
      </c>
      <c r="B130" s="451" t="str">
        <f>IFERROR(__xludf.DUMMYFUNCTION("""COMPUTED_VALUE"""),"#N/A")</f>
        <v>#N/A</v>
      </c>
    </row>
    <row r="131">
      <c r="A131" t="str">
        <f>IFERROR(__xludf.DUMMYFUNCTION("""COMPUTED_VALUE"""),"#N/A")</f>
        <v>#N/A</v>
      </c>
      <c r="B131" s="451" t="str">
        <f>IFERROR(__xludf.DUMMYFUNCTION("""COMPUTED_VALUE"""),"#N/A")</f>
        <v>#N/A</v>
      </c>
    </row>
    <row r="132">
      <c r="A132" t="str">
        <f>IFERROR(__xludf.DUMMYFUNCTION("""COMPUTED_VALUE"""),"#N/A")</f>
        <v>#N/A</v>
      </c>
      <c r="B132" s="451" t="str">
        <f>IFERROR(__xludf.DUMMYFUNCTION("""COMPUTED_VALUE"""),"#N/A")</f>
        <v>#N/A</v>
      </c>
    </row>
    <row r="133">
      <c r="A133" t="str">
        <f>IFERROR(__xludf.DUMMYFUNCTION("""COMPUTED_VALUE"""),"#N/A")</f>
        <v>#N/A</v>
      </c>
      <c r="B133" s="451" t="str">
        <f>IFERROR(__xludf.DUMMYFUNCTION("""COMPUTED_VALUE"""),"#N/A")</f>
        <v>#N/A</v>
      </c>
    </row>
    <row r="134">
      <c r="A134" t="str">
        <f>IFERROR(__xludf.DUMMYFUNCTION("""COMPUTED_VALUE"""),"#N/A")</f>
        <v>#N/A</v>
      </c>
      <c r="B134" s="451" t="str">
        <f>IFERROR(__xludf.DUMMYFUNCTION("""COMPUTED_VALUE"""),"#N/A")</f>
        <v>#N/A</v>
      </c>
    </row>
    <row r="135">
      <c r="A135" t="str">
        <f>IFERROR(__xludf.DUMMYFUNCTION("""COMPUTED_VALUE"""),"#N/A")</f>
        <v>#N/A</v>
      </c>
      <c r="B135" s="451" t="str">
        <f>IFERROR(__xludf.DUMMYFUNCTION("""COMPUTED_VALUE"""),"#N/A")</f>
        <v>#N/A</v>
      </c>
    </row>
    <row r="136">
      <c r="A136" t="str">
        <f>IFERROR(__xludf.DUMMYFUNCTION("""COMPUTED_VALUE"""),"#N/A")</f>
        <v>#N/A</v>
      </c>
      <c r="B136" s="451" t="str">
        <f>IFERROR(__xludf.DUMMYFUNCTION("""COMPUTED_VALUE"""),"#N/A")</f>
        <v>#N/A</v>
      </c>
    </row>
    <row r="137">
      <c r="A137" t="str">
        <f>IFERROR(__xludf.DUMMYFUNCTION("""COMPUTED_VALUE"""),"#N/A")</f>
        <v>#N/A</v>
      </c>
      <c r="B137" s="451" t="str">
        <f>IFERROR(__xludf.DUMMYFUNCTION("""COMPUTED_VALUE"""),"#N/A")</f>
        <v>#N/A</v>
      </c>
    </row>
    <row r="138">
      <c r="A138" t="str">
        <f>IFERROR(__xludf.DUMMYFUNCTION("""COMPUTED_VALUE"""),"#N/A")</f>
        <v>#N/A</v>
      </c>
      <c r="B138" s="451" t="str">
        <f>IFERROR(__xludf.DUMMYFUNCTION("""COMPUTED_VALUE"""),"#N/A")</f>
        <v>#N/A</v>
      </c>
    </row>
    <row r="139">
      <c r="A139" t="str">
        <f>IFERROR(__xludf.DUMMYFUNCTION("""COMPUTED_VALUE"""),"#N/A")</f>
        <v>#N/A</v>
      </c>
      <c r="B139" s="451" t="str">
        <f>IFERROR(__xludf.DUMMYFUNCTION("""COMPUTED_VALUE"""),"#N/A")</f>
        <v>#N/A</v>
      </c>
    </row>
    <row r="140">
      <c r="A140" t="str">
        <f>IFERROR(__xludf.DUMMYFUNCTION("""COMPUTED_VALUE"""),"#N/A")</f>
        <v>#N/A</v>
      </c>
      <c r="B140" s="451" t="str">
        <f>IFERROR(__xludf.DUMMYFUNCTION("""COMPUTED_VALUE"""),"#N/A")</f>
        <v>#N/A</v>
      </c>
    </row>
    <row r="141">
      <c r="A141" t="str">
        <f>IFERROR(__xludf.DUMMYFUNCTION("""COMPUTED_VALUE"""),"#N/A")</f>
        <v>#N/A</v>
      </c>
      <c r="B141" s="451" t="str">
        <f>IFERROR(__xludf.DUMMYFUNCTION("""COMPUTED_VALUE"""),"#N/A")</f>
        <v>#N/A</v>
      </c>
    </row>
    <row r="142">
      <c r="A142" t="str">
        <f>IFERROR(__xludf.DUMMYFUNCTION("""COMPUTED_VALUE"""),"#N/A")</f>
        <v>#N/A</v>
      </c>
      <c r="B142" s="451" t="str">
        <f>IFERROR(__xludf.DUMMYFUNCTION("""COMPUTED_VALUE"""),"#N/A")</f>
        <v>#N/A</v>
      </c>
    </row>
    <row r="143">
      <c r="A143" t="str">
        <f>IFERROR(__xludf.DUMMYFUNCTION("""COMPUTED_VALUE"""),"#N/A")</f>
        <v>#N/A</v>
      </c>
      <c r="B143" s="451" t="str">
        <f>IFERROR(__xludf.DUMMYFUNCTION("""COMPUTED_VALUE"""),"#N/A")</f>
        <v>#N/A</v>
      </c>
    </row>
    <row r="144">
      <c r="A144" t="str">
        <f>IFERROR(__xludf.DUMMYFUNCTION("""COMPUTED_VALUE"""),"#N/A")</f>
        <v>#N/A</v>
      </c>
      <c r="B144" s="451" t="str">
        <f>IFERROR(__xludf.DUMMYFUNCTION("""COMPUTED_VALUE"""),"#N/A")</f>
        <v>#N/A</v>
      </c>
    </row>
    <row r="145">
      <c r="A145" t="str">
        <f>IFERROR(__xludf.DUMMYFUNCTION("""COMPUTED_VALUE"""),"#N/A")</f>
        <v>#N/A</v>
      </c>
      <c r="B145" s="451" t="str">
        <f>IFERROR(__xludf.DUMMYFUNCTION("""COMPUTED_VALUE"""),"#N/A")</f>
        <v>#N/A</v>
      </c>
    </row>
    <row r="146">
      <c r="A146" t="str">
        <f>IFERROR(__xludf.DUMMYFUNCTION("""COMPUTED_VALUE"""),"#N/A")</f>
        <v>#N/A</v>
      </c>
      <c r="B146" s="451" t="str">
        <f>IFERROR(__xludf.DUMMYFUNCTION("""COMPUTED_VALUE"""),"#N/A")</f>
        <v>#N/A</v>
      </c>
    </row>
    <row r="147">
      <c r="A147" t="str">
        <f>IFERROR(__xludf.DUMMYFUNCTION("""COMPUTED_VALUE"""),"#N/A")</f>
        <v>#N/A</v>
      </c>
      <c r="B147" s="451" t="str">
        <f>IFERROR(__xludf.DUMMYFUNCTION("""COMPUTED_VALUE"""),"#N/A")</f>
        <v>#N/A</v>
      </c>
    </row>
    <row r="148">
      <c r="A148" t="str">
        <f>IFERROR(__xludf.DUMMYFUNCTION("""COMPUTED_VALUE"""),"#N/A")</f>
        <v>#N/A</v>
      </c>
      <c r="B148" s="451" t="str">
        <f>IFERROR(__xludf.DUMMYFUNCTION("""COMPUTED_VALUE"""),"#N/A")</f>
        <v>#N/A</v>
      </c>
    </row>
    <row r="149">
      <c r="A149" t="str">
        <f>IFERROR(__xludf.DUMMYFUNCTION("""COMPUTED_VALUE"""),"#N/A")</f>
        <v>#N/A</v>
      </c>
      <c r="B149" s="451" t="str">
        <f>IFERROR(__xludf.DUMMYFUNCTION("""COMPUTED_VALUE"""),"#N/A")</f>
        <v>#N/A</v>
      </c>
    </row>
    <row r="150">
      <c r="A150" t="str">
        <f>IFERROR(__xludf.DUMMYFUNCTION("""COMPUTED_VALUE"""),"#N/A")</f>
        <v>#N/A</v>
      </c>
      <c r="B150" s="451" t="str">
        <f>IFERROR(__xludf.DUMMYFUNCTION("""COMPUTED_VALUE"""),"#N/A")</f>
        <v>#N/A</v>
      </c>
    </row>
    <row r="151">
      <c r="A151" t="str">
        <f>IFERROR(__xludf.DUMMYFUNCTION("""COMPUTED_VALUE"""),"#N/A")</f>
        <v>#N/A</v>
      </c>
      <c r="B151" s="451" t="str">
        <f>IFERROR(__xludf.DUMMYFUNCTION("""COMPUTED_VALUE"""),"#N/A")</f>
        <v>#N/A</v>
      </c>
    </row>
    <row r="152">
      <c r="A152" t="str">
        <f>IFERROR(__xludf.DUMMYFUNCTION("""COMPUTED_VALUE"""),"#N/A")</f>
        <v>#N/A</v>
      </c>
      <c r="B152" s="451" t="str">
        <f>IFERROR(__xludf.DUMMYFUNCTION("""COMPUTED_VALUE"""),"#N/A")</f>
        <v>#N/A</v>
      </c>
    </row>
    <row r="153">
      <c r="A153" t="str">
        <f>IFERROR(__xludf.DUMMYFUNCTION("""COMPUTED_VALUE"""),"#N/A")</f>
        <v>#N/A</v>
      </c>
      <c r="B153" s="451" t="str">
        <f>IFERROR(__xludf.DUMMYFUNCTION("""COMPUTED_VALUE"""),"#N/A")</f>
        <v>#N/A</v>
      </c>
    </row>
    <row r="154">
      <c r="A154" t="str">
        <f>IFERROR(__xludf.DUMMYFUNCTION("""COMPUTED_VALUE"""),"#N/A")</f>
        <v>#N/A</v>
      </c>
      <c r="B154" s="451" t="str">
        <f>IFERROR(__xludf.DUMMYFUNCTION("""COMPUTED_VALUE"""),"#N/A")</f>
        <v>#N/A</v>
      </c>
    </row>
    <row r="155">
      <c r="A155" t="str">
        <f>IFERROR(__xludf.DUMMYFUNCTION("""COMPUTED_VALUE"""),"#N/A")</f>
        <v>#N/A</v>
      </c>
      <c r="B155" s="451" t="str">
        <f>IFERROR(__xludf.DUMMYFUNCTION("""COMPUTED_VALUE"""),"#N/A")</f>
        <v>#N/A</v>
      </c>
    </row>
    <row r="156">
      <c r="A156" t="str">
        <f>IFERROR(__xludf.DUMMYFUNCTION("""COMPUTED_VALUE"""),"#N/A")</f>
        <v>#N/A</v>
      </c>
      <c r="B156" s="451" t="str">
        <f>IFERROR(__xludf.DUMMYFUNCTION("""COMPUTED_VALUE"""),"#N/A")</f>
        <v>#N/A</v>
      </c>
    </row>
    <row r="157">
      <c r="A157" t="str">
        <f>IFERROR(__xludf.DUMMYFUNCTION("""COMPUTED_VALUE"""),"#N/A")</f>
        <v>#N/A</v>
      </c>
      <c r="B157" s="451" t="str">
        <f>IFERROR(__xludf.DUMMYFUNCTION("""COMPUTED_VALUE"""),"#N/A")</f>
        <v>#N/A</v>
      </c>
    </row>
    <row r="158">
      <c r="A158" t="str">
        <f>IFERROR(__xludf.DUMMYFUNCTION("""COMPUTED_VALUE"""),"#N/A")</f>
        <v>#N/A</v>
      </c>
      <c r="B158" s="451" t="str">
        <f>IFERROR(__xludf.DUMMYFUNCTION("""COMPUTED_VALUE"""),"#N/A")</f>
        <v>#N/A</v>
      </c>
    </row>
    <row r="159">
      <c r="A159" t="str">
        <f>IFERROR(__xludf.DUMMYFUNCTION("""COMPUTED_VALUE"""),"#N/A")</f>
        <v>#N/A</v>
      </c>
      <c r="B159" s="451" t="str">
        <f>IFERROR(__xludf.DUMMYFUNCTION("""COMPUTED_VALUE"""),"#N/A")</f>
        <v>#N/A</v>
      </c>
    </row>
    <row r="160">
      <c r="A160" t="str">
        <f>IFERROR(__xludf.DUMMYFUNCTION("""COMPUTED_VALUE"""),"#N/A")</f>
        <v>#N/A</v>
      </c>
      <c r="B160" s="451" t="str">
        <f>IFERROR(__xludf.DUMMYFUNCTION("""COMPUTED_VALUE"""),"#N/A")</f>
        <v>#N/A</v>
      </c>
    </row>
    <row r="161">
      <c r="A161" t="str">
        <f>IFERROR(__xludf.DUMMYFUNCTION("""COMPUTED_VALUE"""),"#N/A")</f>
        <v>#N/A</v>
      </c>
      <c r="B161" s="451" t="str">
        <f>IFERROR(__xludf.DUMMYFUNCTION("""COMPUTED_VALUE"""),"#N/A")</f>
        <v>#N/A</v>
      </c>
    </row>
    <row r="162">
      <c r="A162" t="str">
        <f>IFERROR(__xludf.DUMMYFUNCTION("""COMPUTED_VALUE"""),"#N/A")</f>
        <v>#N/A</v>
      </c>
      <c r="B162" s="451" t="str">
        <f>IFERROR(__xludf.DUMMYFUNCTION("""COMPUTED_VALUE"""),"#N/A")</f>
        <v>#N/A</v>
      </c>
    </row>
    <row r="163">
      <c r="A163" t="str">
        <f>IFERROR(__xludf.DUMMYFUNCTION("""COMPUTED_VALUE"""),"#N/A")</f>
        <v>#N/A</v>
      </c>
      <c r="B163" s="451" t="str">
        <f>IFERROR(__xludf.DUMMYFUNCTION("""COMPUTED_VALUE"""),"#N/A")</f>
        <v>#N/A</v>
      </c>
    </row>
    <row r="164">
      <c r="A164" t="str">
        <f>IFERROR(__xludf.DUMMYFUNCTION("""COMPUTED_VALUE"""),"#N/A")</f>
        <v>#N/A</v>
      </c>
      <c r="B164" s="451" t="str">
        <f>IFERROR(__xludf.DUMMYFUNCTION("""COMPUTED_VALUE"""),"#N/A")</f>
        <v>#N/A</v>
      </c>
    </row>
    <row r="165">
      <c r="A165" t="str">
        <f>IFERROR(__xludf.DUMMYFUNCTION("""COMPUTED_VALUE"""),"#N/A")</f>
        <v>#N/A</v>
      </c>
      <c r="B165" s="451" t="str">
        <f>IFERROR(__xludf.DUMMYFUNCTION("""COMPUTED_VALUE"""),"#N/A")</f>
        <v>#N/A</v>
      </c>
    </row>
    <row r="166">
      <c r="A166" t="str">
        <f>IFERROR(__xludf.DUMMYFUNCTION("""COMPUTED_VALUE"""),"#N/A")</f>
        <v>#N/A</v>
      </c>
      <c r="B166" s="451" t="str">
        <f>IFERROR(__xludf.DUMMYFUNCTION("""COMPUTED_VALUE"""),"#N/A")</f>
        <v>#N/A</v>
      </c>
    </row>
    <row r="167">
      <c r="A167" t="str">
        <f>IFERROR(__xludf.DUMMYFUNCTION("""COMPUTED_VALUE"""),"#N/A")</f>
        <v>#N/A</v>
      </c>
      <c r="B167" s="451" t="str">
        <f>IFERROR(__xludf.DUMMYFUNCTION("""COMPUTED_VALUE"""),"#N/A")</f>
        <v>#N/A</v>
      </c>
    </row>
    <row r="168">
      <c r="A168" t="str">
        <f>IFERROR(__xludf.DUMMYFUNCTION("""COMPUTED_VALUE"""),"#N/A")</f>
        <v>#N/A</v>
      </c>
      <c r="B168" s="451" t="str">
        <f>IFERROR(__xludf.DUMMYFUNCTION("""COMPUTED_VALUE"""),"#N/A")</f>
        <v>#N/A</v>
      </c>
    </row>
    <row r="169">
      <c r="A169" t="str">
        <f>IFERROR(__xludf.DUMMYFUNCTION("""COMPUTED_VALUE"""),"#N/A")</f>
        <v>#N/A</v>
      </c>
      <c r="B169" s="451" t="str">
        <f>IFERROR(__xludf.DUMMYFUNCTION("""COMPUTED_VALUE"""),"#N/A")</f>
        <v>#N/A</v>
      </c>
    </row>
    <row r="170">
      <c r="A170" t="str">
        <f>IFERROR(__xludf.DUMMYFUNCTION("""COMPUTED_VALUE"""),"#N/A")</f>
        <v>#N/A</v>
      </c>
      <c r="B170" s="451" t="str">
        <f>IFERROR(__xludf.DUMMYFUNCTION("""COMPUTED_VALUE"""),"#N/A")</f>
        <v>#N/A</v>
      </c>
    </row>
    <row r="171">
      <c r="A171" t="str">
        <f>IFERROR(__xludf.DUMMYFUNCTION("""COMPUTED_VALUE"""),"#N/A")</f>
        <v>#N/A</v>
      </c>
      <c r="B171" s="451" t="str">
        <f>IFERROR(__xludf.DUMMYFUNCTION("""COMPUTED_VALUE"""),"#N/A")</f>
        <v>#N/A</v>
      </c>
    </row>
    <row r="172">
      <c r="A172" t="str">
        <f>IFERROR(__xludf.DUMMYFUNCTION("""COMPUTED_VALUE"""),"#N/A")</f>
        <v>#N/A</v>
      </c>
      <c r="B172" s="451" t="str">
        <f>IFERROR(__xludf.DUMMYFUNCTION("""COMPUTED_VALUE"""),"#N/A")</f>
        <v>#N/A</v>
      </c>
    </row>
    <row r="173">
      <c r="A173" t="str">
        <f>IFERROR(__xludf.DUMMYFUNCTION("""COMPUTED_VALUE"""),"#N/A")</f>
        <v>#N/A</v>
      </c>
      <c r="B173" s="451" t="str">
        <f>IFERROR(__xludf.DUMMYFUNCTION("""COMPUTED_VALUE"""),"#N/A")</f>
        <v>#N/A</v>
      </c>
    </row>
    <row r="174">
      <c r="A174" t="str">
        <f>IFERROR(__xludf.DUMMYFUNCTION("""COMPUTED_VALUE"""),"#N/A")</f>
        <v>#N/A</v>
      </c>
      <c r="B174" s="451" t="str">
        <f>IFERROR(__xludf.DUMMYFUNCTION("""COMPUTED_VALUE"""),"#N/A")</f>
        <v>#N/A</v>
      </c>
    </row>
    <row r="175">
      <c r="A175" t="str">
        <f>IFERROR(__xludf.DUMMYFUNCTION("""COMPUTED_VALUE"""),"#N/A")</f>
        <v>#N/A</v>
      </c>
      <c r="B175" s="451" t="str">
        <f>IFERROR(__xludf.DUMMYFUNCTION("""COMPUTED_VALUE"""),"#N/A")</f>
        <v>#N/A</v>
      </c>
    </row>
    <row r="176">
      <c r="A176" t="str">
        <f>IFERROR(__xludf.DUMMYFUNCTION("""COMPUTED_VALUE"""),"#N/A")</f>
        <v>#N/A</v>
      </c>
      <c r="B176" s="451" t="str">
        <f>IFERROR(__xludf.DUMMYFUNCTION("""COMPUTED_VALUE"""),"#N/A")</f>
        <v>#N/A</v>
      </c>
    </row>
    <row r="177">
      <c r="A177" t="str">
        <f>IFERROR(__xludf.DUMMYFUNCTION("""COMPUTED_VALUE"""),"#N/A")</f>
        <v>#N/A</v>
      </c>
      <c r="B177" s="451" t="str">
        <f>IFERROR(__xludf.DUMMYFUNCTION("""COMPUTED_VALUE"""),"#N/A")</f>
        <v>#N/A</v>
      </c>
    </row>
    <row r="178">
      <c r="A178" t="str">
        <f>IFERROR(__xludf.DUMMYFUNCTION("""COMPUTED_VALUE"""),"#N/A")</f>
        <v>#N/A</v>
      </c>
      <c r="B178" s="451" t="str">
        <f>IFERROR(__xludf.DUMMYFUNCTION("""COMPUTED_VALUE"""),"#N/A")</f>
        <v>#N/A</v>
      </c>
    </row>
    <row r="179">
      <c r="A179" t="str">
        <f>IFERROR(__xludf.DUMMYFUNCTION("""COMPUTED_VALUE"""),"#N/A")</f>
        <v>#N/A</v>
      </c>
      <c r="B179" s="451" t="str">
        <f>IFERROR(__xludf.DUMMYFUNCTION("""COMPUTED_VALUE"""),"#N/A")</f>
        <v>#N/A</v>
      </c>
    </row>
    <row r="180">
      <c r="A180" t="str">
        <f>IFERROR(__xludf.DUMMYFUNCTION("""COMPUTED_VALUE"""),"#N/A")</f>
        <v>#N/A</v>
      </c>
      <c r="B180" s="451" t="str">
        <f>IFERROR(__xludf.DUMMYFUNCTION("""COMPUTED_VALUE"""),"#N/A")</f>
        <v>#N/A</v>
      </c>
    </row>
    <row r="181">
      <c r="A181" t="str">
        <f>IFERROR(__xludf.DUMMYFUNCTION("""COMPUTED_VALUE"""),"#N/A")</f>
        <v>#N/A</v>
      </c>
      <c r="B181" s="451" t="str">
        <f>IFERROR(__xludf.DUMMYFUNCTION("""COMPUTED_VALUE"""),"#N/A")</f>
        <v>#N/A</v>
      </c>
    </row>
    <row r="182">
      <c r="A182" t="str">
        <f>IFERROR(__xludf.DUMMYFUNCTION("""COMPUTED_VALUE"""),"#N/A")</f>
        <v>#N/A</v>
      </c>
      <c r="B182" s="451" t="str">
        <f>IFERROR(__xludf.DUMMYFUNCTION("""COMPUTED_VALUE"""),"#N/A")</f>
        <v>#N/A</v>
      </c>
    </row>
    <row r="183">
      <c r="A183" t="str">
        <f>IFERROR(__xludf.DUMMYFUNCTION("""COMPUTED_VALUE"""),"#N/A")</f>
        <v>#N/A</v>
      </c>
      <c r="B183" s="451" t="str">
        <f>IFERROR(__xludf.DUMMYFUNCTION("""COMPUTED_VALUE"""),"#N/A")</f>
        <v>#N/A</v>
      </c>
    </row>
    <row r="184">
      <c r="A184" t="str">
        <f>IFERROR(__xludf.DUMMYFUNCTION("""COMPUTED_VALUE"""),"#N/A")</f>
        <v>#N/A</v>
      </c>
      <c r="B184" s="451" t="str">
        <f>IFERROR(__xludf.DUMMYFUNCTION("""COMPUTED_VALUE"""),"#N/A")</f>
        <v>#N/A</v>
      </c>
    </row>
    <row r="185">
      <c r="A185" t="str">
        <f>IFERROR(__xludf.DUMMYFUNCTION("""COMPUTED_VALUE"""),"#N/A")</f>
        <v>#N/A</v>
      </c>
      <c r="B185" s="451" t="str">
        <f>IFERROR(__xludf.DUMMYFUNCTION("""COMPUTED_VALUE"""),"#N/A")</f>
        <v>#N/A</v>
      </c>
    </row>
    <row r="186">
      <c r="A186" t="str">
        <f>IFERROR(__xludf.DUMMYFUNCTION("""COMPUTED_VALUE"""),"#N/A")</f>
        <v>#N/A</v>
      </c>
      <c r="B186" s="451" t="str">
        <f>IFERROR(__xludf.DUMMYFUNCTION("""COMPUTED_VALUE"""),"#N/A")</f>
        <v>#N/A</v>
      </c>
    </row>
    <row r="187">
      <c r="A187" t="str">
        <f>IFERROR(__xludf.DUMMYFUNCTION("""COMPUTED_VALUE"""),"#N/A")</f>
        <v>#N/A</v>
      </c>
      <c r="B187" s="451" t="str">
        <f>IFERROR(__xludf.DUMMYFUNCTION("""COMPUTED_VALUE"""),"#N/A")</f>
        <v>#N/A</v>
      </c>
    </row>
    <row r="188">
      <c r="A188" t="str">
        <f>IFERROR(__xludf.DUMMYFUNCTION("""COMPUTED_VALUE"""),"#N/A")</f>
        <v>#N/A</v>
      </c>
      <c r="B188" s="451" t="str">
        <f>IFERROR(__xludf.DUMMYFUNCTION("""COMPUTED_VALUE"""),"#N/A")</f>
        <v>#N/A</v>
      </c>
    </row>
    <row r="189">
      <c r="A189" t="str">
        <f>IFERROR(__xludf.DUMMYFUNCTION("""COMPUTED_VALUE"""),"#N/A")</f>
        <v>#N/A</v>
      </c>
      <c r="B189" s="451" t="str">
        <f>IFERROR(__xludf.DUMMYFUNCTION("""COMPUTED_VALUE"""),"#N/A")</f>
        <v>#N/A</v>
      </c>
    </row>
    <row r="190">
      <c r="A190" t="str">
        <f>IFERROR(__xludf.DUMMYFUNCTION("""COMPUTED_VALUE"""),"#N/A")</f>
        <v>#N/A</v>
      </c>
      <c r="B190" s="451" t="str">
        <f>IFERROR(__xludf.DUMMYFUNCTION("""COMPUTED_VALUE"""),"#N/A")</f>
        <v>#N/A</v>
      </c>
    </row>
    <row r="191">
      <c r="A191" t="str">
        <f>IFERROR(__xludf.DUMMYFUNCTION("""COMPUTED_VALUE"""),"#N/A")</f>
        <v>#N/A</v>
      </c>
      <c r="B191" s="451" t="str">
        <f>IFERROR(__xludf.DUMMYFUNCTION("""COMPUTED_VALUE"""),"#N/A")</f>
        <v>#N/A</v>
      </c>
    </row>
    <row r="192">
      <c r="A192" t="str">
        <f>IFERROR(__xludf.DUMMYFUNCTION("""COMPUTED_VALUE"""),"#N/A")</f>
        <v>#N/A</v>
      </c>
      <c r="B192" s="451" t="str">
        <f>IFERROR(__xludf.DUMMYFUNCTION("""COMPUTED_VALUE"""),"#N/A")</f>
        <v>#N/A</v>
      </c>
    </row>
    <row r="193">
      <c r="A193" t="str">
        <f>IFERROR(__xludf.DUMMYFUNCTION("""COMPUTED_VALUE"""),"#N/A")</f>
        <v>#N/A</v>
      </c>
      <c r="B193" s="451" t="str">
        <f>IFERROR(__xludf.DUMMYFUNCTION("""COMPUTED_VALUE"""),"#N/A")</f>
        <v>#N/A</v>
      </c>
    </row>
    <row r="194">
      <c r="A194" t="str">
        <f>IFERROR(__xludf.DUMMYFUNCTION("""COMPUTED_VALUE"""),"#N/A")</f>
        <v>#N/A</v>
      </c>
      <c r="B194" s="451" t="str">
        <f>IFERROR(__xludf.DUMMYFUNCTION("""COMPUTED_VALUE"""),"#N/A")</f>
        <v>#N/A</v>
      </c>
    </row>
    <row r="195">
      <c r="A195" t="str">
        <f>IFERROR(__xludf.DUMMYFUNCTION("""COMPUTED_VALUE"""),"#N/A")</f>
        <v>#N/A</v>
      </c>
      <c r="B195" s="451" t="str">
        <f>IFERROR(__xludf.DUMMYFUNCTION("""COMPUTED_VALUE"""),"#N/A")</f>
        <v>#N/A</v>
      </c>
    </row>
    <row r="196">
      <c r="A196" t="str">
        <f>IFERROR(__xludf.DUMMYFUNCTION("""COMPUTED_VALUE"""),"#N/A")</f>
        <v>#N/A</v>
      </c>
      <c r="B196" s="451" t="str">
        <f>IFERROR(__xludf.DUMMYFUNCTION("""COMPUTED_VALUE"""),"#N/A")</f>
        <v>#N/A</v>
      </c>
    </row>
    <row r="197">
      <c r="A197" t="str">
        <f>IFERROR(__xludf.DUMMYFUNCTION("""COMPUTED_VALUE"""),"#N/A")</f>
        <v>#N/A</v>
      </c>
      <c r="B197" s="451" t="str">
        <f>IFERROR(__xludf.DUMMYFUNCTION("""COMPUTED_VALUE"""),"#N/A")</f>
        <v>#N/A</v>
      </c>
    </row>
    <row r="198">
      <c r="A198" t="str">
        <f>IFERROR(__xludf.DUMMYFUNCTION("""COMPUTED_VALUE"""),"#N/A")</f>
        <v>#N/A</v>
      </c>
      <c r="B198" s="451" t="str">
        <f>IFERROR(__xludf.DUMMYFUNCTION("""COMPUTED_VALUE"""),"#N/A")</f>
        <v>#N/A</v>
      </c>
    </row>
    <row r="199">
      <c r="A199" t="str">
        <f>IFERROR(__xludf.DUMMYFUNCTION("""COMPUTED_VALUE"""),"#N/A")</f>
        <v>#N/A</v>
      </c>
      <c r="B199" s="451" t="str">
        <f>IFERROR(__xludf.DUMMYFUNCTION("""COMPUTED_VALUE"""),"#N/A")</f>
        <v>#N/A</v>
      </c>
    </row>
    <row r="200">
      <c r="A200" t="str">
        <f>IFERROR(__xludf.DUMMYFUNCTION("""COMPUTED_VALUE"""),"#N/A")</f>
        <v>#N/A</v>
      </c>
      <c r="B200" s="451" t="str">
        <f>IFERROR(__xludf.DUMMYFUNCTION("""COMPUTED_VALUE"""),"#N/A")</f>
        <v>#N/A</v>
      </c>
    </row>
    <row r="201">
      <c r="A201" t="str">
        <f>IFERROR(__xludf.DUMMYFUNCTION("""COMPUTED_VALUE"""),"#N/A")</f>
        <v>#N/A</v>
      </c>
      <c r="B201" s="451" t="str">
        <f>IFERROR(__xludf.DUMMYFUNCTION("""COMPUTED_VALUE"""),"#N/A")</f>
        <v>#N/A</v>
      </c>
    </row>
    <row r="202">
      <c r="A202" t="str">
        <f>IFERROR(__xludf.DUMMYFUNCTION("""COMPUTED_VALUE"""),"#N/A")</f>
        <v>#N/A</v>
      </c>
      <c r="B202" s="451" t="str">
        <f>IFERROR(__xludf.DUMMYFUNCTION("""COMPUTED_VALUE"""),"#N/A")</f>
        <v>#N/A</v>
      </c>
    </row>
    <row r="203">
      <c r="A203" t="str">
        <f>IFERROR(__xludf.DUMMYFUNCTION("""COMPUTED_VALUE"""),"#N/A")</f>
        <v>#N/A</v>
      </c>
      <c r="B203" s="451" t="str">
        <f>IFERROR(__xludf.DUMMYFUNCTION("""COMPUTED_VALUE"""),"#N/A")</f>
        <v>#N/A</v>
      </c>
    </row>
    <row r="204">
      <c r="A204" t="str">
        <f>IFERROR(__xludf.DUMMYFUNCTION("""COMPUTED_VALUE"""),"#N/A")</f>
        <v>#N/A</v>
      </c>
      <c r="B204" s="451" t="str">
        <f>IFERROR(__xludf.DUMMYFUNCTION("""COMPUTED_VALUE"""),"#N/A")</f>
        <v>#N/A</v>
      </c>
    </row>
    <row r="205">
      <c r="A205" t="str">
        <f>IFERROR(__xludf.DUMMYFUNCTION("""COMPUTED_VALUE"""),"#N/A")</f>
        <v>#N/A</v>
      </c>
      <c r="B205" s="451" t="str">
        <f>IFERROR(__xludf.DUMMYFUNCTION("""COMPUTED_VALUE"""),"#N/A")</f>
        <v>#N/A</v>
      </c>
    </row>
    <row r="206">
      <c r="A206" t="str">
        <f>IFERROR(__xludf.DUMMYFUNCTION("""COMPUTED_VALUE"""),"#N/A")</f>
        <v>#N/A</v>
      </c>
      <c r="B206" s="451" t="str">
        <f>IFERROR(__xludf.DUMMYFUNCTION("""COMPUTED_VALUE"""),"#N/A")</f>
        <v>#N/A</v>
      </c>
    </row>
    <row r="207">
      <c r="A207" t="str">
        <f>IFERROR(__xludf.DUMMYFUNCTION("""COMPUTED_VALUE"""),"#N/A")</f>
        <v>#N/A</v>
      </c>
      <c r="B207" s="451" t="str">
        <f>IFERROR(__xludf.DUMMYFUNCTION("""COMPUTED_VALUE"""),"#N/A")</f>
        <v>#N/A</v>
      </c>
    </row>
    <row r="208">
      <c r="A208" t="str">
        <f>IFERROR(__xludf.DUMMYFUNCTION("""COMPUTED_VALUE"""),"#N/A")</f>
        <v>#N/A</v>
      </c>
      <c r="B208" s="451" t="str">
        <f>IFERROR(__xludf.DUMMYFUNCTION("""COMPUTED_VALUE"""),"#N/A")</f>
        <v>#N/A</v>
      </c>
    </row>
    <row r="209">
      <c r="A209" t="str">
        <f>IFERROR(__xludf.DUMMYFUNCTION("""COMPUTED_VALUE"""),"#N/A")</f>
        <v>#N/A</v>
      </c>
      <c r="B209" s="451" t="str">
        <f>IFERROR(__xludf.DUMMYFUNCTION("""COMPUTED_VALUE"""),"#N/A")</f>
        <v>#N/A</v>
      </c>
    </row>
    <row r="210">
      <c r="A210" t="str">
        <f>IFERROR(__xludf.DUMMYFUNCTION("""COMPUTED_VALUE"""),"#N/A")</f>
        <v>#N/A</v>
      </c>
      <c r="B210" s="451" t="str">
        <f>IFERROR(__xludf.DUMMYFUNCTION("""COMPUTED_VALUE"""),"#N/A")</f>
        <v>#N/A</v>
      </c>
    </row>
    <row r="211">
      <c r="A211" t="str">
        <f>IFERROR(__xludf.DUMMYFUNCTION("""COMPUTED_VALUE"""),"#N/A")</f>
        <v>#N/A</v>
      </c>
      <c r="B211" s="451" t="str">
        <f>IFERROR(__xludf.DUMMYFUNCTION("""COMPUTED_VALUE"""),"#N/A")</f>
        <v>#N/A</v>
      </c>
    </row>
    <row r="212">
      <c r="A212" t="str">
        <f>IFERROR(__xludf.DUMMYFUNCTION("""COMPUTED_VALUE"""),"#N/A")</f>
        <v>#N/A</v>
      </c>
      <c r="B212" s="451" t="str">
        <f>IFERROR(__xludf.DUMMYFUNCTION("""COMPUTED_VALUE"""),"#N/A")</f>
        <v>#N/A</v>
      </c>
    </row>
    <row r="213">
      <c r="A213" t="str">
        <f>IFERROR(__xludf.DUMMYFUNCTION("""COMPUTED_VALUE"""),"#N/A")</f>
        <v>#N/A</v>
      </c>
      <c r="B213" s="451" t="str">
        <f>IFERROR(__xludf.DUMMYFUNCTION("""COMPUTED_VALUE"""),"#N/A")</f>
        <v>#N/A</v>
      </c>
    </row>
    <row r="214">
      <c r="A214" t="str">
        <f>IFERROR(__xludf.DUMMYFUNCTION("""COMPUTED_VALUE"""),"#N/A")</f>
        <v>#N/A</v>
      </c>
      <c r="B214" s="451" t="str">
        <f>IFERROR(__xludf.DUMMYFUNCTION("""COMPUTED_VALUE"""),"#N/A")</f>
        <v>#N/A</v>
      </c>
    </row>
    <row r="215">
      <c r="A215" t="str">
        <f>IFERROR(__xludf.DUMMYFUNCTION("""COMPUTED_VALUE"""),"#N/A")</f>
        <v>#N/A</v>
      </c>
      <c r="B215" s="451" t="str">
        <f>IFERROR(__xludf.DUMMYFUNCTION("""COMPUTED_VALUE"""),"#N/A")</f>
        <v>#N/A</v>
      </c>
    </row>
    <row r="216">
      <c r="A216" t="str">
        <f>IFERROR(__xludf.DUMMYFUNCTION("""COMPUTED_VALUE"""),"#N/A")</f>
        <v>#N/A</v>
      </c>
      <c r="B216" s="451" t="str">
        <f>IFERROR(__xludf.DUMMYFUNCTION("""COMPUTED_VALUE"""),"#N/A")</f>
        <v>#N/A</v>
      </c>
    </row>
    <row r="217">
      <c r="A217" t="str">
        <f>IFERROR(__xludf.DUMMYFUNCTION("""COMPUTED_VALUE"""),"#N/A")</f>
        <v>#N/A</v>
      </c>
      <c r="B217" s="451" t="str">
        <f>IFERROR(__xludf.DUMMYFUNCTION("""COMPUTED_VALUE"""),"#N/A")</f>
        <v>#N/A</v>
      </c>
    </row>
    <row r="218">
      <c r="A218" t="str">
        <f>IFERROR(__xludf.DUMMYFUNCTION("""COMPUTED_VALUE"""),"#N/A")</f>
        <v>#N/A</v>
      </c>
      <c r="B218" s="451" t="str">
        <f>IFERROR(__xludf.DUMMYFUNCTION("""COMPUTED_VALUE"""),"#N/A")</f>
        <v>#N/A</v>
      </c>
    </row>
    <row r="219">
      <c r="A219" t="str">
        <f>IFERROR(__xludf.DUMMYFUNCTION("""COMPUTED_VALUE"""),"#N/A")</f>
        <v>#N/A</v>
      </c>
      <c r="B219" s="451" t="str">
        <f>IFERROR(__xludf.DUMMYFUNCTION("""COMPUTED_VALUE"""),"#N/A")</f>
        <v>#N/A</v>
      </c>
    </row>
    <row r="220">
      <c r="A220" t="str">
        <f>IFERROR(__xludf.DUMMYFUNCTION("""COMPUTED_VALUE"""),"#N/A")</f>
        <v>#N/A</v>
      </c>
      <c r="B220" s="451" t="str">
        <f>IFERROR(__xludf.DUMMYFUNCTION("""COMPUTED_VALUE"""),"#N/A")</f>
        <v>#N/A</v>
      </c>
    </row>
    <row r="221">
      <c r="A221" t="str">
        <f>IFERROR(__xludf.DUMMYFUNCTION("""COMPUTED_VALUE"""),"#N/A")</f>
        <v>#N/A</v>
      </c>
      <c r="B221" s="451" t="str">
        <f>IFERROR(__xludf.DUMMYFUNCTION("""COMPUTED_VALUE"""),"#N/A")</f>
        <v>#N/A</v>
      </c>
    </row>
    <row r="222">
      <c r="A222" t="str">
        <f>IFERROR(__xludf.DUMMYFUNCTION("""COMPUTED_VALUE"""),"#N/A")</f>
        <v>#N/A</v>
      </c>
      <c r="B222" s="451" t="str">
        <f>IFERROR(__xludf.DUMMYFUNCTION("""COMPUTED_VALUE"""),"#N/A")</f>
        <v>#N/A</v>
      </c>
    </row>
    <row r="223">
      <c r="A223" t="str">
        <f>IFERROR(__xludf.DUMMYFUNCTION("""COMPUTED_VALUE"""),"#N/A")</f>
        <v>#N/A</v>
      </c>
      <c r="B223" s="451" t="str">
        <f>IFERROR(__xludf.DUMMYFUNCTION("""COMPUTED_VALUE"""),"#N/A")</f>
        <v>#N/A</v>
      </c>
    </row>
    <row r="224">
      <c r="A224" t="str">
        <f>IFERROR(__xludf.DUMMYFUNCTION("""COMPUTED_VALUE"""),"#N/A")</f>
        <v>#N/A</v>
      </c>
      <c r="B224" s="451" t="str">
        <f>IFERROR(__xludf.DUMMYFUNCTION("""COMPUTED_VALUE"""),"#N/A")</f>
        <v>#N/A</v>
      </c>
    </row>
    <row r="225">
      <c r="A225" t="str">
        <f>IFERROR(__xludf.DUMMYFUNCTION("""COMPUTED_VALUE"""),"#N/A")</f>
        <v>#N/A</v>
      </c>
      <c r="B225" s="451" t="str">
        <f>IFERROR(__xludf.DUMMYFUNCTION("""COMPUTED_VALUE"""),"#N/A")</f>
        <v>#N/A</v>
      </c>
    </row>
    <row r="226">
      <c r="A226" t="str">
        <f>IFERROR(__xludf.DUMMYFUNCTION("""COMPUTED_VALUE"""),"#N/A")</f>
        <v>#N/A</v>
      </c>
      <c r="B226" s="451" t="str">
        <f>IFERROR(__xludf.DUMMYFUNCTION("""COMPUTED_VALUE"""),"#N/A")</f>
        <v>#N/A</v>
      </c>
    </row>
    <row r="227">
      <c r="A227" t="str">
        <f>IFERROR(__xludf.DUMMYFUNCTION("""COMPUTED_VALUE"""),"#N/A")</f>
        <v>#N/A</v>
      </c>
      <c r="B227" s="451" t="str">
        <f>IFERROR(__xludf.DUMMYFUNCTION("""COMPUTED_VALUE"""),"#N/A")</f>
        <v>#N/A</v>
      </c>
    </row>
    <row r="228">
      <c r="A228" t="str">
        <f>IFERROR(__xludf.DUMMYFUNCTION("""COMPUTED_VALUE"""),"#N/A")</f>
        <v>#N/A</v>
      </c>
      <c r="B228" s="451" t="str">
        <f>IFERROR(__xludf.DUMMYFUNCTION("""COMPUTED_VALUE"""),"#N/A")</f>
        <v>#N/A</v>
      </c>
    </row>
    <row r="229">
      <c r="A229" t="str">
        <f>IFERROR(__xludf.DUMMYFUNCTION("""COMPUTED_VALUE"""),"#N/A")</f>
        <v>#N/A</v>
      </c>
      <c r="B229" s="451" t="str">
        <f>IFERROR(__xludf.DUMMYFUNCTION("""COMPUTED_VALUE"""),"#N/A")</f>
        <v>#N/A</v>
      </c>
    </row>
    <row r="230">
      <c r="A230" t="str">
        <f>IFERROR(__xludf.DUMMYFUNCTION("""COMPUTED_VALUE"""),"#N/A")</f>
        <v>#N/A</v>
      </c>
      <c r="B230" s="451" t="str">
        <f>IFERROR(__xludf.DUMMYFUNCTION("""COMPUTED_VALUE"""),"#N/A")</f>
        <v>#N/A</v>
      </c>
    </row>
    <row r="231">
      <c r="A231" t="str">
        <f>IFERROR(__xludf.DUMMYFUNCTION("""COMPUTED_VALUE"""),"#N/A")</f>
        <v>#N/A</v>
      </c>
      <c r="B231" s="451" t="str">
        <f>IFERROR(__xludf.DUMMYFUNCTION("""COMPUTED_VALUE"""),"#N/A")</f>
        <v>#N/A</v>
      </c>
    </row>
    <row r="232">
      <c r="A232" t="str">
        <f>IFERROR(__xludf.DUMMYFUNCTION("""COMPUTED_VALUE"""),"#N/A")</f>
        <v>#N/A</v>
      </c>
      <c r="B232" s="451" t="str">
        <f>IFERROR(__xludf.DUMMYFUNCTION("""COMPUTED_VALUE"""),"#N/A")</f>
        <v>#N/A</v>
      </c>
    </row>
    <row r="233">
      <c r="A233" t="str">
        <f>IFERROR(__xludf.DUMMYFUNCTION("""COMPUTED_VALUE"""),"#N/A")</f>
        <v>#N/A</v>
      </c>
      <c r="B233" s="451" t="str">
        <f>IFERROR(__xludf.DUMMYFUNCTION("""COMPUTED_VALUE"""),"#N/A")</f>
        <v>#N/A</v>
      </c>
    </row>
    <row r="234">
      <c r="A234" t="str">
        <f>IFERROR(__xludf.DUMMYFUNCTION("""COMPUTED_VALUE"""),"#N/A")</f>
        <v>#N/A</v>
      </c>
      <c r="B234" s="451" t="str">
        <f>IFERROR(__xludf.DUMMYFUNCTION("""COMPUTED_VALUE"""),"#N/A")</f>
        <v>#N/A</v>
      </c>
    </row>
    <row r="235">
      <c r="A235" t="str">
        <f>IFERROR(__xludf.DUMMYFUNCTION("""COMPUTED_VALUE"""),"#N/A")</f>
        <v>#N/A</v>
      </c>
      <c r="B235" s="451" t="str">
        <f>IFERROR(__xludf.DUMMYFUNCTION("""COMPUTED_VALUE"""),"#N/A")</f>
        <v>#N/A</v>
      </c>
    </row>
    <row r="236">
      <c r="A236" t="str">
        <f>IFERROR(__xludf.DUMMYFUNCTION("""COMPUTED_VALUE"""),"#N/A")</f>
        <v>#N/A</v>
      </c>
      <c r="B236" s="451" t="str">
        <f>IFERROR(__xludf.DUMMYFUNCTION("""COMPUTED_VALUE"""),"#N/A")</f>
        <v>#N/A</v>
      </c>
    </row>
    <row r="237">
      <c r="A237" t="str">
        <f>IFERROR(__xludf.DUMMYFUNCTION("""COMPUTED_VALUE"""),"#N/A")</f>
        <v>#N/A</v>
      </c>
      <c r="B237" s="451" t="str">
        <f>IFERROR(__xludf.DUMMYFUNCTION("""COMPUTED_VALUE"""),"#N/A")</f>
        <v>#N/A</v>
      </c>
    </row>
    <row r="238">
      <c r="A238" t="str">
        <f>IFERROR(__xludf.DUMMYFUNCTION("""COMPUTED_VALUE"""),"#N/A")</f>
        <v>#N/A</v>
      </c>
      <c r="B238" s="451" t="str">
        <f>IFERROR(__xludf.DUMMYFUNCTION("""COMPUTED_VALUE"""),"#N/A")</f>
        <v>#N/A</v>
      </c>
    </row>
    <row r="239">
      <c r="A239" t="str">
        <f>IFERROR(__xludf.DUMMYFUNCTION("""COMPUTED_VALUE"""),"#N/A")</f>
        <v>#N/A</v>
      </c>
      <c r="B239" s="451" t="str">
        <f>IFERROR(__xludf.DUMMYFUNCTION("""COMPUTED_VALUE"""),"#N/A")</f>
        <v>#N/A</v>
      </c>
    </row>
    <row r="240">
      <c r="A240" t="str">
        <f>IFERROR(__xludf.DUMMYFUNCTION("""COMPUTED_VALUE"""),"#N/A")</f>
        <v>#N/A</v>
      </c>
      <c r="B240" s="451" t="str">
        <f>IFERROR(__xludf.DUMMYFUNCTION("""COMPUTED_VALUE"""),"#N/A")</f>
        <v>#N/A</v>
      </c>
    </row>
    <row r="241">
      <c r="A241" t="str">
        <f>IFERROR(__xludf.DUMMYFUNCTION("""COMPUTED_VALUE"""),"#N/A")</f>
        <v>#N/A</v>
      </c>
      <c r="B241" s="451" t="str">
        <f>IFERROR(__xludf.DUMMYFUNCTION("""COMPUTED_VALUE"""),"#N/A")</f>
        <v>#N/A</v>
      </c>
    </row>
    <row r="242">
      <c r="A242" t="str">
        <f>IFERROR(__xludf.DUMMYFUNCTION("""COMPUTED_VALUE"""),"#N/A")</f>
        <v>#N/A</v>
      </c>
      <c r="B242" s="451" t="str">
        <f>IFERROR(__xludf.DUMMYFUNCTION("""COMPUTED_VALUE"""),"#N/A")</f>
        <v>#N/A</v>
      </c>
    </row>
    <row r="243">
      <c r="A243" t="str">
        <f>IFERROR(__xludf.DUMMYFUNCTION("""COMPUTED_VALUE"""),"#N/A")</f>
        <v>#N/A</v>
      </c>
      <c r="B243" s="451" t="str">
        <f>IFERROR(__xludf.DUMMYFUNCTION("""COMPUTED_VALUE"""),"#N/A")</f>
        <v>#N/A</v>
      </c>
    </row>
    <row r="244">
      <c r="A244" t="str">
        <f>IFERROR(__xludf.DUMMYFUNCTION("""COMPUTED_VALUE"""),"#N/A")</f>
        <v>#N/A</v>
      </c>
      <c r="B244" s="451" t="str">
        <f>IFERROR(__xludf.DUMMYFUNCTION("""COMPUTED_VALUE"""),"#N/A")</f>
        <v>#N/A</v>
      </c>
    </row>
    <row r="245">
      <c r="A245" t="str">
        <f>IFERROR(__xludf.DUMMYFUNCTION("""COMPUTED_VALUE"""),"#N/A")</f>
        <v>#N/A</v>
      </c>
      <c r="B245" s="451" t="str">
        <f>IFERROR(__xludf.DUMMYFUNCTION("""COMPUTED_VALUE"""),"#N/A")</f>
        <v>#N/A</v>
      </c>
    </row>
    <row r="246">
      <c r="A246" t="str">
        <f>IFERROR(__xludf.DUMMYFUNCTION("""COMPUTED_VALUE"""),"#N/A")</f>
        <v>#N/A</v>
      </c>
      <c r="B246" s="451" t="str">
        <f>IFERROR(__xludf.DUMMYFUNCTION("""COMPUTED_VALUE"""),"#N/A")</f>
        <v>#N/A</v>
      </c>
    </row>
    <row r="247">
      <c r="A247" t="str">
        <f>IFERROR(__xludf.DUMMYFUNCTION("""COMPUTED_VALUE"""),"#N/A")</f>
        <v>#N/A</v>
      </c>
      <c r="B247" s="451" t="str">
        <f>IFERROR(__xludf.DUMMYFUNCTION("""COMPUTED_VALUE"""),"#N/A")</f>
        <v>#N/A</v>
      </c>
    </row>
    <row r="248">
      <c r="A248" t="str">
        <f>IFERROR(__xludf.DUMMYFUNCTION("""COMPUTED_VALUE"""),"#N/A")</f>
        <v>#N/A</v>
      </c>
      <c r="B248" s="451" t="str">
        <f>IFERROR(__xludf.DUMMYFUNCTION("""COMPUTED_VALUE"""),"#N/A")</f>
        <v>#N/A</v>
      </c>
    </row>
    <row r="249">
      <c r="A249" t="str">
        <f>IFERROR(__xludf.DUMMYFUNCTION("""COMPUTED_VALUE"""),"#N/A")</f>
        <v>#N/A</v>
      </c>
      <c r="B249" s="451" t="str">
        <f>IFERROR(__xludf.DUMMYFUNCTION("""COMPUTED_VALUE"""),"#N/A")</f>
        <v>#N/A</v>
      </c>
    </row>
    <row r="250">
      <c r="A250" t="str">
        <f>IFERROR(__xludf.DUMMYFUNCTION("""COMPUTED_VALUE"""),"#N/A")</f>
        <v>#N/A</v>
      </c>
      <c r="B250" s="451" t="str">
        <f>IFERROR(__xludf.DUMMYFUNCTION("""COMPUTED_VALUE"""),"#N/A")</f>
        <v>#N/A</v>
      </c>
    </row>
    <row r="251">
      <c r="A251" t="str">
        <f>IFERROR(__xludf.DUMMYFUNCTION("""COMPUTED_VALUE"""),"#N/A")</f>
        <v>#N/A</v>
      </c>
      <c r="B251" s="451" t="str">
        <f>IFERROR(__xludf.DUMMYFUNCTION("""COMPUTED_VALUE"""),"#N/A")</f>
        <v>#N/A</v>
      </c>
    </row>
    <row r="252">
      <c r="A252" t="str">
        <f>IFERROR(__xludf.DUMMYFUNCTION("""COMPUTED_VALUE"""),"#N/A")</f>
        <v>#N/A</v>
      </c>
      <c r="B252" s="451" t="str">
        <f>IFERROR(__xludf.DUMMYFUNCTION("""COMPUTED_VALUE"""),"#N/A")</f>
        <v>#N/A</v>
      </c>
    </row>
    <row r="253">
      <c r="A253" t="str">
        <f>IFERROR(__xludf.DUMMYFUNCTION("""COMPUTED_VALUE"""),"#N/A")</f>
        <v>#N/A</v>
      </c>
      <c r="B253" s="451" t="str">
        <f>IFERROR(__xludf.DUMMYFUNCTION("""COMPUTED_VALUE"""),"#N/A")</f>
        <v>#N/A</v>
      </c>
    </row>
    <row r="254">
      <c r="A254" t="str">
        <f>IFERROR(__xludf.DUMMYFUNCTION("""COMPUTED_VALUE"""),"#N/A")</f>
        <v>#N/A</v>
      </c>
      <c r="B254" s="451" t="str">
        <f>IFERROR(__xludf.DUMMYFUNCTION("""COMPUTED_VALUE"""),"#N/A")</f>
        <v>#N/A</v>
      </c>
    </row>
    <row r="255">
      <c r="A255" t="str">
        <f>IFERROR(__xludf.DUMMYFUNCTION("""COMPUTED_VALUE"""),"#N/A")</f>
        <v>#N/A</v>
      </c>
      <c r="B255" s="451" t="str">
        <f>IFERROR(__xludf.DUMMYFUNCTION("""COMPUTED_VALUE"""),"#N/A")</f>
        <v>#N/A</v>
      </c>
    </row>
    <row r="256">
      <c r="A256" t="str">
        <f>IFERROR(__xludf.DUMMYFUNCTION("""COMPUTED_VALUE"""),"#N/A")</f>
        <v>#N/A</v>
      </c>
      <c r="B256" s="451" t="str">
        <f>IFERROR(__xludf.DUMMYFUNCTION("""COMPUTED_VALUE"""),"#N/A")</f>
        <v>#N/A</v>
      </c>
    </row>
    <row r="257">
      <c r="A257" t="str">
        <f>IFERROR(__xludf.DUMMYFUNCTION("""COMPUTED_VALUE"""),"#N/A")</f>
        <v>#N/A</v>
      </c>
      <c r="B257" s="451" t="str">
        <f>IFERROR(__xludf.DUMMYFUNCTION("""COMPUTED_VALUE"""),"#N/A")</f>
        <v>#N/A</v>
      </c>
    </row>
    <row r="258">
      <c r="A258" t="str">
        <f>IFERROR(__xludf.DUMMYFUNCTION("""COMPUTED_VALUE"""),"#N/A")</f>
        <v>#N/A</v>
      </c>
      <c r="B258" s="451" t="str">
        <f>IFERROR(__xludf.DUMMYFUNCTION("""COMPUTED_VALUE"""),"#N/A")</f>
        <v>#N/A</v>
      </c>
    </row>
    <row r="259">
      <c r="A259" t="str">
        <f>IFERROR(__xludf.DUMMYFUNCTION("""COMPUTED_VALUE"""),"#N/A")</f>
        <v>#N/A</v>
      </c>
      <c r="B259" s="451" t="str">
        <f>IFERROR(__xludf.DUMMYFUNCTION("""COMPUTED_VALUE"""),"#N/A")</f>
        <v>#N/A</v>
      </c>
    </row>
    <row r="260">
      <c r="A260" t="str">
        <f>IFERROR(__xludf.DUMMYFUNCTION("""COMPUTED_VALUE"""),"#N/A")</f>
        <v>#N/A</v>
      </c>
      <c r="B260" s="451" t="str">
        <f>IFERROR(__xludf.DUMMYFUNCTION("""COMPUTED_VALUE"""),"#N/A")</f>
        <v>#N/A</v>
      </c>
    </row>
    <row r="261">
      <c r="A261" t="str">
        <f>IFERROR(__xludf.DUMMYFUNCTION("""COMPUTED_VALUE"""),"#N/A")</f>
        <v>#N/A</v>
      </c>
      <c r="B261" s="451" t="str">
        <f>IFERROR(__xludf.DUMMYFUNCTION("""COMPUTED_VALUE"""),"#N/A")</f>
        <v>#N/A</v>
      </c>
    </row>
    <row r="262">
      <c r="A262" t="str">
        <f>IFERROR(__xludf.DUMMYFUNCTION("""COMPUTED_VALUE"""),"#N/A")</f>
        <v>#N/A</v>
      </c>
      <c r="B262" s="451" t="str">
        <f>IFERROR(__xludf.DUMMYFUNCTION("""COMPUTED_VALUE"""),"#N/A")</f>
        <v>#N/A</v>
      </c>
    </row>
    <row r="263">
      <c r="A263" t="str">
        <f>IFERROR(__xludf.DUMMYFUNCTION("""COMPUTED_VALUE"""),"#N/A")</f>
        <v>#N/A</v>
      </c>
      <c r="B263" s="451" t="str">
        <f>IFERROR(__xludf.DUMMYFUNCTION("""COMPUTED_VALUE"""),"#N/A")</f>
        <v>#N/A</v>
      </c>
    </row>
    <row r="264">
      <c r="A264" t="str">
        <f>IFERROR(__xludf.DUMMYFUNCTION("""COMPUTED_VALUE"""),"#N/A")</f>
        <v>#N/A</v>
      </c>
      <c r="B264" s="451" t="str">
        <f>IFERROR(__xludf.DUMMYFUNCTION("""COMPUTED_VALUE"""),"#N/A")</f>
        <v>#N/A</v>
      </c>
    </row>
    <row r="265">
      <c r="A265" t="str">
        <f>IFERROR(__xludf.DUMMYFUNCTION("""COMPUTED_VALUE"""),"#N/A")</f>
        <v>#N/A</v>
      </c>
      <c r="B265" s="451" t="str">
        <f>IFERROR(__xludf.DUMMYFUNCTION("""COMPUTED_VALUE"""),"#N/A")</f>
        <v>#N/A</v>
      </c>
    </row>
    <row r="266">
      <c r="A266" t="str">
        <f>IFERROR(__xludf.DUMMYFUNCTION("""COMPUTED_VALUE"""),"#N/A")</f>
        <v>#N/A</v>
      </c>
      <c r="B266" s="451" t="str">
        <f>IFERROR(__xludf.DUMMYFUNCTION("""COMPUTED_VALUE"""),"#N/A")</f>
        <v>#N/A</v>
      </c>
    </row>
    <row r="267">
      <c r="A267" t="str">
        <f>IFERROR(__xludf.DUMMYFUNCTION("""COMPUTED_VALUE"""),"#N/A")</f>
        <v>#N/A</v>
      </c>
      <c r="B267" s="451" t="str">
        <f>IFERROR(__xludf.DUMMYFUNCTION("""COMPUTED_VALUE"""),"#N/A")</f>
        <v>#N/A</v>
      </c>
    </row>
    <row r="268">
      <c r="A268" t="str">
        <f>IFERROR(__xludf.DUMMYFUNCTION("""COMPUTED_VALUE"""),"#N/A")</f>
        <v>#N/A</v>
      </c>
      <c r="B268" s="451" t="str">
        <f>IFERROR(__xludf.DUMMYFUNCTION("""COMPUTED_VALUE"""),"#N/A")</f>
        <v>#N/A</v>
      </c>
    </row>
    <row r="269">
      <c r="A269" t="str">
        <f>IFERROR(__xludf.DUMMYFUNCTION("""COMPUTED_VALUE"""),"#N/A")</f>
        <v>#N/A</v>
      </c>
      <c r="B269" s="451" t="str">
        <f>IFERROR(__xludf.DUMMYFUNCTION("""COMPUTED_VALUE"""),"#N/A")</f>
        <v>#N/A</v>
      </c>
    </row>
    <row r="270">
      <c r="A270" t="str">
        <f>IFERROR(__xludf.DUMMYFUNCTION("""COMPUTED_VALUE"""),"#N/A")</f>
        <v>#N/A</v>
      </c>
      <c r="B270" s="451" t="str">
        <f>IFERROR(__xludf.DUMMYFUNCTION("""COMPUTED_VALUE"""),"#N/A")</f>
        <v>#N/A</v>
      </c>
    </row>
    <row r="271">
      <c r="A271" t="str">
        <f>IFERROR(__xludf.DUMMYFUNCTION("""COMPUTED_VALUE"""),"#N/A")</f>
        <v>#N/A</v>
      </c>
      <c r="B271" s="451" t="str">
        <f>IFERROR(__xludf.DUMMYFUNCTION("""COMPUTED_VALUE"""),"#N/A")</f>
        <v>#N/A</v>
      </c>
    </row>
    <row r="272">
      <c r="A272" t="str">
        <f>IFERROR(__xludf.DUMMYFUNCTION("""COMPUTED_VALUE"""),"#N/A")</f>
        <v>#N/A</v>
      </c>
      <c r="B272" s="451" t="str">
        <f>IFERROR(__xludf.DUMMYFUNCTION("""COMPUTED_VALUE"""),"#N/A")</f>
        <v>#N/A</v>
      </c>
    </row>
    <row r="273">
      <c r="A273" t="str">
        <f>IFERROR(__xludf.DUMMYFUNCTION("""COMPUTED_VALUE"""),"#N/A")</f>
        <v>#N/A</v>
      </c>
      <c r="B273" s="451" t="str">
        <f>IFERROR(__xludf.DUMMYFUNCTION("""COMPUTED_VALUE"""),"#N/A")</f>
        <v>#N/A</v>
      </c>
    </row>
    <row r="274">
      <c r="A274" t="str">
        <f>IFERROR(__xludf.DUMMYFUNCTION("""COMPUTED_VALUE"""),"#N/A")</f>
        <v>#N/A</v>
      </c>
      <c r="B274" s="451" t="str">
        <f>IFERROR(__xludf.DUMMYFUNCTION("""COMPUTED_VALUE"""),"#N/A")</f>
        <v>#N/A</v>
      </c>
    </row>
    <row r="275">
      <c r="A275" t="str">
        <f>IFERROR(__xludf.DUMMYFUNCTION("""COMPUTED_VALUE"""),"#N/A")</f>
        <v>#N/A</v>
      </c>
      <c r="B275" s="451" t="str">
        <f>IFERROR(__xludf.DUMMYFUNCTION("""COMPUTED_VALUE"""),"#N/A")</f>
        <v>#N/A</v>
      </c>
    </row>
    <row r="276">
      <c r="A276" t="str">
        <f>IFERROR(__xludf.DUMMYFUNCTION("""COMPUTED_VALUE"""),"#N/A")</f>
        <v>#N/A</v>
      </c>
      <c r="B276" s="451" t="str">
        <f>IFERROR(__xludf.DUMMYFUNCTION("""COMPUTED_VALUE"""),"#N/A")</f>
        <v>#N/A</v>
      </c>
    </row>
    <row r="277">
      <c r="A277" t="str">
        <f>IFERROR(__xludf.DUMMYFUNCTION("""COMPUTED_VALUE"""),"#N/A")</f>
        <v>#N/A</v>
      </c>
      <c r="B277" s="451" t="str">
        <f>IFERROR(__xludf.DUMMYFUNCTION("""COMPUTED_VALUE"""),"#N/A")</f>
        <v>#N/A</v>
      </c>
    </row>
    <row r="278">
      <c r="A278" t="str">
        <f>IFERROR(__xludf.DUMMYFUNCTION("""COMPUTED_VALUE"""),"#N/A")</f>
        <v>#N/A</v>
      </c>
      <c r="B278" s="451" t="str">
        <f>IFERROR(__xludf.DUMMYFUNCTION("""COMPUTED_VALUE"""),"#N/A")</f>
        <v>#N/A</v>
      </c>
    </row>
    <row r="279">
      <c r="A279" t="str">
        <f>IFERROR(__xludf.DUMMYFUNCTION("""COMPUTED_VALUE"""),"#N/A")</f>
        <v>#N/A</v>
      </c>
      <c r="B279" s="451" t="str">
        <f>IFERROR(__xludf.DUMMYFUNCTION("""COMPUTED_VALUE"""),"#N/A")</f>
        <v>#N/A</v>
      </c>
    </row>
    <row r="280">
      <c r="A280" t="str">
        <f>IFERROR(__xludf.DUMMYFUNCTION("""COMPUTED_VALUE"""),"#N/A")</f>
        <v>#N/A</v>
      </c>
      <c r="B280" s="451" t="str">
        <f>IFERROR(__xludf.DUMMYFUNCTION("""COMPUTED_VALUE"""),"#N/A")</f>
        <v>#N/A</v>
      </c>
    </row>
    <row r="281">
      <c r="A281" t="str">
        <f>IFERROR(__xludf.DUMMYFUNCTION("""COMPUTED_VALUE"""),"#N/A")</f>
        <v>#N/A</v>
      </c>
      <c r="B281" s="451" t="str">
        <f>IFERROR(__xludf.DUMMYFUNCTION("""COMPUTED_VALUE"""),"#N/A")</f>
        <v>#N/A</v>
      </c>
    </row>
    <row r="282">
      <c r="A282" t="str">
        <f>IFERROR(__xludf.DUMMYFUNCTION("""COMPUTED_VALUE"""),"#N/A")</f>
        <v>#N/A</v>
      </c>
      <c r="B282" s="451" t="str">
        <f>IFERROR(__xludf.DUMMYFUNCTION("""COMPUTED_VALUE"""),"#N/A")</f>
        <v>#N/A</v>
      </c>
    </row>
    <row r="283">
      <c r="A283" t="str">
        <f>IFERROR(__xludf.DUMMYFUNCTION("""COMPUTED_VALUE"""),"#N/A")</f>
        <v>#N/A</v>
      </c>
      <c r="B283" s="451" t="str">
        <f>IFERROR(__xludf.DUMMYFUNCTION("""COMPUTED_VALUE"""),"#N/A")</f>
        <v>#N/A</v>
      </c>
    </row>
    <row r="284">
      <c r="A284" t="str">
        <f>IFERROR(__xludf.DUMMYFUNCTION("""COMPUTED_VALUE"""),"#N/A")</f>
        <v>#N/A</v>
      </c>
      <c r="B284" s="451" t="str">
        <f>IFERROR(__xludf.DUMMYFUNCTION("""COMPUTED_VALUE"""),"#N/A")</f>
        <v>#N/A</v>
      </c>
    </row>
    <row r="285">
      <c r="A285" t="str">
        <f>IFERROR(__xludf.DUMMYFUNCTION("""COMPUTED_VALUE"""),"#N/A")</f>
        <v>#N/A</v>
      </c>
      <c r="B285" s="451" t="str">
        <f>IFERROR(__xludf.DUMMYFUNCTION("""COMPUTED_VALUE"""),"#N/A")</f>
        <v>#N/A</v>
      </c>
    </row>
    <row r="286">
      <c r="A286" t="str">
        <f>IFERROR(__xludf.DUMMYFUNCTION("""COMPUTED_VALUE"""),"#N/A")</f>
        <v>#N/A</v>
      </c>
      <c r="B286" s="451" t="str">
        <f>IFERROR(__xludf.DUMMYFUNCTION("""COMPUTED_VALUE"""),"#N/A")</f>
        <v>#N/A</v>
      </c>
    </row>
    <row r="287">
      <c r="A287" t="str">
        <f>IFERROR(__xludf.DUMMYFUNCTION("""COMPUTED_VALUE"""),"#N/A")</f>
        <v>#N/A</v>
      </c>
      <c r="B287" s="451" t="str">
        <f>IFERROR(__xludf.DUMMYFUNCTION("""COMPUTED_VALUE"""),"#N/A")</f>
        <v>#N/A</v>
      </c>
    </row>
    <row r="288">
      <c r="A288" t="str">
        <f>IFERROR(__xludf.DUMMYFUNCTION("""COMPUTED_VALUE"""),"#N/A")</f>
        <v>#N/A</v>
      </c>
      <c r="B288" s="451" t="str">
        <f>IFERROR(__xludf.DUMMYFUNCTION("""COMPUTED_VALUE"""),"#N/A")</f>
        <v>#N/A</v>
      </c>
    </row>
    <row r="289">
      <c r="A289" t="str">
        <f>IFERROR(__xludf.DUMMYFUNCTION("""COMPUTED_VALUE"""),"#N/A")</f>
        <v>#N/A</v>
      </c>
      <c r="B289" s="451" t="str">
        <f>IFERROR(__xludf.DUMMYFUNCTION("""COMPUTED_VALUE"""),"#N/A")</f>
        <v>#N/A</v>
      </c>
    </row>
    <row r="290">
      <c r="A290" t="str">
        <f>IFERROR(__xludf.DUMMYFUNCTION("""COMPUTED_VALUE"""),"#N/A")</f>
        <v>#N/A</v>
      </c>
      <c r="B290" s="451" t="str">
        <f>IFERROR(__xludf.DUMMYFUNCTION("""COMPUTED_VALUE"""),"#N/A")</f>
        <v>#N/A</v>
      </c>
    </row>
    <row r="291">
      <c r="A291" t="str">
        <f>IFERROR(__xludf.DUMMYFUNCTION("""COMPUTED_VALUE"""),"#N/A")</f>
        <v>#N/A</v>
      </c>
      <c r="B291" s="451" t="str">
        <f>IFERROR(__xludf.DUMMYFUNCTION("""COMPUTED_VALUE"""),"#N/A")</f>
        <v>#N/A</v>
      </c>
    </row>
    <row r="292">
      <c r="A292" t="str">
        <f>IFERROR(__xludf.DUMMYFUNCTION("""COMPUTED_VALUE"""),"#N/A")</f>
        <v>#N/A</v>
      </c>
      <c r="B292" s="451" t="str">
        <f>IFERROR(__xludf.DUMMYFUNCTION("""COMPUTED_VALUE"""),"#N/A")</f>
        <v>#N/A</v>
      </c>
    </row>
    <row r="293">
      <c r="A293" t="str">
        <f>IFERROR(__xludf.DUMMYFUNCTION("""COMPUTED_VALUE"""),"#N/A")</f>
        <v>#N/A</v>
      </c>
      <c r="B293" s="451" t="str">
        <f>IFERROR(__xludf.DUMMYFUNCTION("""COMPUTED_VALUE"""),"#N/A")</f>
        <v>#N/A</v>
      </c>
    </row>
    <row r="294">
      <c r="A294" t="str">
        <f>IFERROR(__xludf.DUMMYFUNCTION("""COMPUTED_VALUE"""),"#N/A")</f>
        <v>#N/A</v>
      </c>
      <c r="B294" s="451" t="str">
        <f>IFERROR(__xludf.DUMMYFUNCTION("""COMPUTED_VALUE"""),"#N/A")</f>
        <v>#N/A</v>
      </c>
    </row>
    <row r="295">
      <c r="A295" t="str">
        <f>IFERROR(__xludf.DUMMYFUNCTION("""COMPUTED_VALUE"""),"#N/A")</f>
        <v>#N/A</v>
      </c>
      <c r="B295" s="451" t="str">
        <f>IFERROR(__xludf.DUMMYFUNCTION("""COMPUTED_VALUE"""),"#N/A")</f>
        <v>#N/A</v>
      </c>
    </row>
    <row r="296">
      <c r="A296" t="str">
        <f>IFERROR(__xludf.DUMMYFUNCTION("""COMPUTED_VALUE"""),"#N/A")</f>
        <v>#N/A</v>
      </c>
      <c r="B296" s="451" t="str">
        <f>IFERROR(__xludf.DUMMYFUNCTION("""COMPUTED_VALUE"""),"#N/A")</f>
        <v>#N/A</v>
      </c>
    </row>
    <row r="297">
      <c r="A297" t="str">
        <f>IFERROR(__xludf.DUMMYFUNCTION("""COMPUTED_VALUE"""),"#N/A")</f>
        <v>#N/A</v>
      </c>
      <c r="B297" s="451" t="str">
        <f>IFERROR(__xludf.DUMMYFUNCTION("""COMPUTED_VALUE"""),"#N/A")</f>
        <v>#N/A</v>
      </c>
    </row>
    <row r="298">
      <c r="A298" t="str">
        <f>IFERROR(__xludf.DUMMYFUNCTION("""COMPUTED_VALUE"""),"#N/A")</f>
        <v>#N/A</v>
      </c>
      <c r="B298" s="451" t="str">
        <f>IFERROR(__xludf.DUMMYFUNCTION("""COMPUTED_VALUE"""),"#N/A")</f>
        <v>#N/A</v>
      </c>
    </row>
    <row r="299">
      <c r="A299" t="str">
        <f>IFERROR(__xludf.DUMMYFUNCTION("""COMPUTED_VALUE"""),"#N/A")</f>
        <v>#N/A</v>
      </c>
      <c r="B299" s="451" t="str">
        <f>IFERROR(__xludf.DUMMYFUNCTION("""COMPUTED_VALUE"""),"#N/A")</f>
        <v>#N/A</v>
      </c>
    </row>
    <row r="300">
      <c r="A300" t="str">
        <f>IFERROR(__xludf.DUMMYFUNCTION("""COMPUTED_VALUE"""),"#N/A")</f>
        <v>#N/A</v>
      </c>
      <c r="B300" s="451" t="str">
        <f>IFERROR(__xludf.DUMMYFUNCTION("""COMPUTED_VALUE"""),"#N/A")</f>
        <v>#N/A</v>
      </c>
    </row>
    <row r="301">
      <c r="A301" t="str">
        <f>IFERROR(__xludf.DUMMYFUNCTION("""COMPUTED_VALUE"""),"#N/A")</f>
        <v>#N/A</v>
      </c>
      <c r="B301" s="451" t="str">
        <f>IFERROR(__xludf.DUMMYFUNCTION("""COMPUTED_VALUE"""),"#N/A")</f>
        <v>#N/A</v>
      </c>
    </row>
    <row r="302">
      <c r="A302" t="str">
        <f>IFERROR(__xludf.DUMMYFUNCTION("""COMPUTED_VALUE"""),"#N/A")</f>
        <v>#N/A</v>
      </c>
      <c r="B302" s="451" t="str">
        <f>IFERROR(__xludf.DUMMYFUNCTION("""COMPUTED_VALUE"""),"#N/A")</f>
        <v>#N/A</v>
      </c>
    </row>
    <row r="303">
      <c r="A303" t="str">
        <f>IFERROR(__xludf.DUMMYFUNCTION("""COMPUTED_VALUE"""),"#N/A")</f>
        <v>#N/A</v>
      </c>
      <c r="B303" s="451" t="str">
        <f>IFERROR(__xludf.DUMMYFUNCTION("""COMPUTED_VALUE"""),"#N/A")</f>
        <v>#N/A</v>
      </c>
    </row>
    <row r="304">
      <c r="A304" t="str">
        <f>IFERROR(__xludf.DUMMYFUNCTION("""COMPUTED_VALUE"""),"#N/A")</f>
        <v>#N/A</v>
      </c>
      <c r="B304" s="451" t="str">
        <f>IFERROR(__xludf.DUMMYFUNCTION("""COMPUTED_VALUE"""),"#N/A")</f>
        <v>#N/A</v>
      </c>
    </row>
    <row r="305">
      <c r="A305" t="str">
        <f>IFERROR(__xludf.DUMMYFUNCTION("""COMPUTED_VALUE"""),"#N/A")</f>
        <v>#N/A</v>
      </c>
      <c r="B305" s="451" t="str">
        <f>IFERROR(__xludf.DUMMYFUNCTION("""COMPUTED_VALUE"""),"#N/A")</f>
        <v>#N/A</v>
      </c>
    </row>
    <row r="306">
      <c r="A306" t="str">
        <f>IFERROR(__xludf.DUMMYFUNCTION("""COMPUTED_VALUE"""),"#N/A")</f>
        <v>#N/A</v>
      </c>
      <c r="B306" s="451" t="str">
        <f>IFERROR(__xludf.DUMMYFUNCTION("""COMPUTED_VALUE"""),"#N/A")</f>
        <v>#N/A</v>
      </c>
    </row>
    <row r="307">
      <c r="A307" t="str">
        <f>IFERROR(__xludf.DUMMYFUNCTION("""COMPUTED_VALUE"""),"#N/A")</f>
        <v>#N/A</v>
      </c>
      <c r="B307" s="451" t="str">
        <f>IFERROR(__xludf.DUMMYFUNCTION("""COMPUTED_VALUE"""),"#N/A")</f>
        <v>#N/A</v>
      </c>
    </row>
    <row r="308">
      <c r="A308" t="str">
        <f>IFERROR(__xludf.DUMMYFUNCTION("""COMPUTED_VALUE"""),"#N/A")</f>
        <v>#N/A</v>
      </c>
      <c r="B308" s="451" t="str">
        <f>IFERROR(__xludf.DUMMYFUNCTION("""COMPUTED_VALUE"""),"#N/A")</f>
        <v>#N/A</v>
      </c>
    </row>
    <row r="309">
      <c r="A309" t="str">
        <f>IFERROR(__xludf.DUMMYFUNCTION("""COMPUTED_VALUE"""),"#N/A")</f>
        <v>#N/A</v>
      </c>
      <c r="B309" s="451" t="str">
        <f>IFERROR(__xludf.DUMMYFUNCTION("""COMPUTED_VALUE"""),"#N/A")</f>
        <v>#N/A</v>
      </c>
    </row>
    <row r="310">
      <c r="A310" t="str">
        <f>IFERROR(__xludf.DUMMYFUNCTION("""COMPUTED_VALUE"""),"#N/A")</f>
        <v>#N/A</v>
      </c>
      <c r="B310" s="451" t="str">
        <f>IFERROR(__xludf.DUMMYFUNCTION("""COMPUTED_VALUE"""),"#N/A")</f>
        <v>#N/A</v>
      </c>
    </row>
    <row r="311">
      <c r="A311" t="str">
        <f>IFERROR(__xludf.DUMMYFUNCTION("""COMPUTED_VALUE"""),"#N/A")</f>
        <v>#N/A</v>
      </c>
      <c r="B311" s="451" t="str">
        <f>IFERROR(__xludf.DUMMYFUNCTION("""COMPUTED_VALUE"""),"#N/A")</f>
        <v>#N/A</v>
      </c>
    </row>
    <row r="312">
      <c r="A312" t="str">
        <f>IFERROR(__xludf.DUMMYFUNCTION("""COMPUTED_VALUE"""),"#N/A")</f>
        <v>#N/A</v>
      </c>
      <c r="B312" s="451" t="str">
        <f>IFERROR(__xludf.DUMMYFUNCTION("""COMPUTED_VALUE"""),"#N/A")</f>
        <v>#N/A</v>
      </c>
    </row>
    <row r="313">
      <c r="A313" t="str">
        <f>IFERROR(__xludf.DUMMYFUNCTION("""COMPUTED_VALUE"""),"#N/A")</f>
        <v>#N/A</v>
      </c>
      <c r="B313" s="451" t="str">
        <f>IFERROR(__xludf.DUMMYFUNCTION("""COMPUTED_VALUE"""),"#N/A")</f>
        <v>#N/A</v>
      </c>
    </row>
    <row r="314">
      <c r="A314" t="str">
        <f>IFERROR(__xludf.DUMMYFUNCTION("""COMPUTED_VALUE"""),"#N/A")</f>
        <v>#N/A</v>
      </c>
      <c r="B314" s="451" t="str">
        <f>IFERROR(__xludf.DUMMYFUNCTION("""COMPUTED_VALUE"""),"#N/A")</f>
        <v>#N/A</v>
      </c>
    </row>
    <row r="315">
      <c r="A315" t="str">
        <f>IFERROR(__xludf.DUMMYFUNCTION("""COMPUTED_VALUE"""),"#N/A")</f>
        <v>#N/A</v>
      </c>
      <c r="B315" s="451" t="str">
        <f>IFERROR(__xludf.DUMMYFUNCTION("""COMPUTED_VALUE"""),"#N/A")</f>
        <v>#N/A</v>
      </c>
    </row>
    <row r="316">
      <c r="A316" t="str">
        <f>IFERROR(__xludf.DUMMYFUNCTION("""COMPUTED_VALUE"""),"#N/A")</f>
        <v>#N/A</v>
      </c>
      <c r="B316" s="451" t="str">
        <f>IFERROR(__xludf.DUMMYFUNCTION("""COMPUTED_VALUE"""),"#N/A")</f>
        <v>#N/A</v>
      </c>
    </row>
    <row r="317">
      <c r="A317" t="str">
        <f>IFERROR(__xludf.DUMMYFUNCTION("""COMPUTED_VALUE"""),"#N/A")</f>
        <v>#N/A</v>
      </c>
      <c r="B317" s="451" t="str">
        <f>IFERROR(__xludf.DUMMYFUNCTION("""COMPUTED_VALUE"""),"#N/A")</f>
        <v>#N/A</v>
      </c>
    </row>
    <row r="318">
      <c r="A318" t="str">
        <f>IFERROR(__xludf.DUMMYFUNCTION("""COMPUTED_VALUE"""),"#N/A")</f>
        <v>#N/A</v>
      </c>
      <c r="B318" s="451" t="str">
        <f>IFERROR(__xludf.DUMMYFUNCTION("""COMPUTED_VALUE"""),"#N/A")</f>
        <v>#N/A</v>
      </c>
    </row>
    <row r="319">
      <c r="A319" t="str">
        <f>IFERROR(__xludf.DUMMYFUNCTION("""COMPUTED_VALUE"""),"#N/A")</f>
        <v>#N/A</v>
      </c>
      <c r="B319" s="451" t="str">
        <f>IFERROR(__xludf.DUMMYFUNCTION("""COMPUTED_VALUE"""),"#N/A")</f>
        <v>#N/A</v>
      </c>
    </row>
    <row r="320">
      <c r="A320" t="str">
        <f>IFERROR(__xludf.DUMMYFUNCTION("""COMPUTED_VALUE"""),"#N/A")</f>
        <v>#N/A</v>
      </c>
      <c r="B320" s="451" t="str">
        <f>IFERROR(__xludf.DUMMYFUNCTION("""COMPUTED_VALUE"""),"#N/A")</f>
        <v>#N/A</v>
      </c>
    </row>
    <row r="321">
      <c r="A321" t="str">
        <f>IFERROR(__xludf.DUMMYFUNCTION("""COMPUTED_VALUE"""),"#N/A")</f>
        <v>#N/A</v>
      </c>
      <c r="B321" s="451" t="str">
        <f>IFERROR(__xludf.DUMMYFUNCTION("""COMPUTED_VALUE"""),"#N/A")</f>
        <v>#N/A</v>
      </c>
    </row>
    <row r="322">
      <c r="A322" t="str">
        <f>IFERROR(__xludf.DUMMYFUNCTION("""COMPUTED_VALUE"""),"#N/A")</f>
        <v>#N/A</v>
      </c>
      <c r="B322" s="451" t="str">
        <f>IFERROR(__xludf.DUMMYFUNCTION("""COMPUTED_VALUE"""),"#N/A")</f>
        <v>#N/A</v>
      </c>
    </row>
    <row r="323">
      <c r="A323" t="str">
        <f>IFERROR(__xludf.DUMMYFUNCTION("""COMPUTED_VALUE"""),"#N/A")</f>
        <v>#N/A</v>
      </c>
      <c r="B323" s="451" t="str">
        <f>IFERROR(__xludf.DUMMYFUNCTION("""COMPUTED_VALUE"""),"#N/A")</f>
        <v>#N/A</v>
      </c>
    </row>
    <row r="324">
      <c r="A324" t="str">
        <f>IFERROR(__xludf.DUMMYFUNCTION("""COMPUTED_VALUE"""),"#N/A")</f>
        <v>#N/A</v>
      </c>
      <c r="B324" s="451" t="str">
        <f>IFERROR(__xludf.DUMMYFUNCTION("""COMPUTED_VALUE"""),"#N/A")</f>
        <v>#N/A</v>
      </c>
    </row>
    <row r="325">
      <c r="A325" t="str">
        <f>IFERROR(__xludf.DUMMYFUNCTION("""COMPUTED_VALUE"""),"#N/A")</f>
        <v>#N/A</v>
      </c>
      <c r="B325" s="451" t="str">
        <f>IFERROR(__xludf.DUMMYFUNCTION("""COMPUTED_VALUE"""),"#N/A")</f>
        <v>#N/A</v>
      </c>
    </row>
    <row r="326">
      <c r="A326" t="str">
        <f>IFERROR(__xludf.DUMMYFUNCTION("""COMPUTED_VALUE"""),"#N/A")</f>
        <v>#N/A</v>
      </c>
      <c r="B326" s="451" t="str">
        <f>IFERROR(__xludf.DUMMYFUNCTION("""COMPUTED_VALUE"""),"#N/A")</f>
        <v>#N/A</v>
      </c>
    </row>
    <row r="327">
      <c r="A327" t="str">
        <f>IFERROR(__xludf.DUMMYFUNCTION("""COMPUTED_VALUE"""),"#N/A")</f>
        <v>#N/A</v>
      </c>
      <c r="B327" s="451" t="str">
        <f>IFERROR(__xludf.DUMMYFUNCTION("""COMPUTED_VALUE"""),"#N/A")</f>
        <v>#N/A</v>
      </c>
    </row>
    <row r="328">
      <c r="A328" t="str">
        <f>IFERROR(__xludf.DUMMYFUNCTION("""COMPUTED_VALUE"""),"#N/A")</f>
        <v>#N/A</v>
      </c>
      <c r="B328" s="451" t="str">
        <f>IFERROR(__xludf.DUMMYFUNCTION("""COMPUTED_VALUE"""),"#N/A")</f>
        <v>#N/A</v>
      </c>
    </row>
    <row r="329">
      <c r="A329" t="str">
        <f>IFERROR(__xludf.DUMMYFUNCTION("""COMPUTED_VALUE"""),"#N/A")</f>
        <v>#N/A</v>
      </c>
      <c r="B329" s="451" t="str">
        <f>IFERROR(__xludf.DUMMYFUNCTION("""COMPUTED_VALUE"""),"#N/A")</f>
        <v>#N/A</v>
      </c>
    </row>
    <row r="330">
      <c r="A330" t="str">
        <f>IFERROR(__xludf.DUMMYFUNCTION("""COMPUTED_VALUE"""),"#N/A")</f>
        <v>#N/A</v>
      </c>
      <c r="B330" s="451" t="str">
        <f>IFERROR(__xludf.DUMMYFUNCTION("""COMPUTED_VALUE"""),"#N/A")</f>
        <v>#N/A</v>
      </c>
    </row>
    <row r="331">
      <c r="A331" t="str">
        <f>IFERROR(__xludf.DUMMYFUNCTION("""COMPUTED_VALUE"""),"#N/A")</f>
        <v>#N/A</v>
      </c>
      <c r="B331" s="451" t="str">
        <f>IFERROR(__xludf.DUMMYFUNCTION("""COMPUTED_VALUE"""),"#N/A")</f>
        <v>#N/A</v>
      </c>
    </row>
    <row r="332">
      <c r="A332" t="str">
        <f>IFERROR(__xludf.DUMMYFUNCTION("""COMPUTED_VALUE"""),"#N/A")</f>
        <v>#N/A</v>
      </c>
      <c r="B332" s="451" t="str">
        <f>IFERROR(__xludf.DUMMYFUNCTION("""COMPUTED_VALUE"""),"#N/A")</f>
        <v>#N/A</v>
      </c>
    </row>
    <row r="333">
      <c r="A333" t="str">
        <f>IFERROR(__xludf.DUMMYFUNCTION("""COMPUTED_VALUE"""),"#N/A")</f>
        <v>#N/A</v>
      </c>
      <c r="B333" s="451" t="str">
        <f>IFERROR(__xludf.DUMMYFUNCTION("""COMPUTED_VALUE"""),"#N/A")</f>
        <v>#N/A</v>
      </c>
    </row>
    <row r="334">
      <c r="A334" t="str">
        <f>IFERROR(__xludf.DUMMYFUNCTION("""COMPUTED_VALUE"""),"#N/A")</f>
        <v>#N/A</v>
      </c>
      <c r="B334" s="451" t="str">
        <f>IFERROR(__xludf.DUMMYFUNCTION("""COMPUTED_VALUE"""),"#N/A")</f>
        <v>#N/A</v>
      </c>
    </row>
    <row r="335">
      <c r="A335" t="str">
        <f>IFERROR(__xludf.DUMMYFUNCTION("""COMPUTED_VALUE"""),"#N/A")</f>
        <v>#N/A</v>
      </c>
      <c r="B335" s="451" t="str">
        <f>IFERROR(__xludf.DUMMYFUNCTION("""COMPUTED_VALUE"""),"#N/A")</f>
        <v>#N/A</v>
      </c>
    </row>
    <row r="336">
      <c r="A336" t="str">
        <f>IFERROR(__xludf.DUMMYFUNCTION("""COMPUTED_VALUE"""),"#N/A")</f>
        <v>#N/A</v>
      </c>
      <c r="B336" s="451" t="str">
        <f>IFERROR(__xludf.DUMMYFUNCTION("""COMPUTED_VALUE"""),"#N/A")</f>
        <v>#N/A</v>
      </c>
    </row>
    <row r="337">
      <c r="A337" t="str">
        <f>IFERROR(__xludf.DUMMYFUNCTION("""COMPUTED_VALUE"""),"#N/A")</f>
        <v>#N/A</v>
      </c>
      <c r="B337" s="451" t="str">
        <f>IFERROR(__xludf.DUMMYFUNCTION("""COMPUTED_VALUE"""),"#N/A")</f>
        <v>#N/A</v>
      </c>
    </row>
    <row r="338">
      <c r="A338" t="str">
        <f>IFERROR(__xludf.DUMMYFUNCTION("""COMPUTED_VALUE"""),"#N/A")</f>
        <v>#N/A</v>
      </c>
      <c r="B338" s="451" t="str">
        <f>IFERROR(__xludf.DUMMYFUNCTION("""COMPUTED_VALUE"""),"#N/A")</f>
        <v>#N/A</v>
      </c>
    </row>
    <row r="339">
      <c r="A339" t="str">
        <f>IFERROR(__xludf.DUMMYFUNCTION("""COMPUTED_VALUE"""),"#N/A")</f>
        <v>#N/A</v>
      </c>
      <c r="B339" s="451" t="str">
        <f>IFERROR(__xludf.DUMMYFUNCTION("""COMPUTED_VALUE"""),"#N/A")</f>
        <v>#N/A</v>
      </c>
    </row>
    <row r="340">
      <c r="A340" t="str">
        <f>IFERROR(__xludf.DUMMYFUNCTION("""COMPUTED_VALUE"""),"#N/A")</f>
        <v>#N/A</v>
      </c>
      <c r="B340" s="451" t="str">
        <f>IFERROR(__xludf.DUMMYFUNCTION("""COMPUTED_VALUE"""),"#N/A")</f>
        <v>#N/A</v>
      </c>
    </row>
    <row r="341">
      <c r="A341" t="str">
        <f>IFERROR(__xludf.DUMMYFUNCTION("""COMPUTED_VALUE"""),"#N/A")</f>
        <v>#N/A</v>
      </c>
      <c r="B341" s="451" t="str">
        <f>IFERROR(__xludf.DUMMYFUNCTION("""COMPUTED_VALUE"""),"#N/A")</f>
        <v>#N/A</v>
      </c>
    </row>
    <row r="342">
      <c r="A342" t="str">
        <f>IFERROR(__xludf.DUMMYFUNCTION("""COMPUTED_VALUE"""),"#N/A")</f>
        <v>#N/A</v>
      </c>
      <c r="B342" s="451" t="str">
        <f>IFERROR(__xludf.DUMMYFUNCTION("""COMPUTED_VALUE"""),"#N/A")</f>
        <v>#N/A</v>
      </c>
    </row>
    <row r="343">
      <c r="A343" t="str">
        <f>IFERROR(__xludf.DUMMYFUNCTION("""COMPUTED_VALUE"""),"#N/A")</f>
        <v>#N/A</v>
      </c>
      <c r="B343" s="451" t="str">
        <f>IFERROR(__xludf.DUMMYFUNCTION("""COMPUTED_VALUE"""),"#N/A")</f>
        <v>#N/A</v>
      </c>
    </row>
    <row r="344">
      <c r="A344" t="str">
        <f>IFERROR(__xludf.DUMMYFUNCTION("""COMPUTED_VALUE"""),"#N/A")</f>
        <v>#N/A</v>
      </c>
      <c r="B344" s="451" t="str">
        <f>IFERROR(__xludf.DUMMYFUNCTION("""COMPUTED_VALUE"""),"#N/A")</f>
        <v>#N/A</v>
      </c>
    </row>
    <row r="345">
      <c r="A345" t="str">
        <f>IFERROR(__xludf.DUMMYFUNCTION("""COMPUTED_VALUE"""),"#N/A")</f>
        <v>#N/A</v>
      </c>
      <c r="B345" s="451" t="str">
        <f>IFERROR(__xludf.DUMMYFUNCTION("""COMPUTED_VALUE"""),"#N/A")</f>
        <v>#N/A</v>
      </c>
    </row>
    <row r="346">
      <c r="A346" t="str">
        <f>IFERROR(__xludf.DUMMYFUNCTION("""COMPUTED_VALUE"""),"#N/A")</f>
        <v>#N/A</v>
      </c>
      <c r="B346" s="451" t="str">
        <f>IFERROR(__xludf.DUMMYFUNCTION("""COMPUTED_VALUE"""),"#N/A")</f>
        <v>#N/A</v>
      </c>
    </row>
    <row r="347">
      <c r="A347" t="str">
        <f>IFERROR(__xludf.DUMMYFUNCTION("""COMPUTED_VALUE"""),"#N/A")</f>
        <v>#N/A</v>
      </c>
      <c r="B347" s="451" t="str">
        <f>IFERROR(__xludf.DUMMYFUNCTION("""COMPUTED_VALUE"""),"#N/A")</f>
        <v>#N/A</v>
      </c>
    </row>
    <row r="348">
      <c r="A348" t="str">
        <f>IFERROR(__xludf.DUMMYFUNCTION("""COMPUTED_VALUE"""),"#N/A")</f>
        <v>#N/A</v>
      </c>
      <c r="B348" s="451" t="str">
        <f>IFERROR(__xludf.DUMMYFUNCTION("""COMPUTED_VALUE"""),"#N/A")</f>
        <v>#N/A</v>
      </c>
    </row>
    <row r="349">
      <c r="A349" t="str">
        <f>IFERROR(__xludf.DUMMYFUNCTION("""COMPUTED_VALUE"""),"#N/A")</f>
        <v>#N/A</v>
      </c>
      <c r="B349" s="451" t="str">
        <f>IFERROR(__xludf.DUMMYFUNCTION("""COMPUTED_VALUE"""),"#N/A")</f>
        <v>#N/A</v>
      </c>
    </row>
    <row r="350">
      <c r="A350" t="str">
        <f>IFERROR(__xludf.DUMMYFUNCTION("""COMPUTED_VALUE"""),"#N/A")</f>
        <v>#N/A</v>
      </c>
      <c r="B350" s="451" t="str">
        <f>IFERROR(__xludf.DUMMYFUNCTION("""COMPUTED_VALUE"""),"#N/A")</f>
        <v>#N/A</v>
      </c>
    </row>
    <row r="351">
      <c r="A351" t="str">
        <f>IFERROR(__xludf.DUMMYFUNCTION("""COMPUTED_VALUE"""),"#N/A")</f>
        <v>#N/A</v>
      </c>
      <c r="B351" s="451" t="str">
        <f>IFERROR(__xludf.DUMMYFUNCTION("""COMPUTED_VALUE"""),"#N/A")</f>
        <v>#N/A</v>
      </c>
    </row>
    <row r="352">
      <c r="A352" t="str">
        <f>IFERROR(__xludf.DUMMYFUNCTION("""COMPUTED_VALUE"""),"#N/A")</f>
        <v>#N/A</v>
      </c>
      <c r="B352" s="451" t="str">
        <f>IFERROR(__xludf.DUMMYFUNCTION("""COMPUTED_VALUE"""),"#N/A")</f>
        <v>#N/A</v>
      </c>
    </row>
    <row r="353">
      <c r="A353" t="str">
        <f>IFERROR(__xludf.DUMMYFUNCTION("""COMPUTED_VALUE"""),"#N/A")</f>
        <v>#N/A</v>
      </c>
      <c r="B353" s="451" t="str">
        <f>IFERROR(__xludf.DUMMYFUNCTION("""COMPUTED_VALUE"""),"#N/A")</f>
        <v>#N/A</v>
      </c>
    </row>
    <row r="354">
      <c r="A354" t="str">
        <f>IFERROR(__xludf.DUMMYFUNCTION("""COMPUTED_VALUE"""),"#N/A")</f>
        <v>#N/A</v>
      </c>
      <c r="B354" s="451" t="str">
        <f>IFERROR(__xludf.DUMMYFUNCTION("""COMPUTED_VALUE"""),"#N/A")</f>
        <v>#N/A</v>
      </c>
    </row>
    <row r="355">
      <c r="A355" t="str">
        <f>IFERROR(__xludf.DUMMYFUNCTION("""COMPUTED_VALUE"""),"#N/A")</f>
        <v>#N/A</v>
      </c>
      <c r="B355" s="451" t="str">
        <f>IFERROR(__xludf.DUMMYFUNCTION("""COMPUTED_VALUE"""),"#N/A")</f>
        <v>#N/A</v>
      </c>
    </row>
    <row r="356">
      <c r="A356" t="str">
        <f>IFERROR(__xludf.DUMMYFUNCTION("""COMPUTED_VALUE"""),"#N/A")</f>
        <v>#N/A</v>
      </c>
      <c r="B356" s="451" t="str">
        <f>IFERROR(__xludf.DUMMYFUNCTION("""COMPUTED_VALUE"""),"#N/A")</f>
        <v>#N/A</v>
      </c>
    </row>
    <row r="357">
      <c r="A357" t="str">
        <f>IFERROR(__xludf.DUMMYFUNCTION("""COMPUTED_VALUE"""),"#N/A")</f>
        <v>#N/A</v>
      </c>
      <c r="B357" s="451" t="str">
        <f>IFERROR(__xludf.DUMMYFUNCTION("""COMPUTED_VALUE"""),"#N/A")</f>
        <v>#N/A</v>
      </c>
    </row>
    <row r="358">
      <c r="A358" t="str">
        <f>IFERROR(__xludf.DUMMYFUNCTION("""COMPUTED_VALUE"""),"#N/A")</f>
        <v>#N/A</v>
      </c>
      <c r="B358" s="451" t="str">
        <f>IFERROR(__xludf.DUMMYFUNCTION("""COMPUTED_VALUE"""),"#N/A")</f>
        <v>#N/A</v>
      </c>
    </row>
    <row r="359">
      <c r="A359" t="str">
        <f>IFERROR(__xludf.DUMMYFUNCTION("""COMPUTED_VALUE"""),"#N/A")</f>
        <v>#N/A</v>
      </c>
      <c r="B359" s="451" t="str">
        <f>IFERROR(__xludf.DUMMYFUNCTION("""COMPUTED_VALUE"""),"#N/A")</f>
        <v>#N/A</v>
      </c>
    </row>
    <row r="360">
      <c r="A360" t="str">
        <f>IFERROR(__xludf.DUMMYFUNCTION("""COMPUTED_VALUE"""),"#N/A")</f>
        <v>#N/A</v>
      </c>
      <c r="B360" s="451" t="str">
        <f>IFERROR(__xludf.DUMMYFUNCTION("""COMPUTED_VALUE"""),"#N/A")</f>
        <v>#N/A</v>
      </c>
    </row>
    <row r="361">
      <c r="A361" t="str">
        <f>IFERROR(__xludf.DUMMYFUNCTION("""COMPUTED_VALUE"""),"#N/A")</f>
        <v>#N/A</v>
      </c>
      <c r="B361" s="451" t="str">
        <f>IFERROR(__xludf.DUMMYFUNCTION("""COMPUTED_VALUE"""),"#N/A")</f>
        <v>#N/A</v>
      </c>
    </row>
    <row r="362">
      <c r="A362" t="str">
        <f>IFERROR(__xludf.DUMMYFUNCTION("""COMPUTED_VALUE"""),"#N/A")</f>
        <v>#N/A</v>
      </c>
      <c r="B362" s="451" t="str">
        <f>IFERROR(__xludf.DUMMYFUNCTION("""COMPUTED_VALUE"""),"#N/A")</f>
        <v>#N/A</v>
      </c>
    </row>
    <row r="363">
      <c r="A363" t="str">
        <f>IFERROR(__xludf.DUMMYFUNCTION("""COMPUTED_VALUE"""),"#N/A")</f>
        <v>#N/A</v>
      </c>
      <c r="B363" s="451" t="str">
        <f>IFERROR(__xludf.DUMMYFUNCTION("""COMPUTED_VALUE"""),"#N/A")</f>
        <v>#N/A</v>
      </c>
    </row>
    <row r="364">
      <c r="A364" t="str">
        <f>IFERROR(__xludf.DUMMYFUNCTION("""COMPUTED_VALUE"""),"#N/A")</f>
        <v>#N/A</v>
      </c>
      <c r="B364" s="451" t="str">
        <f>IFERROR(__xludf.DUMMYFUNCTION("""COMPUTED_VALUE"""),"#N/A")</f>
        <v>#N/A</v>
      </c>
    </row>
    <row r="365">
      <c r="A365" t="str">
        <f>IFERROR(__xludf.DUMMYFUNCTION("""COMPUTED_VALUE"""),"#N/A")</f>
        <v>#N/A</v>
      </c>
      <c r="B365" s="451" t="str">
        <f>IFERROR(__xludf.DUMMYFUNCTION("""COMPUTED_VALUE"""),"#N/A")</f>
        <v>#N/A</v>
      </c>
    </row>
    <row r="366">
      <c r="A366" t="str">
        <f>IFERROR(__xludf.DUMMYFUNCTION("""COMPUTED_VALUE"""),"#N/A")</f>
        <v>#N/A</v>
      </c>
      <c r="B366" s="451" t="str">
        <f>IFERROR(__xludf.DUMMYFUNCTION("""COMPUTED_VALUE"""),"#N/A")</f>
        <v>#N/A</v>
      </c>
    </row>
    <row r="367">
      <c r="A367" t="str">
        <f>IFERROR(__xludf.DUMMYFUNCTION("""COMPUTED_VALUE"""),"#N/A")</f>
        <v>#N/A</v>
      </c>
      <c r="B367" s="451" t="str">
        <f>IFERROR(__xludf.DUMMYFUNCTION("""COMPUTED_VALUE"""),"#N/A")</f>
        <v>#N/A</v>
      </c>
    </row>
    <row r="368">
      <c r="A368" t="str">
        <f>IFERROR(__xludf.DUMMYFUNCTION("""COMPUTED_VALUE"""),"#N/A")</f>
        <v>#N/A</v>
      </c>
      <c r="B368" s="451" t="str">
        <f>IFERROR(__xludf.DUMMYFUNCTION("""COMPUTED_VALUE"""),"#N/A")</f>
        <v>#N/A</v>
      </c>
    </row>
    <row r="369">
      <c r="A369" t="str">
        <f>IFERROR(__xludf.DUMMYFUNCTION("""COMPUTED_VALUE"""),"#N/A")</f>
        <v>#N/A</v>
      </c>
      <c r="B369" s="451" t="str">
        <f>IFERROR(__xludf.DUMMYFUNCTION("""COMPUTED_VALUE"""),"#N/A")</f>
        <v>#N/A</v>
      </c>
    </row>
    <row r="370">
      <c r="A370" t="str">
        <f>IFERROR(__xludf.DUMMYFUNCTION("""COMPUTED_VALUE"""),"#N/A")</f>
        <v>#N/A</v>
      </c>
      <c r="B370" s="451" t="str">
        <f>IFERROR(__xludf.DUMMYFUNCTION("""COMPUTED_VALUE"""),"#N/A")</f>
        <v>#N/A</v>
      </c>
    </row>
    <row r="371">
      <c r="A371" t="str">
        <f>IFERROR(__xludf.DUMMYFUNCTION("""COMPUTED_VALUE"""),"#N/A")</f>
        <v>#N/A</v>
      </c>
      <c r="B371" s="451" t="str">
        <f>IFERROR(__xludf.DUMMYFUNCTION("""COMPUTED_VALUE"""),"#N/A")</f>
        <v>#N/A</v>
      </c>
    </row>
    <row r="372">
      <c r="A372" t="str">
        <f>IFERROR(__xludf.DUMMYFUNCTION("""COMPUTED_VALUE"""),"#N/A")</f>
        <v>#N/A</v>
      </c>
      <c r="B372" s="451" t="str">
        <f>IFERROR(__xludf.DUMMYFUNCTION("""COMPUTED_VALUE"""),"#N/A")</f>
        <v>#N/A</v>
      </c>
    </row>
    <row r="373">
      <c r="A373" t="str">
        <f>IFERROR(__xludf.DUMMYFUNCTION("""COMPUTED_VALUE"""),"#N/A")</f>
        <v>#N/A</v>
      </c>
      <c r="B373" s="451" t="str">
        <f>IFERROR(__xludf.DUMMYFUNCTION("""COMPUTED_VALUE"""),"#N/A")</f>
        <v>#N/A</v>
      </c>
    </row>
    <row r="374">
      <c r="A374" t="str">
        <f>IFERROR(__xludf.DUMMYFUNCTION("""COMPUTED_VALUE"""),"#N/A")</f>
        <v>#N/A</v>
      </c>
      <c r="B374" s="451" t="str">
        <f>IFERROR(__xludf.DUMMYFUNCTION("""COMPUTED_VALUE"""),"#N/A")</f>
        <v>#N/A</v>
      </c>
    </row>
    <row r="375">
      <c r="A375" t="str">
        <f>IFERROR(__xludf.DUMMYFUNCTION("""COMPUTED_VALUE"""),"#N/A")</f>
        <v>#N/A</v>
      </c>
      <c r="B375" s="451" t="str">
        <f>IFERROR(__xludf.DUMMYFUNCTION("""COMPUTED_VALUE"""),"#N/A")</f>
        <v>#N/A</v>
      </c>
    </row>
    <row r="376">
      <c r="A376" t="str">
        <f>IFERROR(__xludf.DUMMYFUNCTION("""COMPUTED_VALUE"""),"#N/A")</f>
        <v>#N/A</v>
      </c>
      <c r="B376" s="451" t="str">
        <f>IFERROR(__xludf.DUMMYFUNCTION("""COMPUTED_VALUE"""),"#N/A")</f>
        <v>#N/A</v>
      </c>
    </row>
    <row r="377">
      <c r="A377" t="str">
        <f>IFERROR(__xludf.DUMMYFUNCTION("""COMPUTED_VALUE"""),"#N/A")</f>
        <v>#N/A</v>
      </c>
      <c r="B377" s="451" t="str">
        <f>IFERROR(__xludf.DUMMYFUNCTION("""COMPUTED_VALUE"""),"#N/A")</f>
        <v>#N/A</v>
      </c>
    </row>
    <row r="378">
      <c r="A378" t="str">
        <f>IFERROR(__xludf.DUMMYFUNCTION("""COMPUTED_VALUE"""),"#N/A")</f>
        <v>#N/A</v>
      </c>
      <c r="B378" s="451" t="str">
        <f>IFERROR(__xludf.DUMMYFUNCTION("""COMPUTED_VALUE"""),"#N/A")</f>
        <v>#N/A</v>
      </c>
    </row>
    <row r="379">
      <c r="A379" t="str">
        <f>IFERROR(__xludf.DUMMYFUNCTION("""COMPUTED_VALUE"""),"#N/A")</f>
        <v>#N/A</v>
      </c>
      <c r="B379" s="451" t="str">
        <f>IFERROR(__xludf.DUMMYFUNCTION("""COMPUTED_VALUE"""),"#N/A")</f>
        <v>#N/A</v>
      </c>
    </row>
    <row r="380">
      <c r="A380" t="str">
        <f>IFERROR(__xludf.DUMMYFUNCTION("""COMPUTED_VALUE"""),"#N/A")</f>
        <v>#N/A</v>
      </c>
      <c r="B380" s="451" t="str">
        <f>IFERROR(__xludf.DUMMYFUNCTION("""COMPUTED_VALUE"""),"#N/A")</f>
        <v>#N/A</v>
      </c>
    </row>
    <row r="381">
      <c r="A381" t="str">
        <f>IFERROR(__xludf.DUMMYFUNCTION("""COMPUTED_VALUE"""),"#N/A")</f>
        <v>#N/A</v>
      </c>
      <c r="B381" s="451" t="str">
        <f>IFERROR(__xludf.DUMMYFUNCTION("""COMPUTED_VALUE"""),"#N/A")</f>
        <v>#N/A</v>
      </c>
    </row>
    <row r="382">
      <c r="A382" t="str">
        <f>IFERROR(__xludf.DUMMYFUNCTION("""COMPUTED_VALUE"""),"#N/A")</f>
        <v>#N/A</v>
      </c>
      <c r="B382" s="451" t="str">
        <f>IFERROR(__xludf.DUMMYFUNCTION("""COMPUTED_VALUE"""),"#N/A")</f>
        <v>#N/A</v>
      </c>
    </row>
    <row r="383">
      <c r="A383" t="str">
        <f>IFERROR(__xludf.DUMMYFUNCTION("""COMPUTED_VALUE"""),"#N/A")</f>
        <v>#N/A</v>
      </c>
      <c r="B383" s="451" t="str">
        <f>IFERROR(__xludf.DUMMYFUNCTION("""COMPUTED_VALUE"""),"#N/A")</f>
        <v>#N/A</v>
      </c>
    </row>
    <row r="384">
      <c r="A384" t="str">
        <f>IFERROR(__xludf.DUMMYFUNCTION("""COMPUTED_VALUE"""),"#N/A")</f>
        <v>#N/A</v>
      </c>
      <c r="B384" s="451" t="str">
        <f>IFERROR(__xludf.DUMMYFUNCTION("""COMPUTED_VALUE"""),"#N/A")</f>
        <v>#N/A</v>
      </c>
    </row>
    <row r="385">
      <c r="A385" t="str">
        <f>IFERROR(__xludf.DUMMYFUNCTION("""COMPUTED_VALUE"""),"#N/A")</f>
        <v>#N/A</v>
      </c>
      <c r="B385" s="451" t="str">
        <f>IFERROR(__xludf.DUMMYFUNCTION("""COMPUTED_VALUE"""),"#N/A")</f>
        <v>#N/A</v>
      </c>
    </row>
    <row r="386">
      <c r="A386" t="str">
        <f>IFERROR(__xludf.DUMMYFUNCTION("""COMPUTED_VALUE"""),"#N/A")</f>
        <v>#N/A</v>
      </c>
      <c r="B386" s="451" t="str">
        <f>IFERROR(__xludf.DUMMYFUNCTION("""COMPUTED_VALUE"""),"#N/A")</f>
        <v>#N/A</v>
      </c>
    </row>
    <row r="387">
      <c r="A387" t="str">
        <f>IFERROR(__xludf.DUMMYFUNCTION("""COMPUTED_VALUE"""),"#N/A")</f>
        <v>#N/A</v>
      </c>
      <c r="B387" s="451" t="str">
        <f>IFERROR(__xludf.DUMMYFUNCTION("""COMPUTED_VALUE"""),"#N/A")</f>
        <v>#N/A</v>
      </c>
    </row>
    <row r="388">
      <c r="A388" t="str">
        <f>IFERROR(__xludf.DUMMYFUNCTION("""COMPUTED_VALUE"""),"#N/A")</f>
        <v>#N/A</v>
      </c>
      <c r="B388" s="451" t="str">
        <f>IFERROR(__xludf.DUMMYFUNCTION("""COMPUTED_VALUE"""),"#N/A")</f>
        <v>#N/A</v>
      </c>
    </row>
    <row r="389">
      <c r="A389" t="str">
        <f>IFERROR(__xludf.DUMMYFUNCTION("""COMPUTED_VALUE"""),"#N/A")</f>
        <v>#N/A</v>
      </c>
      <c r="B389" s="451" t="str">
        <f>IFERROR(__xludf.DUMMYFUNCTION("""COMPUTED_VALUE"""),"#N/A")</f>
        <v>#N/A</v>
      </c>
    </row>
    <row r="390">
      <c r="A390" t="str">
        <f>IFERROR(__xludf.DUMMYFUNCTION("""COMPUTED_VALUE"""),"#N/A")</f>
        <v>#N/A</v>
      </c>
      <c r="B390" s="451" t="str">
        <f>IFERROR(__xludf.DUMMYFUNCTION("""COMPUTED_VALUE"""),"#N/A")</f>
        <v>#N/A</v>
      </c>
    </row>
    <row r="391">
      <c r="A391" t="str">
        <f>IFERROR(__xludf.DUMMYFUNCTION("""COMPUTED_VALUE"""),"#N/A")</f>
        <v>#N/A</v>
      </c>
      <c r="B391" s="451" t="str">
        <f>IFERROR(__xludf.DUMMYFUNCTION("""COMPUTED_VALUE"""),"#N/A")</f>
        <v>#N/A</v>
      </c>
    </row>
    <row r="392">
      <c r="A392" t="str">
        <f>IFERROR(__xludf.DUMMYFUNCTION("""COMPUTED_VALUE"""),"#N/A")</f>
        <v>#N/A</v>
      </c>
      <c r="B392" s="451" t="str">
        <f>IFERROR(__xludf.DUMMYFUNCTION("""COMPUTED_VALUE"""),"#N/A")</f>
        <v>#N/A</v>
      </c>
    </row>
    <row r="393">
      <c r="A393" t="str">
        <f>IFERROR(__xludf.DUMMYFUNCTION("""COMPUTED_VALUE"""),"#N/A")</f>
        <v>#N/A</v>
      </c>
      <c r="B393" s="451" t="str">
        <f>IFERROR(__xludf.DUMMYFUNCTION("""COMPUTED_VALUE"""),"#N/A")</f>
        <v>#N/A</v>
      </c>
    </row>
    <row r="394">
      <c r="A394" t="str">
        <f>IFERROR(__xludf.DUMMYFUNCTION("""COMPUTED_VALUE"""),"#N/A")</f>
        <v>#N/A</v>
      </c>
      <c r="B394" s="451" t="str">
        <f>IFERROR(__xludf.DUMMYFUNCTION("""COMPUTED_VALUE"""),"#N/A")</f>
        <v>#N/A</v>
      </c>
    </row>
    <row r="395">
      <c r="A395" t="str">
        <f>IFERROR(__xludf.DUMMYFUNCTION("""COMPUTED_VALUE"""),"#N/A")</f>
        <v>#N/A</v>
      </c>
      <c r="B395" s="451" t="str">
        <f>IFERROR(__xludf.DUMMYFUNCTION("""COMPUTED_VALUE"""),"#N/A")</f>
        <v>#N/A</v>
      </c>
    </row>
    <row r="396">
      <c r="A396" t="str">
        <f>IFERROR(__xludf.DUMMYFUNCTION("""COMPUTED_VALUE"""),"#N/A")</f>
        <v>#N/A</v>
      </c>
      <c r="B396" s="451" t="str">
        <f>IFERROR(__xludf.DUMMYFUNCTION("""COMPUTED_VALUE"""),"#N/A")</f>
        <v>#N/A</v>
      </c>
    </row>
    <row r="397">
      <c r="A397" t="str">
        <f>IFERROR(__xludf.DUMMYFUNCTION("""COMPUTED_VALUE"""),"#N/A")</f>
        <v>#N/A</v>
      </c>
      <c r="B397" s="451" t="str">
        <f>IFERROR(__xludf.DUMMYFUNCTION("""COMPUTED_VALUE"""),"#N/A")</f>
        <v>#N/A</v>
      </c>
    </row>
    <row r="398">
      <c r="A398" t="str">
        <f>IFERROR(__xludf.DUMMYFUNCTION("""COMPUTED_VALUE"""),"#N/A")</f>
        <v>#N/A</v>
      </c>
      <c r="B398" s="451" t="str">
        <f>IFERROR(__xludf.DUMMYFUNCTION("""COMPUTED_VALUE"""),"#N/A")</f>
        <v>#N/A</v>
      </c>
    </row>
    <row r="399">
      <c r="A399" t="str">
        <f>IFERROR(__xludf.DUMMYFUNCTION("""COMPUTED_VALUE"""),"#N/A")</f>
        <v>#N/A</v>
      </c>
      <c r="B399" s="451" t="str">
        <f>IFERROR(__xludf.DUMMYFUNCTION("""COMPUTED_VALUE"""),"#N/A")</f>
        <v>#N/A</v>
      </c>
    </row>
    <row r="400">
      <c r="A400" t="str">
        <f>IFERROR(__xludf.DUMMYFUNCTION("""COMPUTED_VALUE"""),"#N/A")</f>
        <v>#N/A</v>
      </c>
      <c r="B400" s="451" t="str">
        <f>IFERROR(__xludf.DUMMYFUNCTION("""COMPUTED_VALUE"""),"#N/A")</f>
        <v>#N/A</v>
      </c>
    </row>
    <row r="401">
      <c r="A401" t="str">
        <f>IFERROR(__xludf.DUMMYFUNCTION("""COMPUTED_VALUE"""),"#N/A")</f>
        <v>#N/A</v>
      </c>
      <c r="B401" s="451" t="str">
        <f>IFERROR(__xludf.DUMMYFUNCTION("""COMPUTED_VALUE"""),"#N/A")</f>
        <v>#N/A</v>
      </c>
    </row>
    <row r="402">
      <c r="A402" t="str">
        <f>IFERROR(__xludf.DUMMYFUNCTION("""COMPUTED_VALUE"""),"#N/A")</f>
        <v>#N/A</v>
      </c>
      <c r="B402" s="451" t="str">
        <f>IFERROR(__xludf.DUMMYFUNCTION("""COMPUTED_VALUE"""),"#N/A")</f>
        <v>#N/A</v>
      </c>
    </row>
    <row r="403">
      <c r="A403" t="str">
        <f>IFERROR(__xludf.DUMMYFUNCTION("""COMPUTED_VALUE"""),"#N/A")</f>
        <v>#N/A</v>
      </c>
      <c r="B403" s="451" t="str">
        <f>IFERROR(__xludf.DUMMYFUNCTION("""COMPUTED_VALUE"""),"#N/A")</f>
        <v>#N/A</v>
      </c>
    </row>
    <row r="404">
      <c r="A404" t="str">
        <f>IFERROR(__xludf.DUMMYFUNCTION("""COMPUTED_VALUE"""),"#N/A")</f>
        <v>#N/A</v>
      </c>
      <c r="B404" s="451" t="str">
        <f>IFERROR(__xludf.DUMMYFUNCTION("""COMPUTED_VALUE"""),"#N/A")</f>
        <v>#N/A</v>
      </c>
    </row>
    <row r="405">
      <c r="A405" t="str">
        <f>IFERROR(__xludf.DUMMYFUNCTION("""COMPUTED_VALUE"""),"#N/A")</f>
        <v>#N/A</v>
      </c>
      <c r="B405" s="451" t="str">
        <f>IFERROR(__xludf.DUMMYFUNCTION("""COMPUTED_VALUE"""),"#N/A")</f>
        <v>#N/A</v>
      </c>
    </row>
    <row r="406">
      <c r="A406" t="str">
        <f>IFERROR(__xludf.DUMMYFUNCTION("""COMPUTED_VALUE"""),"#N/A")</f>
        <v>#N/A</v>
      </c>
      <c r="B406" s="451" t="str">
        <f>IFERROR(__xludf.DUMMYFUNCTION("""COMPUTED_VALUE"""),"#N/A")</f>
        <v>#N/A</v>
      </c>
    </row>
    <row r="407">
      <c r="A407" t="str">
        <f>IFERROR(__xludf.DUMMYFUNCTION("""COMPUTED_VALUE"""),"#N/A")</f>
        <v>#N/A</v>
      </c>
      <c r="B407" s="451" t="str">
        <f>IFERROR(__xludf.DUMMYFUNCTION("""COMPUTED_VALUE"""),"#N/A")</f>
        <v>#N/A</v>
      </c>
    </row>
    <row r="408">
      <c r="A408" t="str">
        <f>IFERROR(__xludf.DUMMYFUNCTION("""COMPUTED_VALUE"""),"#N/A")</f>
        <v>#N/A</v>
      </c>
      <c r="B408" s="451" t="str">
        <f>IFERROR(__xludf.DUMMYFUNCTION("""COMPUTED_VALUE"""),"#N/A")</f>
        <v>#N/A</v>
      </c>
    </row>
    <row r="409">
      <c r="A409" t="str">
        <f>IFERROR(__xludf.DUMMYFUNCTION("""COMPUTED_VALUE"""),"#N/A")</f>
        <v>#N/A</v>
      </c>
      <c r="B409" s="451" t="str">
        <f>IFERROR(__xludf.DUMMYFUNCTION("""COMPUTED_VALUE"""),"#N/A")</f>
        <v>#N/A</v>
      </c>
    </row>
    <row r="410">
      <c r="A410" t="str">
        <f>IFERROR(__xludf.DUMMYFUNCTION("""COMPUTED_VALUE"""),"#N/A")</f>
        <v>#N/A</v>
      </c>
      <c r="B410" s="451" t="str">
        <f>IFERROR(__xludf.DUMMYFUNCTION("""COMPUTED_VALUE"""),"#N/A")</f>
        <v>#N/A</v>
      </c>
    </row>
    <row r="411">
      <c r="A411" t="str">
        <f>IFERROR(__xludf.DUMMYFUNCTION("""COMPUTED_VALUE"""),"#N/A")</f>
        <v>#N/A</v>
      </c>
      <c r="B411" s="451" t="str">
        <f>IFERROR(__xludf.DUMMYFUNCTION("""COMPUTED_VALUE"""),"#N/A")</f>
        <v>#N/A</v>
      </c>
    </row>
    <row r="412">
      <c r="A412" t="str">
        <f>IFERROR(__xludf.DUMMYFUNCTION("""COMPUTED_VALUE"""),"#N/A")</f>
        <v>#N/A</v>
      </c>
      <c r="B412" s="451" t="str">
        <f>IFERROR(__xludf.DUMMYFUNCTION("""COMPUTED_VALUE"""),"#N/A")</f>
        <v>#N/A</v>
      </c>
    </row>
    <row r="413">
      <c r="A413" t="str">
        <f>IFERROR(__xludf.DUMMYFUNCTION("""COMPUTED_VALUE"""),"#N/A")</f>
        <v>#N/A</v>
      </c>
      <c r="B413" s="451" t="str">
        <f>IFERROR(__xludf.DUMMYFUNCTION("""COMPUTED_VALUE"""),"#N/A")</f>
        <v>#N/A</v>
      </c>
    </row>
    <row r="414">
      <c r="A414" t="str">
        <f>IFERROR(__xludf.DUMMYFUNCTION("""COMPUTED_VALUE"""),"#N/A")</f>
        <v>#N/A</v>
      </c>
      <c r="B414" s="451" t="str">
        <f>IFERROR(__xludf.DUMMYFUNCTION("""COMPUTED_VALUE"""),"#N/A")</f>
        <v>#N/A</v>
      </c>
    </row>
    <row r="415">
      <c r="A415" t="str">
        <f>IFERROR(__xludf.DUMMYFUNCTION("""COMPUTED_VALUE"""),"#N/A")</f>
        <v>#N/A</v>
      </c>
      <c r="B415" s="451" t="str">
        <f>IFERROR(__xludf.DUMMYFUNCTION("""COMPUTED_VALUE"""),"#N/A")</f>
        <v>#N/A</v>
      </c>
    </row>
    <row r="416">
      <c r="A416" t="str">
        <f>IFERROR(__xludf.DUMMYFUNCTION("""COMPUTED_VALUE"""),"#N/A")</f>
        <v>#N/A</v>
      </c>
      <c r="B416" s="451" t="str">
        <f>IFERROR(__xludf.DUMMYFUNCTION("""COMPUTED_VALUE"""),"#N/A")</f>
        <v>#N/A</v>
      </c>
    </row>
    <row r="417">
      <c r="A417" t="str">
        <f>IFERROR(__xludf.DUMMYFUNCTION("""COMPUTED_VALUE"""),"#N/A")</f>
        <v>#N/A</v>
      </c>
      <c r="B417" s="451" t="str">
        <f>IFERROR(__xludf.DUMMYFUNCTION("""COMPUTED_VALUE"""),"#N/A")</f>
        <v>#N/A</v>
      </c>
    </row>
    <row r="418">
      <c r="A418" t="str">
        <f>IFERROR(__xludf.DUMMYFUNCTION("""COMPUTED_VALUE"""),"#N/A")</f>
        <v>#N/A</v>
      </c>
      <c r="B418" s="451" t="str">
        <f>IFERROR(__xludf.DUMMYFUNCTION("""COMPUTED_VALUE"""),"#N/A")</f>
        <v>#N/A</v>
      </c>
    </row>
    <row r="419">
      <c r="A419" t="str">
        <f>IFERROR(__xludf.DUMMYFUNCTION("""COMPUTED_VALUE"""),"#N/A")</f>
        <v>#N/A</v>
      </c>
      <c r="B419" s="451" t="str">
        <f>IFERROR(__xludf.DUMMYFUNCTION("""COMPUTED_VALUE"""),"#N/A")</f>
        <v>#N/A</v>
      </c>
    </row>
    <row r="420">
      <c r="A420" t="str">
        <f>IFERROR(__xludf.DUMMYFUNCTION("""COMPUTED_VALUE"""),"#N/A")</f>
        <v>#N/A</v>
      </c>
      <c r="B420" s="451" t="str">
        <f>IFERROR(__xludf.DUMMYFUNCTION("""COMPUTED_VALUE"""),"#N/A")</f>
        <v>#N/A</v>
      </c>
    </row>
    <row r="421">
      <c r="A421" t="str">
        <f>IFERROR(__xludf.DUMMYFUNCTION("""COMPUTED_VALUE"""),"#N/A")</f>
        <v>#N/A</v>
      </c>
      <c r="B421" s="451" t="str">
        <f>IFERROR(__xludf.DUMMYFUNCTION("""COMPUTED_VALUE"""),"#N/A")</f>
        <v>#N/A</v>
      </c>
    </row>
    <row r="422">
      <c r="A422" t="str">
        <f>IFERROR(__xludf.DUMMYFUNCTION("""COMPUTED_VALUE"""),"#N/A")</f>
        <v>#N/A</v>
      </c>
      <c r="B422" s="451" t="str">
        <f>IFERROR(__xludf.DUMMYFUNCTION("""COMPUTED_VALUE"""),"#N/A")</f>
        <v>#N/A</v>
      </c>
    </row>
    <row r="423">
      <c r="A423" t="str">
        <f>IFERROR(__xludf.DUMMYFUNCTION("""COMPUTED_VALUE"""),"#N/A")</f>
        <v>#N/A</v>
      </c>
      <c r="B423" s="451" t="str">
        <f>IFERROR(__xludf.DUMMYFUNCTION("""COMPUTED_VALUE"""),"#N/A")</f>
        <v>#N/A</v>
      </c>
    </row>
    <row r="424">
      <c r="A424" t="str">
        <f>IFERROR(__xludf.DUMMYFUNCTION("""COMPUTED_VALUE"""),"#N/A")</f>
        <v>#N/A</v>
      </c>
      <c r="B424" s="451" t="str">
        <f>IFERROR(__xludf.DUMMYFUNCTION("""COMPUTED_VALUE"""),"#N/A")</f>
        <v>#N/A</v>
      </c>
    </row>
    <row r="425">
      <c r="A425" t="str">
        <f>IFERROR(__xludf.DUMMYFUNCTION("""COMPUTED_VALUE"""),"#N/A")</f>
        <v>#N/A</v>
      </c>
      <c r="B425" s="451" t="str">
        <f>IFERROR(__xludf.DUMMYFUNCTION("""COMPUTED_VALUE"""),"#N/A")</f>
        <v>#N/A</v>
      </c>
    </row>
    <row r="426">
      <c r="A426" t="str">
        <f>IFERROR(__xludf.DUMMYFUNCTION("""COMPUTED_VALUE"""),"#N/A")</f>
        <v>#N/A</v>
      </c>
      <c r="B426" s="451" t="str">
        <f>IFERROR(__xludf.DUMMYFUNCTION("""COMPUTED_VALUE"""),"#N/A")</f>
        <v>#N/A</v>
      </c>
    </row>
    <row r="427">
      <c r="A427" t="str">
        <f>IFERROR(__xludf.DUMMYFUNCTION("""COMPUTED_VALUE"""),"#N/A")</f>
        <v>#N/A</v>
      </c>
      <c r="B427" s="451" t="str">
        <f>IFERROR(__xludf.DUMMYFUNCTION("""COMPUTED_VALUE"""),"#N/A")</f>
        <v>#N/A</v>
      </c>
    </row>
    <row r="428">
      <c r="A428" t="str">
        <f>IFERROR(__xludf.DUMMYFUNCTION("""COMPUTED_VALUE"""),"#N/A")</f>
        <v>#N/A</v>
      </c>
      <c r="B428" s="451" t="str">
        <f>IFERROR(__xludf.DUMMYFUNCTION("""COMPUTED_VALUE"""),"#N/A")</f>
        <v>#N/A</v>
      </c>
    </row>
    <row r="429">
      <c r="A429" t="str">
        <f>IFERROR(__xludf.DUMMYFUNCTION("""COMPUTED_VALUE"""),"#N/A")</f>
        <v>#N/A</v>
      </c>
      <c r="B429" s="451" t="str">
        <f>IFERROR(__xludf.DUMMYFUNCTION("""COMPUTED_VALUE"""),"#N/A")</f>
        <v>#N/A</v>
      </c>
    </row>
    <row r="430">
      <c r="A430" t="str">
        <f>IFERROR(__xludf.DUMMYFUNCTION("""COMPUTED_VALUE"""),"#N/A")</f>
        <v>#N/A</v>
      </c>
      <c r="B430" s="451" t="str">
        <f>IFERROR(__xludf.DUMMYFUNCTION("""COMPUTED_VALUE"""),"#N/A")</f>
        <v>#N/A</v>
      </c>
    </row>
    <row r="431">
      <c r="A431" t="str">
        <f>IFERROR(__xludf.DUMMYFUNCTION("""COMPUTED_VALUE"""),"#N/A")</f>
        <v>#N/A</v>
      </c>
      <c r="B431" s="451" t="str">
        <f>IFERROR(__xludf.DUMMYFUNCTION("""COMPUTED_VALUE"""),"#N/A")</f>
        <v>#N/A</v>
      </c>
    </row>
    <row r="432">
      <c r="A432" t="str">
        <f>IFERROR(__xludf.DUMMYFUNCTION("""COMPUTED_VALUE"""),"#N/A")</f>
        <v>#N/A</v>
      </c>
      <c r="B432" s="451" t="str">
        <f>IFERROR(__xludf.DUMMYFUNCTION("""COMPUTED_VALUE"""),"#N/A")</f>
        <v>#N/A</v>
      </c>
    </row>
    <row r="433">
      <c r="A433" t="str">
        <f>IFERROR(__xludf.DUMMYFUNCTION("""COMPUTED_VALUE"""),"#N/A")</f>
        <v>#N/A</v>
      </c>
      <c r="B433" s="451" t="str">
        <f>IFERROR(__xludf.DUMMYFUNCTION("""COMPUTED_VALUE"""),"#N/A")</f>
        <v>#N/A</v>
      </c>
    </row>
    <row r="434">
      <c r="A434" t="str">
        <f>IFERROR(__xludf.DUMMYFUNCTION("""COMPUTED_VALUE"""),"#N/A")</f>
        <v>#N/A</v>
      </c>
      <c r="B434" s="451" t="str">
        <f>IFERROR(__xludf.DUMMYFUNCTION("""COMPUTED_VALUE"""),"#N/A")</f>
        <v>#N/A</v>
      </c>
    </row>
    <row r="435">
      <c r="A435" t="str">
        <f>IFERROR(__xludf.DUMMYFUNCTION("""COMPUTED_VALUE"""),"#N/A")</f>
        <v>#N/A</v>
      </c>
      <c r="B435" s="451" t="str">
        <f>IFERROR(__xludf.DUMMYFUNCTION("""COMPUTED_VALUE"""),"#N/A")</f>
        <v>#N/A</v>
      </c>
    </row>
    <row r="436">
      <c r="A436" t="str">
        <f>IFERROR(__xludf.DUMMYFUNCTION("""COMPUTED_VALUE"""),"#N/A")</f>
        <v>#N/A</v>
      </c>
      <c r="B436" s="451" t="str">
        <f>IFERROR(__xludf.DUMMYFUNCTION("""COMPUTED_VALUE"""),"#N/A")</f>
        <v>#N/A</v>
      </c>
    </row>
    <row r="437">
      <c r="A437" t="str">
        <f>IFERROR(__xludf.DUMMYFUNCTION("""COMPUTED_VALUE"""),"#N/A")</f>
        <v>#N/A</v>
      </c>
      <c r="B437" s="451" t="str">
        <f>IFERROR(__xludf.DUMMYFUNCTION("""COMPUTED_VALUE"""),"#N/A")</f>
        <v>#N/A</v>
      </c>
    </row>
    <row r="438">
      <c r="A438" t="str">
        <f>IFERROR(__xludf.DUMMYFUNCTION("""COMPUTED_VALUE"""),"#N/A")</f>
        <v>#N/A</v>
      </c>
      <c r="B438" s="451" t="str">
        <f>IFERROR(__xludf.DUMMYFUNCTION("""COMPUTED_VALUE"""),"#N/A")</f>
        <v>#N/A</v>
      </c>
    </row>
    <row r="439">
      <c r="A439" t="str">
        <f>IFERROR(__xludf.DUMMYFUNCTION("""COMPUTED_VALUE"""),"#N/A")</f>
        <v>#N/A</v>
      </c>
      <c r="B439" s="451" t="str">
        <f>IFERROR(__xludf.DUMMYFUNCTION("""COMPUTED_VALUE"""),"#N/A")</f>
        <v>#N/A</v>
      </c>
    </row>
    <row r="440">
      <c r="A440" t="str">
        <f>IFERROR(__xludf.DUMMYFUNCTION("""COMPUTED_VALUE"""),"#N/A")</f>
        <v>#N/A</v>
      </c>
      <c r="B440" s="451" t="str">
        <f>IFERROR(__xludf.DUMMYFUNCTION("""COMPUTED_VALUE"""),"#N/A")</f>
        <v>#N/A</v>
      </c>
    </row>
    <row r="441">
      <c r="A441" t="str">
        <f>IFERROR(__xludf.DUMMYFUNCTION("""COMPUTED_VALUE"""),"#N/A")</f>
        <v>#N/A</v>
      </c>
      <c r="B441" s="451" t="str">
        <f>IFERROR(__xludf.DUMMYFUNCTION("""COMPUTED_VALUE"""),"#N/A")</f>
        <v>#N/A</v>
      </c>
    </row>
    <row r="442">
      <c r="A442" t="str">
        <f>IFERROR(__xludf.DUMMYFUNCTION("""COMPUTED_VALUE"""),"#N/A")</f>
        <v>#N/A</v>
      </c>
      <c r="B442" s="451" t="str">
        <f>IFERROR(__xludf.DUMMYFUNCTION("""COMPUTED_VALUE"""),"#N/A")</f>
        <v>#N/A</v>
      </c>
    </row>
    <row r="443">
      <c r="A443" t="str">
        <f>IFERROR(__xludf.DUMMYFUNCTION("""COMPUTED_VALUE"""),"#N/A")</f>
        <v>#N/A</v>
      </c>
      <c r="B443" s="451" t="str">
        <f>IFERROR(__xludf.DUMMYFUNCTION("""COMPUTED_VALUE"""),"#N/A")</f>
        <v>#N/A</v>
      </c>
    </row>
    <row r="444">
      <c r="A444" t="str">
        <f>IFERROR(__xludf.DUMMYFUNCTION("""COMPUTED_VALUE"""),"#N/A")</f>
        <v>#N/A</v>
      </c>
      <c r="B444" s="451" t="str">
        <f>IFERROR(__xludf.DUMMYFUNCTION("""COMPUTED_VALUE"""),"#N/A")</f>
        <v>#N/A</v>
      </c>
    </row>
    <row r="445">
      <c r="A445" t="str">
        <f>IFERROR(__xludf.DUMMYFUNCTION("""COMPUTED_VALUE"""),"#N/A")</f>
        <v>#N/A</v>
      </c>
      <c r="B445" s="451" t="str">
        <f>IFERROR(__xludf.DUMMYFUNCTION("""COMPUTED_VALUE"""),"#N/A")</f>
        <v>#N/A</v>
      </c>
    </row>
    <row r="446">
      <c r="A446" t="str">
        <f>IFERROR(__xludf.DUMMYFUNCTION("""COMPUTED_VALUE"""),"#N/A")</f>
        <v>#N/A</v>
      </c>
      <c r="B446" s="451" t="str">
        <f>IFERROR(__xludf.DUMMYFUNCTION("""COMPUTED_VALUE"""),"#N/A")</f>
        <v>#N/A</v>
      </c>
    </row>
    <row r="447">
      <c r="A447" t="str">
        <f>IFERROR(__xludf.DUMMYFUNCTION("""COMPUTED_VALUE"""),"#N/A")</f>
        <v>#N/A</v>
      </c>
      <c r="B447" s="451" t="str">
        <f>IFERROR(__xludf.DUMMYFUNCTION("""COMPUTED_VALUE"""),"#N/A")</f>
        <v>#N/A</v>
      </c>
    </row>
    <row r="448">
      <c r="A448" t="str">
        <f>IFERROR(__xludf.DUMMYFUNCTION("""COMPUTED_VALUE"""),"#N/A")</f>
        <v>#N/A</v>
      </c>
      <c r="B448" s="451" t="str">
        <f>IFERROR(__xludf.DUMMYFUNCTION("""COMPUTED_VALUE"""),"#N/A")</f>
        <v>#N/A</v>
      </c>
    </row>
    <row r="449">
      <c r="A449" t="str">
        <f>IFERROR(__xludf.DUMMYFUNCTION("""COMPUTED_VALUE"""),"#N/A")</f>
        <v>#N/A</v>
      </c>
      <c r="B449" s="451" t="str">
        <f>IFERROR(__xludf.DUMMYFUNCTION("""COMPUTED_VALUE"""),"#N/A")</f>
        <v>#N/A</v>
      </c>
    </row>
    <row r="450">
      <c r="A450" t="str">
        <f>IFERROR(__xludf.DUMMYFUNCTION("""COMPUTED_VALUE"""),"#N/A")</f>
        <v>#N/A</v>
      </c>
      <c r="B450" s="451" t="str">
        <f>IFERROR(__xludf.DUMMYFUNCTION("""COMPUTED_VALUE"""),"#N/A")</f>
        <v>#N/A</v>
      </c>
    </row>
    <row r="451">
      <c r="A451" t="str">
        <f>IFERROR(__xludf.DUMMYFUNCTION("""COMPUTED_VALUE"""),"#N/A")</f>
        <v>#N/A</v>
      </c>
      <c r="B451" s="451" t="str">
        <f>IFERROR(__xludf.DUMMYFUNCTION("""COMPUTED_VALUE"""),"#N/A")</f>
        <v>#N/A</v>
      </c>
    </row>
    <row r="452">
      <c r="A452" t="str">
        <f>IFERROR(__xludf.DUMMYFUNCTION("""COMPUTED_VALUE"""),"#N/A")</f>
        <v>#N/A</v>
      </c>
      <c r="B452" s="451" t="str">
        <f>IFERROR(__xludf.DUMMYFUNCTION("""COMPUTED_VALUE"""),"#N/A")</f>
        <v>#N/A</v>
      </c>
    </row>
    <row r="453">
      <c r="A453" t="str">
        <f>IFERROR(__xludf.DUMMYFUNCTION("""COMPUTED_VALUE"""),"#N/A")</f>
        <v>#N/A</v>
      </c>
      <c r="B453" s="451" t="str">
        <f>IFERROR(__xludf.DUMMYFUNCTION("""COMPUTED_VALUE"""),"#N/A")</f>
        <v>#N/A</v>
      </c>
    </row>
    <row r="454">
      <c r="A454" t="str">
        <f>IFERROR(__xludf.DUMMYFUNCTION("""COMPUTED_VALUE"""),"#N/A")</f>
        <v>#N/A</v>
      </c>
      <c r="B454" s="451" t="str">
        <f>IFERROR(__xludf.DUMMYFUNCTION("""COMPUTED_VALUE"""),"#N/A")</f>
        <v>#N/A</v>
      </c>
    </row>
    <row r="455">
      <c r="A455" t="str">
        <f>IFERROR(__xludf.DUMMYFUNCTION("""COMPUTED_VALUE"""),"#N/A")</f>
        <v>#N/A</v>
      </c>
      <c r="B455" s="451" t="str">
        <f>IFERROR(__xludf.DUMMYFUNCTION("""COMPUTED_VALUE"""),"#N/A")</f>
        <v>#N/A</v>
      </c>
    </row>
    <row r="456">
      <c r="A456" t="str">
        <f>IFERROR(__xludf.DUMMYFUNCTION("""COMPUTED_VALUE"""),"#N/A")</f>
        <v>#N/A</v>
      </c>
      <c r="B456" s="451" t="str">
        <f>IFERROR(__xludf.DUMMYFUNCTION("""COMPUTED_VALUE"""),"#N/A")</f>
        <v>#N/A</v>
      </c>
    </row>
    <row r="457">
      <c r="A457" t="str">
        <f>IFERROR(__xludf.DUMMYFUNCTION("""COMPUTED_VALUE"""),"#N/A")</f>
        <v>#N/A</v>
      </c>
      <c r="B457" s="451" t="str">
        <f>IFERROR(__xludf.DUMMYFUNCTION("""COMPUTED_VALUE"""),"#N/A")</f>
        <v>#N/A</v>
      </c>
    </row>
    <row r="458">
      <c r="A458" t="str">
        <f>IFERROR(__xludf.DUMMYFUNCTION("""COMPUTED_VALUE"""),"#N/A")</f>
        <v>#N/A</v>
      </c>
      <c r="B458" s="451" t="str">
        <f>IFERROR(__xludf.DUMMYFUNCTION("""COMPUTED_VALUE"""),"#N/A")</f>
        <v>#N/A</v>
      </c>
    </row>
    <row r="459">
      <c r="A459" t="str">
        <f>IFERROR(__xludf.DUMMYFUNCTION("""COMPUTED_VALUE"""),"#N/A")</f>
        <v>#N/A</v>
      </c>
      <c r="B459" s="451" t="str">
        <f>IFERROR(__xludf.DUMMYFUNCTION("""COMPUTED_VALUE"""),"#N/A")</f>
        <v>#N/A</v>
      </c>
    </row>
    <row r="460">
      <c r="A460" t="str">
        <f>IFERROR(__xludf.DUMMYFUNCTION("""COMPUTED_VALUE"""),"#N/A")</f>
        <v>#N/A</v>
      </c>
      <c r="B460" s="451" t="str">
        <f>IFERROR(__xludf.DUMMYFUNCTION("""COMPUTED_VALUE"""),"#N/A")</f>
        <v>#N/A</v>
      </c>
    </row>
    <row r="461">
      <c r="A461" t="str">
        <f>IFERROR(__xludf.DUMMYFUNCTION("""COMPUTED_VALUE"""),"#N/A")</f>
        <v>#N/A</v>
      </c>
      <c r="B461" s="451" t="str">
        <f>IFERROR(__xludf.DUMMYFUNCTION("""COMPUTED_VALUE"""),"#N/A")</f>
        <v>#N/A</v>
      </c>
    </row>
    <row r="462">
      <c r="A462" t="str">
        <f>IFERROR(__xludf.DUMMYFUNCTION("""COMPUTED_VALUE"""),"#N/A")</f>
        <v>#N/A</v>
      </c>
      <c r="B462" s="451" t="str">
        <f>IFERROR(__xludf.DUMMYFUNCTION("""COMPUTED_VALUE"""),"#N/A")</f>
        <v>#N/A</v>
      </c>
    </row>
    <row r="463">
      <c r="A463" t="str">
        <f>IFERROR(__xludf.DUMMYFUNCTION("""COMPUTED_VALUE"""),"#N/A")</f>
        <v>#N/A</v>
      </c>
      <c r="B463" s="451" t="str">
        <f>IFERROR(__xludf.DUMMYFUNCTION("""COMPUTED_VALUE"""),"#N/A")</f>
        <v>#N/A</v>
      </c>
    </row>
    <row r="464">
      <c r="A464" t="str">
        <f>IFERROR(__xludf.DUMMYFUNCTION("""COMPUTED_VALUE"""),"#N/A")</f>
        <v>#N/A</v>
      </c>
      <c r="B464" s="451" t="str">
        <f>IFERROR(__xludf.DUMMYFUNCTION("""COMPUTED_VALUE"""),"#N/A")</f>
        <v>#N/A</v>
      </c>
    </row>
    <row r="465">
      <c r="A465" t="str">
        <f>IFERROR(__xludf.DUMMYFUNCTION("""COMPUTED_VALUE"""),"#N/A")</f>
        <v>#N/A</v>
      </c>
      <c r="B465" s="451" t="str">
        <f>IFERROR(__xludf.DUMMYFUNCTION("""COMPUTED_VALUE"""),"#N/A")</f>
        <v>#N/A</v>
      </c>
    </row>
    <row r="466">
      <c r="A466" t="str">
        <f>IFERROR(__xludf.DUMMYFUNCTION("""COMPUTED_VALUE"""),"#N/A")</f>
        <v>#N/A</v>
      </c>
      <c r="B466" s="451" t="str">
        <f>IFERROR(__xludf.DUMMYFUNCTION("""COMPUTED_VALUE"""),"#N/A")</f>
        <v>#N/A</v>
      </c>
    </row>
    <row r="467">
      <c r="A467" t="str">
        <f>IFERROR(__xludf.DUMMYFUNCTION("""COMPUTED_VALUE"""),"#N/A")</f>
        <v>#N/A</v>
      </c>
      <c r="B467" s="451" t="str">
        <f>IFERROR(__xludf.DUMMYFUNCTION("""COMPUTED_VALUE"""),"#N/A")</f>
        <v>#N/A</v>
      </c>
    </row>
    <row r="468">
      <c r="A468" t="str">
        <f>IFERROR(__xludf.DUMMYFUNCTION("""COMPUTED_VALUE"""),"#N/A")</f>
        <v>#N/A</v>
      </c>
      <c r="B468" s="451" t="str">
        <f>IFERROR(__xludf.DUMMYFUNCTION("""COMPUTED_VALUE"""),"#N/A")</f>
        <v>#N/A</v>
      </c>
    </row>
    <row r="469">
      <c r="A469" t="str">
        <f>IFERROR(__xludf.DUMMYFUNCTION("""COMPUTED_VALUE"""),"#N/A")</f>
        <v>#N/A</v>
      </c>
      <c r="B469" s="451" t="str">
        <f>IFERROR(__xludf.DUMMYFUNCTION("""COMPUTED_VALUE"""),"#N/A")</f>
        <v>#N/A</v>
      </c>
    </row>
    <row r="470">
      <c r="A470" t="str">
        <f>IFERROR(__xludf.DUMMYFUNCTION("""COMPUTED_VALUE"""),"#N/A")</f>
        <v>#N/A</v>
      </c>
      <c r="B470" s="451" t="str">
        <f>IFERROR(__xludf.DUMMYFUNCTION("""COMPUTED_VALUE"""),"#N/A")</f>
        <v>#N/A</v>
      </c>
    </row>
    <row r="471">
      <c r="A471" t="str">
        <f>IFERROR(__xludf.DUMMYFUNCTION("""COMPUTED_VALUE"""),"#N/A")</f>
        <v>#N/A</v>
      </c>
      <c r="B471" s="451" t="str">
        <f>IFERROR(__xludf.DUMMYFUNCTION("""COMPUTED_VALUE"""),"#N/A")</f>
        <v>#N/A</v>
      </c>
    </row>
    <row r="472">
      <c r="A472" t="str">
        <f>IFERROR(__xludf.DUMMYFUNCTION("""COMPUTED_VALUE"""),"#N/A")</f>
        <v>#N/A</v>
      </c>
      <c r="B472" s="451" t="str">
        <f>IFERROR(__xludf.DUMMYFUNCTION("""COMPUTED_VALUE"""),"#N/A")</f>
        <v>#N/A</v>
      </c>
    </row>
    <row r="473">
      <c r="A473" t="str">
        <f>IFERROR(__xludf.DUMMYFUNCTION("""COMPUTED_VALUE"""),"#N/A")</f>
        <v>#N/A</v>
      </c>
      <c r="B473" s="451" t="str">
        <f>IFERROR(__xludf.DUMMYFUNCTION("""COMPUTED_VALUE"""),"#N/A")</f>
        <v>#N/A</v>
      </c>
    </row>
    <row r="474">
      <c r="A474" t="str">
        <f>IFERROR(__xludf.DUMMYFUNCTION("""COMPUTED_VALUE"""),"#N/A")</f>
        <v>#N/A</v>
      </c>
      <c r="B474" s="451" t="str">
        <f>IFERROR(__xludf.DUMMYFUNCTION("""COMPUTED_VALUE"""),"#N/A")</f>
        <v>#N/A</v>
      </c>
    </row>
    <row r="475">
      <c r="A475" t="str">
        <f>IFERROR(__xludf.DUMMYFUNCTION("""COMPUTED_VALUE"""),"#N/A")</f>
        <v>#N/A</v>
      </c>
      <c r="B475" s="451" t="str">
        <f>IFERROR(__xludf.DUMMYFUNCTION("""COMPUTED_VALUE"""),"#N/A")</f>
        <v>#N/A</v>
      </c>
    </row>
    <row r="476">
      <c r="A476" t="str">
        <f>IFERROR(__xludf.DUMMYFUNCTION("""COMPUTED_VALUE"""),"#N/A")</f>
        <v>#N/A</v>
      </c>
      <c r="B476" s="451" t="str">
        <f>IFERROR(__xludf.DUMMYFUNCTION("""COMPUTED_VALUE"""),"#N/A")</f>
        <v>#N/A</v>
      </c>
    </row>
    <row r="477">
      <c r="A477" t="str">
        <f>IFERROR(__xludf.DUMMYFUNCTION("""COMPUTED_VALUE"""),"#N/A")</f>
        <v>#N/A</v>
      </c>
      <c r="B477" s="451" t="str">
        <f>IFERROR(__xludf.DUMMYFUNCTION("""COMPUTED_VALUE"""),"#N/A")</f>
        <v>#N/A</v>
      </c>
    </row>
    <row r="478">
      <c r="A478" t="str">
        <f>IFERROR(__xludf.DUMMYFUNCTION("""COMPUTED_VALUE"""),"#N/A")</f>
        <v>#N/A</v>
      </c>
      <c r="B478" s="451" t="str">
        <f>IFERROR(__xludf.DUMMYFUNCTION("""COMPUTED_VALUE"""),"#N/A")</f>
        <v>#N/A</v>
      </c>
    </row>
    <row r="479">
      <c r="A479" t="str">
        <f>IFERROR(__xludf.DUMMYFUNCTION("""COMPUTED_VALUE"""),"#N/A")</f>
        <v>#N/A</v>
      </c>
      <c r="B479" s="451" t="str">
        <f>IFERROR(__xludf.DUMMYFUNCTION("""COMPUTED_VALUE"""),"#N/A")</f>
        <v>#N/A</v>
      </c>
    </row>
    <row r="480">
      <c r="A480" t="str">
        <f>IFERROR(__xludf.DUMMYFUNCTION("""COMPUTED_VALUE"""),"#N/A")</f>
        <v>#N/A</v>
      </c>
      <c r="B480" s="451" t="str">
        <f>IFERROR(__xludf.DUMMYFUNCTION("""COMPUTED_VALUE"""),"#N/A")</f>
        <v>#N/A</v>
      </c>
    </row>
    <row r="481">
      <c r="A481" t="str">
        <f>IFERROR(__xludf.DUMMYFUNCTION("""COMPUTED_VALUE"""),"#N/A")</f>
        <v>#N/A</v>
      </c>
      <c r="B481" s="451" t="str">
        <f>IFERROR(__xludf.DUMMYFUNCTION("""COMPUTED_VALUE"""),"#N/A")</f>
        <v>#N/A</v>
      </c>
    </row>
    <row r="482">
      <c r="A482" t="str">
        <f>IFERROR(__xludf.DUMMYFUNCTION("""COMPUTED_VALUE"""),"#N/A")</f>
        <v>#N/A</v>
      </c>
      <c r="B482" s="451" t="str">
        <f>IFERROR(__xludf.DUMMYFUNCTION("""COMPUTED_VALUE"""),"#N/A")</f>
        <v>#N/A</v>
      </c>
    </row>
    <row r="483">
      <c r="A483" t="str">
        <f>IFERROR(__xludf.DUMMYFUNCTION("""COMPUTED_VALUE"""),"#N/A")</f>
        <v>#N/A</v>
      </c>
      <c r="B483" s="451" t="str">
        <f>IFERROR(__xludf.DUMMYFUNCTION("""COMPUTED_VALUE"""),"#N/A")</f>
        <v>#N/A</v>
      </c>
    </row>
    <row r="484">
      <c r="A484" t="str">
        <f>IFERROR(__xludf.DUMMYFUNCTION("""COMPUTED_VALUE"""),"#N/A")</f>
        <v>#N/A</v>
      </c>
      <c r="B484" s="451" t="str">
        <f>IFERROR(__xludf.DUMMYFUNCTION("""COMPUTED_VALUE"""),"#N/A")</f>
        <v>#N/A</v>
      </c>
    </row>
    <row r="485">
      <c r="A485" t="str">
        <f>IFERROR(__xludf.DUMMYFUNCTION("""COMPUTED_VALUE"""),"#N/A")</f>
        <v>#N/A</v>
      </c>
      <c r="B485" s="451" t="str">
        <f>IFERROR(__xludf.DUMMYFUNCTION("""COMPUTED_VALUE"""),"#N/A")</f>
        <v>#N/A</v>
      </c>
    </row>
    <row r="486">
      <c r="A486" t="str">
        <f>IFERROR(__xludf.DUMMYFUNCTION("""COMPUTED_VALUE"""),"#N/A")</f>
        <v>#N/A</v>
      </c>
      <c r="B486" s="451" t="str">
        <f>IFERROR(__xludf.DUMMYFUNCTION("""COMPUTED_VALUE"""),"#N/A")</f>
        <v>#N/A</v>
      </c>
    </row>
    <row r="487">
      <c r="A487" t="str">
        <f>IFERROR(__xludf.DUMMYFUNCTION("""COMPUTED_VALUE"""),"#N/A")</f>
        <v>#N/A</v>
      </c>
      <c r="B487" s="451" t="str">
        <f>IFERROR(__xludf.DUMMYFUNCTION("""COMPUTED_VALUE"""),"#N/A")</f>
        <v>#N/A</v>
      </c>
    </row>
    <row r="488">
      <c r="A488" t="str">
        <f>IFERROR(__xludf.DUMMYFUNCTION("""COMPUTED_VALUE"""),"#N/A")</f>
        <v>#N/A</v>
      </c>
      <c r="B488" s="451" t="str">
        <f>IFERROR(__xludf.DUMMYFUNCTION("""COMPUTED_VALUE"""),"#N/A")</f>
        <v>#N/A</v>
      </c>
    </row>
    <row r="489">
      <c r="A489" t="str">
        <f>IFERROR(__xludf.DUMMYFUNCTION("""COMPUTED_VALUE"""),"#N/A")</f>
        <v>#N/A</v>
      </c>
      <c r="B489" s="451" t="str">
        <f>IFERROR(__xludf.DUMMYFUNCTION("""COMPUTED_VALUE"""),"#N/A")</f>
        <v>#N/A</v>
      </c>
    </row>
    <row r="490">
      <c r="A490" t="str">
        <f>IFERROR(__xludf.DUMMYFUNCTION("""COMPUTED_VALUE"""),"#N/A")</f>
        <v>#N/A</v>
      </c>
      <c r="B490" s="451" t="str">
        <f>IFERROR(__xludf.DUMMYFUNCTION("""COMPUTED_VALUE"""),"#N/A")</f>
        <v>#N/A</v>
      </c>
    </row>
    <row r="491">
      <c r="A491" t="str">
        <f>IFERROR(__xludf.DUMMYFUNCTION("""COMPUTED_VALUE"""),"#N/A")</f>
        <v>#N/A</v>
      </c>
      <c r="B491" s="451" t="str">
        <f>IFERROR(__xludf.DUMMYFUNCTION("""COMPUTED_VALUE"""),"#N/A")</f>
        <v>#N/A</v>
      </c>
    </row>
    <row r="492">
      <c r="A492" t="str">
        <f>IFERROR(__xludf.DUMMYFUNCTION("""COMPUTED_VALUE"""),"#N/A")</f>
        <v>#N/A</v>
      </c>
      <c r="B492" s="451" t="str">
        <f>IFERROR(__xludf.DUMMYFUNCTION("""COMPUTED_VALUE"""),"#N/A")</f>
        <v>#N/A</v>
      </c>
    </row>
    <row r="493">
      <c r="A493" t="str">
        <f>IFERROR(__xludf.DUMMYFUNCTION("""COMPUTED_VALUE"""),"#N/A")</f>
        <v>#N/A</v>
      </c>
      <c r="B493" s="451" t="str">
        <f>IFERROR(__xludf.DUMMYFUNCTION("""COMPUTED_VALUE"""),"#N/A")</f>
        <v>#N/A</v>
      </c>
    </row>
    <row r="494">
      <c r="A494" t="str">
        <f>IFERROR(__xludf.DUMMYFUNCTION("""COMPUTED_VALUE"""),"#N/A")</f>
        <v>#N/A</v>
      </c>
      <c r="B494" s="451" t="str">
        <f>IFERROR(__xludf.DUMMYFUNCTION("""COMPUTED_VALUE"""),"#N/A")</f>
        <v>#N/A</v>
      </c>
    </row>
    <row r="495">
      <c r="A495" t="str">
        <f>IFERROR(__xludf.DUMMYFUNCTION("""COMPUTED_VALUE"""),"#N/A")</f>
        <v>#N/A</v>
      </c>
      <c r="B495" s="451" t="str">
        <f>IFERROR(__xludf.DUMMYFUNCTION("""COMPUTED_VALUE"""),"#N/A")</f>
        <v>#N/A</v>
      </c>
    </row>
    <row r="496">
      <c r="A496" t="str">
        <f>IFERROR(__xludf.DUMMYFUNCTION("""COMPUTED_VALUE"""),"#N/A")</f>
        <v>#N/A</v>
      </c>
      <c r="B496" s="451" t="str">
        <f>IFERROR(__xludf.DUMMYFUNCTION("""COMPUTED_VALUE"""),"#N/A")</f>
        <v>#N/A</v>
      </c>
    </row>
    <row r="497">
      <c r="A497" t="str">
        <f>IFERROR(__xludf.DUMMYFUNCTION("""COMPUTED_VALUE"""),"#N/A")</f>
        <v>#N/A</v>
      </c>
      <c r="B497" s="451" t="str">
        <f>IFERROR(__xludf.DUMMYFUNCTION("""COMPUTED_VALUE"""),"#N/A")</f>
        <v>#N/A</v>
      </c>
    </row>
    <row r="498">
      <c r="A498" t="str">
        <f>IFERROR(__xludf.DUMMYFUNCTION("""COMPUTED_VALUE"""),"#N/A")</f>
        <v>#N/A</v>
      </c>
      <c r="B498" s="451" t="str">
        <f>IFERROR(__xludf.DUMMYFUNCTION("""COMPUTED_VALUE"""),"#N/A")</f>
        <v>#N/A</v>
      </c>
    </row>
    <row r="499">
      <c r="A499" t="str">
        <f>IFERROR(__xludf.DUMMYFUNCTION("""COMPUTED_VALUE"""),"#N/A")</f>
        <v>#N/A</v>
      </c>
      <c r="B499" s="451" t="str">
        <f>IFERROR(__xludf.DUMMYFUNCTION("""COMPUTED_VALUE"""),"#N/A")</f>
        <v>#N/A</v>
      </c>
    </row>
    <row r="500">
      <c r="A500" t="str">
        <f>IFERROR(__xludf.DUMMYFUNCTION("""COMPUTED_VALUE"""),"#N/A")</f>
        <v>#N/A</v>
      </c>
      <c r="B500" s="451" t="str">
        <f>IFERROR(__xludf.DUMMYFUNCTION("""COMPUTED_VALUE"""),"#N/A")</f>
        <v>#N/A</v>
      </c>
    </row>
    <row r="501">
      <c r="A501" t="str">
        <f>IFERROR(__xludf.DUMMYFUNCTION("""COMPUTED_VALUE"""),"#N/A")</f>
        <v>#N/A</v>
      </c>
      <c r="B501" s="451" t="str">
        <f>IFERROR(__xludf.DUMMYFUNCTION("""COMPUTED_VALUE"""),"#N/A")</f>
        <v>#N/A</v>
      </c>
    </row>
    <row r="502">
      <c r="A502" t="str">
        <f>IFERROR(__xludf.DUMMYFUNCTION("""COMPUTED_VALUE"""),"#N/A")</f>
        <v>#N/A</v>
      </c>
      <c r="B502" s="451" t="str">
        <f>IFERROR(__xludf.DUMMYFUNCTION("""COMPUTED_VALUE"""),"#N/A")</f>
        <v>#N/A</v>
      </c>
    </row>
    <row r="503">
      <c r="A503" t="str">
        <f>IFERROR(__xludf.DUMMYFUNCTION("""COMPUTED_VALUE"""),"#N/A")</f>
        <v>#N/A</v>
      </c>
      <c r="B503" s="451" t="str">
        <f>IFERROR(__xludf.DUMMYFUNCTION("""COMPUTED_VALUE"""),"#N/A")</f>
        <v>#N/A</v>
      </c>
    </row>
    <row r="504">
      <c r="A504" t="str">
        <f>IFERROR(__xludf.DUMMYFUNCTION("""COMPUTED_VALUE"""),"#N/A")</f>
        <v>#N/A</v>
      </c>
      <c r="B504" s="451" t="str">
        <f>IFERROR(__xludf.DUMMYFUNCTION("""COMPUTED_VALUE"""),"#N/A")</f>
        <v>#N/A</v>
      </c>
    </row>
    <row r="505">
      <c r="A505" t="str">
        <f>IFERROR(__xludf.DUMMYFUNCTION("""COMPUTED_VALUE"""),"#N/A")</f>
        <v>#N/A</v>
      </c>
      <c r="B505" s="451" t="str">
        <f>IFERROR(__xludf.DUMMYFUNCTION("""COMPUTED_VALUE"""),"#N/A")</f>
        <v>#N/A</v>
      </c>
    </row>
    <row r="506">
      <c r="A506" t="str">
        <f>IFERROR(__xludf.DUMMYFUNCTION("""COMPUTED_VALUE"""),"#N/A")</f>
        <v>#N/A</v>
      </c>
      <c r="B506" s="451" t="str">
        <f>IFERROR(__xludf.DUMMYFUNCTION("""COMPUTED_VALUE"""),"#N/A")</f>
        <v>#N/A</v>
      </c>
    </row>
    <row r="507">
      <c r="A507" t="str">
        <f>IFERROR(__xludf.DUMMYFUNCTION("""COMPUTED_VALUE"""),"#N/A")</f>
        <v>#N/A</v>
      </c>
      <c r="B507" s="451" t="str">
        <f>IFERROR(__xludf.DUMMYFUNCTION("""COMPUTED_VALUE"""),"#N/A")</f>
        <v>#N/A</v>
      </c>
    </row>
    <row r="508">
      <c r="A508" t="str">
        <f>IFERROR(__xludf.DUMMYFUNCTION("""COMPUTED_VALUE"""),"#N/A")</f>
        <v>#N/A</v>
      </c>
      <c r="B508" s="451" t="str">
        <f>IFERROR(__xludf.DUMMYFUNCTION("""COMPUTED_VALUE"""),"#N/A")</f>
        <v>#N/A</v>
      </c>
    </row>
    <row r="509">
      <c r="A509" t="str">
        <f>IFERROR(__xludf.DUMMYFUNCTION("""COMPUTED_VALUE"""),"#N/A")</f>
        <v>#N/A</v>
      </c>
      <c r="B509" s="451" t="str">
        <f>IFERROR(__xludf.DUMMYFUNCTION("""COMPUTED_VALUE"""),"#N/A")</f>
        <v>#N/A</v>
      </c>
    </row>
    <row r="510">
      <c r="A510" t="str">
        <f>IFERROR(__xludf.DUMMYFUNCTION("""COMPUTED_VALUE"""),"#N/A")</f>
        <v>#N/A</v>
      </c>
      <c r="B510" s="451" t="str">
        <f>IFERROR(__xludf.DUMMYFUNCTION("""COMPUTED_VALUE"""),"#N/A")</f>
        <v>#N/A</v>
      </c>
    </row>
    <row r="511">
      <c r="A511" t="str">
        <f>IFERROR(__xludf.DUMMYFUNCTION("""COMPUTED_VALUE"""),"#N/A")</f>
        <v>#N/A</v>
      </c>
      <c r="B511" s="451" t="str">
        <f>IFERROR(__xludf.DUMMYFUNCTION("""COMPUTED_VALUE"""),"#N/A")</f>
        <v>#N/A</v>
      </c>
    </row>
    <row r="512">
      <c r="A512" t="str">
        <f>IFERROR(__xludf.DUMMYFUNCTION("""COMPUTED_VALUE"""),"#N/A")</f>
        <v>#N/A</v>
      </c>
      <c r="B512" s="451" t="str">
        <f>IFERROR(__xludf.DUMMYFUNCTION("""COMPUTED_VALUE"""),"#N/A")</f>
        <v>#N/A</v>
      </c>
    </row>
    <row r="513">
      <c r="A513" t="str">
        <f>IFERROR(__xludf.DUMMYFUNCTION("""COMPUTED_VALUE"""),"#N/A")</f>
        <v>#N/A</v>
      </c>
      <c r="B513" s="451" t="str">
        <f>IFERROR(__xludf.DUMMYFUNCTION("""COMPUTED_VALUE"""),"#N/A")</f>
        <v>#N/A</v>
      </c>
    </row>
    <row r="514">
      <c r="A514" t="str">
        <f>IFERROR(__xludf.DUMMYFUNCTION("""COMPUTED_VALUE"""),"#N/A")</f>
        <v>#N/A</v>
      </c>
      <c r="B514" s="451" t="str">
        <f>IFERROR(__xludf.DUMMYFUNCTION("""COMPUTED_VALUE"""),"#N/A")</f>
        <v>#N/A</v>
      </c>
    </row>
    <row r="515">
      <c r="A515" t="str">
        <f>IFERROR(__xludf.DUMMYFUNCTION("""COMPUTED_VALUE"""),"#N/A")</f>
        <v>#N/A</v>
      </c>
      <c r="B515" s="451" t="str">
        <f>IFERROR(__xludf.DUMMYFUNCTION("""COMPUTED_VALUE"""),"#N/A")</f>
        <v>#N/A</v>
      </c>
    </row>
    <row r="516">
      <c r="A516" t="str">
        <f>IFERROR(__xludf.DUMMYFUNCTION("""COMPUTED_VALUE"""),"#N/A")</f>
        <v>#N/A</v>
      </c>
      <c r="B516" s="451" t="str">
        <f>IFERROR(__xludf.DUMMYFUNCTION("""COMPUTED_VALUE"""),"#N/A")</f>
        <v>#N/A</v>
      </c>
    </row>
    <row r="517">
      <c r="A517" t="str">
        <f>IFERROR(__xludf.DUMMYFUNCTION("""COMPUTED_VALUE"""),"#N/A")</f>
        <v>#N/A</v>
      </c>
      <c r="B517" s="451" t="str">
        <f>IFERROR(__xludf.DUMMYFUNCTION("""COMPUTED_VALUE"""),"#N/A")</f>
        <v>#N/A</v>
      </c>
    </row>
    <row r="518">
      <c r="A518" t="str">
        <f>IFERROR(__xludf.DUMMYFUNCTION("""COMPUTED_VALUE"""),"#N/A")</f>
        <v>#N/A</v>
      </c>
      <c r="B518" s="451" t="str">
        <f>IFERROR(__xludf.DUMMYFUNCTION("""COMPUTED_VALUE"""),"#N/A")</f>
        <v>#N/A</v>
      </c>
    </row>
    <row r="519">
      <c r="A519" t="str">
        <f>IFERROR(__xludf.DUMMYFUNCTION("""COMPUTED_VALUE"""),"#N/A")</f>
        <v>#N/A</v>
      </c>
      <c r="B519" s="451" t="str">
        <f>IFERROR(__xludf.DUMMYFUNCTION("""COMPUTED_VALUE"""),"#N/A")</f>
        <v>#N/A</v>
      </c>
    </row>
    <row r="520">
      <c r="A520" t="str">
        <f>IFERROR(__xludf.DUMMYFUNCTION("""COMPUTED_VALUE"""),"#N/A")</f>
        <v>#N/A</v>
      </c>
      <c r="B520" s="451" t="str">
        <f>IFERROR(__xludf.DUMMYFUNCTION("""COMPUTED_VALUE"""),"#N/A")</f>
        <v>#N/A</v>
      </c>
    </row>
    <row r="521">
      <c r="A521" t="str">
        <f>IFERROR(__xludf.DUMMYFUNCTION("""COMPUTED_VALUE"""),"#N/A")</f>
        <v>#N/A</v>
      </c>
      <c r="B521" s="451" t="str">
        <f>IFERROR(__xludf.DUMMYFUNCTION("""COMPUTED_VALUE"""),"#N/A")</f>
        <v>#N/A</v>
      </c>
    </row>
    <row r="522">
      <c r="A522" t="str">
        <f>IFERROR(__xludf.DUMMYFUNCTION("""COMPUTED_VALUE"""),"#N/A")</f>
        <v>#N/A</v>
      </c>
      <c r="B522" s="451" t="str">
        <f>IFERROR(__xludf.DUMMYFUNCTION("""COMPUTED_VALUE"""),"#N/A")</f>
        <v>#N/A</v>
      </c>
    </row>
    <row r="523">
      <c r="A523" t="str">
        <f>IFERROR(__xludf.DUMMYFUNCTION("""COMPUTED_VALUE"""),"#N/A")</f>
        <v>#N/A</v>
      </c>
      <c r="B523" s="451" t="str">
        <f>IFERROR(__xludf.DUMMYFUNCTION("""COMPUTED_VALUE"""),"#N/A")</f>
        <v>#N/A</v>
      </c>
    </row>
    <row r="524">
      <c r="A524" t="str">
        <f>IFERROR(__xludf.DUMMYFUNCTION("""COMPUTED_VALUE"""),"#N/A")</f>
        <v>#N/A</v>
      </c>
      <c r="B524" s="451" t="str">
        <f>IFERROR(__xludf.DUMMYFUNCTION("""COMPUTED_VALUE"""),"#N/A")</f>
        <v>#N/A</v>
      </c>
    </row>
    <row r="525">
      <c r="A525" t="str">
        <f>IFERROR(__xludf.DUMMYFUNCTION("""COMPUTED_VALUE"""),"#N/A")</f>
        <v>#N/A</v>
      </c>
      <c r="B525" s="451" t="str">
        <f>IFERROR(__xludf.DUMMYFUNCTION("""COMPUTED_VALUE"""),"#N/A")</f>
        <v>#N/A</v>
      </c>
    </row>
    <row r="526">
      <c r="A526" t="str">
        <f>IFERROR(__xludf.DUMMYFUNCTION("""COMPUTED_VALUE"""),"#N/A")</f>
        <v>#N/A</v>
      </c>
      <c r="B526" s="451" t="str">
        <f>IFERROR(__xludf.DUMMYFUNCTION("""COMPUTED_VALUE"""),"#N/A")</f>
        <v>#N/A</v>
      </c>
    </row>
    <row r="527">
      <c r="A527" t="str">
        <f>IFERROR(__xludf.DUMMYFUNCTION("""COMPUTED_VALUE"""),"#N/A")</f>
        <v>#N/A</v>
      </c>
      <c r="B527" s="451" t="str">
        <f>IFERROR(__xludf.DUMMYFUNCTION("""COMPUTED_VALUE"""),"#N/A")</f>
        <v>#N/A</v>
      </c>
    </row>
    <row r="528">
      <c r="A528" t="str">
        <f>IFERROR(__xludf.DUMMYFUNCTION("""COMPUTED_VALUE"""),"#N/A")</f>
        <v>#N/A</v>
      </c>
      <c r="B528" s="451" t="str">
        <f>IFERROR(__xludf.DUMMYFUNCTION("""COMPUTED_VALUE"""),"#N/A")</f>
        <v>#N/A</v>
      </c>
    </row>
    <row r="529">
      <c r="A529" t="str">
        <f>IFERROR(__xludf.DUMMYFUNCTION("""COMPUTED_VALUE"""),"#N/A")</f>
        <v>#N/A</v>
      </c>
      <c r="B529" s="451" t="str">
        <f>IFERROR(__xludf.DUMMYFUNCTION("""COMPUTED_VALUE"""),"#N/A")</f>
        <v>#N/A</v>
      </c>
    </row>
    <row r="530">
      <c r="A530" t="str">
        <f>IFERROR(__xludf.DUMMYFUNCTION("""COMPUTED_VALUE"""),"#N/A")</f>
        <v>#N/A</v>
      </c>
      <c r="B530" s="451" t="str">
        <f>IFERROR(__xludf.DUMMYFUNCTION("""COMPUTED_VALUE"""),"#N/A")</f>
        <v>#N/A</v>
      </c>
    </row>
    <row r="531">
      <c r="A531" t="str">
        <f>IFERROR(__xludf.DUMMYFUNCTION("""COMPUTED_VALUE"""),"#N/A")</f>
        <v>#N/A</v>
      </c>
      <c r="B531" s="451" t="str">
        <f>IFERROR(__xludf.DUMMYFUNCTION("""COMPUTED_VALUE"""),"#N/A")</f>
        <v>#N/A</v>
      </c>
    </row>
    <row r="532">
      <c r="A532" t="str">
        <f>IFERROR(__xludf.DUMMYFUNCTION("""COMPUTED_VALUE"""),"#N/A")</f>
        <v>#N/A</v>
      </c>
      <c r="B532" s="451" t="str">
        <f>IFERROR(__xludf.DUMMYFUNCTION("""COMPUTED_VALUE"""),"#N/A")</f>
        <v>#N/A</v>
      </c>
    </row>
    <row r="533">
      <c r="A533" t="str">
        <f>IFERROR(__xludf.DUMMYFUNCTION("""COMPUTED_VALUE"""),"#N/A")</f>
        <v>#N/A</v>
      </c>
      <c r="B533" s="451" t="str">
        <f>IFERROR(__xludf.DUMMYFUNCTION("""COMPUTED_VALUE"""),"#N/A")</f>
        <v>#N/A</v>
      </c>
    </row>
    <row r="534">
      <c r="A534" t="str">
        <f>IFERROR(__xludf.DUMMYFUNCTION("""COMPUTED_VALUE"""),"#N/A")</f>
        <v>#N/A</v>
      </c>
      <c r="B534" s="451" t="str">
        <f>IFERROR(__xludf.DUMMYFUNCTION("""COMPUTED_VALUE"""),"#N/A")</f>
        <v>#N/A</v>
      </c>
    </row>
    <row r="535">
      <c r="A535" t="str">
        <f>IFERROR(__xludf.DUMMYFUNCTION("""COMPUTED_VALUE"""),"#N/A")</f>
        <v>#N/A</v>
      </c>
      <c r="B535" s="451" t="str">
        <f>IFERROR(__xludf.DUMMYFUNCTION("""COMPUTED_VALUE"""),"#N/A")</f>
        <v>#N/A</v>
      </c>
    </row>
    <row r="536">
      <c r="A536" t="str">
        <f>IFERROR(__xludf.DUMMYFUNCTION("""COMPUTED_VALUE"""),"#N/A")</f>
        <v>#N/A</v>
      </c>
      <c r="B536" s="451" t="str">
        <f>IFERROR(__xludf.DUMMYFUNCTION("""COMPUTED_VALUE"""),"#N/A")</f>
        <v>#N/A</v>
      </c>
    </row>
    <row r="537">
      <c r="A537" t="str">
        <f>IFERROR(__xludf.DUMMYFUNCTION("""COMPUTED_VALUE"""),"#N/A")</f>
        <v>#N/A</v>
      </c>
      <c r="B537" s="451" t="str">
        <f>IFERROR(__xludf.DUMMYFUNCTION("""COMPUTED_VALUE"""),"#N/A")</f>
        <v>#N/A</v>
      </c>
    </row>
    <row r="538">
      <c r="A538" t="str">
        <f>IFERROR(__xludf.DUMMYFUNCTION("""COMPUTED_VALUE"""),"#N/A")</f>
        <v>#N/A</v>
      </c>
      <c r="B538" s="451" t="str">
        <f>IFERROR(__xludf.DUMMYFUNCTION("""COMPUTED_VALUE"""),"#N/A")</f>
        <v>#N/A</v>
      </c>
    </row>
    <row r="539">
      <c r="A539" t="str">
        <f>IFERROR(__xludf.DUMMYFUNCTION("""COMPUTED_VALUE"""),"#N/A")</f>
        <v>#N/A</v>
      </c>
      <c r="B539" s="451" t="str">
        <f>IFERROR(__xludf.DUMMYFUNCTION("""COMPUTED_VALUE"""),"#N/A")</f>
        <v>#N/A</v>
      </c>
    </row>
    <row r="540">
      <c r="A540" t="str">
        <f>IFERROR(__xludf.DUMMYFUNCTION("""COMPUTED_VALUE"""),"#N/A")</f>
        <v>#N/A</v>
      </c>
      <c r="B540" s="451" t="str">
        <f>IFERROR(__xludf.DUMMYFUNCTION("""COMPUTED_VALUE"""),"#N/A")</f>
        <v>#N/A</v>
      </c>
    </row>
    <row r="541">
      <c r="A541" t="str">
        <f>IFERROR(__xludf.DUMMYFUNCTION("""COMPUTED_VALUE"""),"#N/A")</f>
        <v>#N/A</v>
      </c>
      <c r="B541" s="451" t="str">
        <f>IFERROR(__xludf.DUMMYFUNCTION("""COMPUTED_VALUE"""),"#N/A")</f>
        <v>#N/A</v>
      </c>
    </row>
    <row r="542">
      <c r="A542" t="str">
        <f>IFERROR(__xludf.DUMMYFUNCTION("""COMPUTED_VALUE"""),"#N/A")</f>
        <v>#N/A</v>
      </c>
      <c r="B542" s="451" t="str">
        <f>IFERROR(__xludf.DUMMYFUNCTION("""COMPUTED_VALUE"""),"#N/A")</f>
        <v>#N/A</v>
      </c>
    </row>
    <row r="543">
      <c r="A543" t="str">
        <f>IFERROR(__xludf.DUMMYFUNCTION("""COMPUTED_VALUE"""),"#N/A")</f>
        <v>#N/A</v>
      </c>
      <c r="B543" s="451" t="str">
        <f>IFERROR(__xludf.DUMMYFUNCTION("""COMPUTED_VALUE"""),"#N/A")</f>
        <v>#N/A</v>
      </c>
    </row>
    <row r="544">
      <c r="A544" t="str">
        <f>IFERROR(__xludf.DUMMYFUNCTION("""COMPUTED_VALUE"""),"#N/A")</f>
        <v>#N/A</v>
      </c>
      <c r="B544" s="451" t="str">
        <f>IFERROR(__xludf.DUMMYFUNCTION("""COMPUTED_VALUE"""),"#N/A")</f>
        <v>#N/A</v>
      </c>
    </row>
    <row r="545">
      <c r="A545" t="str">
        <f>IFERROR(__xludf.DUMMYFUNCTION("""COMPUTED_VALUE"""),"#N/A")</f>
        <v>#N/A</v>
      </c>
      <c r="B545" s="451" t="str">
        <f>IFERROR(__xludf.DUMMYFUNCTION("""COMPUTED_VALUE"""),"#N/A")</f>
        <v>#N/A</v>
      </c>
    </row>
    <row r="546">
      <c r="A546" t="str">
        <f>IFERROR(__xludf.DUMMYFUNCTION("""COMPUTED_VALUE"""),"#N/A")</f>
        <v>#N/A</v>
      </c>
      <c r="B546" s="451" t="str">
        <f>IFERROR(__xludf.DUMMYFUNCTION("""COMPUTED_VALUE"""),"#N/A")</f>
        <v>#N/A</v>
      </c>
    </row>
    <row r="547">
      <c r="A547" t="str">
        <f>IFERROR(__xludf.DUMMYFUNCTION("""COMPUTED_VALUE"""),"#N/A")</f>
        <v>#N/A</v>
      </c>
      <c r="B547" s="451" t="str">
        <f>IFERROR(__xludf.DUMMYFUNCTION("""COMPUTED_VALUE"""),"#N/A")</f>
        <v>#N/A</v>
      </c>
    </row>
    <row r="548">
      <c r="A548" t="str">
        <f>IFERROR(__xludf.DUMMYFUNCTION("""COMPUTED_VALUE"""),"#N/A")</f>
        <v>#N/A</v>
      </c>
      <c r="B548" s="451" t="str">
        <f>IFERROR(__xludf.DUMMYFUNCTION("""COMPUTED_VALUE"""),"#N/A")</f>
        <v>#N/A</v>
      </c>
    </row>
    <row r="549">
      <c r="A549" t="str">
        <f>IFERROR(__xludf.DUMMYFUNCTION("""COMPUTED_VALUE"""),"#N/A")</f>
        <v>#N/A</v>
      </c>
      <c r="B549" s="451" t="str">
        <f>IFERROR(__xludf.DUMMYFUNCTION("""COMPUTED_VALUE"""),"#N/A")</f>
        <v>#N/A</v>
      </c>
    </row>
    <row r="550">
      <c r="A550" t="str">
        <f>IFERROR(__xludf.DUMMYFUNCTION("""COMPUTED_VALUE"""),"#N/A")</f>
        <v>#N/A</v>
      </c>
      <c r="B550" s="451" t="str">
        <f>IFERROR(__xludf.DUMMYFUNCTION("""COMPUTED_VALUE"""),"#N/A")</f>
        <v>#N/A</v>
      </c>
    </row>
    <row r="551">
      <c r="A551" t="str">
        <f>IFERROR(__xludf.DUMMYFUNCTION("""COMPUTED_VALUE"""),"#N/A")</f>
        <v>#N/A</v>
      </c>
      <c r="B551" s="451" t="str">
        <f>IFERROR(__xludf.DUMMYFUNCTION("""COMPUTED_VALUE"""),"#N/A")</f>
        <v>#N/A</v>
      </c>
    </row>
    <row r="552">
      <c r="A552" t="str">
        <f>IFERROR(__xludf.DUMMYFUNCTION("""COMPUTED_VALUE"""),"#N/A")</f>
        <v>#N/A</v>
      </c>
      <c r="B552" s="451" t="str">
        <f>IFERROR(__xludf.DUMMYFUNCTION("""COMPUTED_VALUE"""),"#N/A")</f>
        <v>#N/A</v>
      </c>
    </row>
    <row r="553">
      <c r="A553" t="str">
        <f>IFERROR(__xludf.DUMMYFUNCTION("""COMPUTED_VALUE"""),"#N/A")</f>
        <v>#N/A</v>
      </c>
      <c r="B553" s="451" t="str">
        <f>IFERROR(__xludf.DUMMYFUNCTION("""COMPUTED_VALUE"""),"#N/A")</f>
        <v>#N/A</v>
      </c>
    </row>
    <row r="554">
      <c r="A554" t="str">
        <f>IFERROR(__xludf.DUMMYFUNCTION("""COMPUTED_VALUE"""),"#N/A")</f>
        <v>#N/A</v>
      </c>
      <c r="B554" s="451" t="str">
        <f>IFERROR(__xludf.DUMMYFUNCTION("""COMPUTED_VALUE"""),"#N/A")</f>
        <v>#N/A</v>
      </c>
    </row>
    <row r="555">
      <c r="A555" t="str">
        <f>IFERROR(__xludf.DUMMYFUNCTION("""COMPUTED_VALUE"""),"#N/A")</f>
        <v>#N/A</v>
      </c>
      <c r="B555" s="451" t="str">
        <f>IFERROR(__xludf.DUMMYFUNCTION("""COMPUTED_VALUE"""),"#N/A")</f>
        <v>#N/A</v>
      </c>
    </row>
    <row r="556">
      <c r="A556" t="str">
        <f>IFERROR(__xludf.DUMMYFUNCTION("""COMPUTED_VALUE"""),"#N/A")</f>
        <v>#N/A</v>
      </c>
      <c r="B556" s="451" t="str">
        <f>IFERROR(__xludf.DUMMYFUNCTION("""COMPUTED_VALUE"""),"#N/A")</f>
        <v>#N/A</v>
      </c>
    </row>
    <row r="557">
      <c r="A557" t="str">
        <f>IFERROR(__xludf.DUMMYFUNCTION("""COMPUTED_VALUE"""),"#N/A")</f>
        <v>#N/A</v>
      </c>
      <c r="B557" s="451" t="str">
        <f>IFERROR(__xludf.DUMMYFUNCTION("""COMPUTED_VALUE"""),"#N/A")</f>
        <v>#N/A</v>
      </c>
    </row>
    <row r="558">
      <c r="A558" t="str">
        <f>IFERROR(__xludf.DUMMYFUNCTION("""COMPUTED_VALUE"""),"#N/A")</f>
        <v>#N/A</v>
      </c>
      <c r="B558" s="451" t="str">
        <f>IFERROR(__xludf.DUMMYFUNCTION("""COMPUTED_VALUE"""),"#N/A")</f>
        <v>#N/A</v>
      </c>
    </row>
    <row r="559">
      <c r="A559" t="str">
        <f>IFERROR(__xludf.DUMMYFUNCTION("""COMPUTED_VALUE"""),"#N/A")</f>
        <v>#N/A</v>
      </c>
      <c r="B559" s="451" t="str">
        <f>IFERROR(__xludf.DUMMYFUNCTION("""COMPUTED_VALUE"""),"#N/A")</f>
        <v>#N/A</v>
      </c>
    </row>
    <row r="560">
      <c r="A560" t="str">
        <f>IFERROR(__xludf.DUMMYFUNCTION("""COMPUTED_VALUE"""),"#N/A")</f>
        <v>#N/A</v>
      </c>
      <c r="B560" s="451" t="str">
        <f>IFERROR(__xludf.DUMMYFUNCTION("""COMPUTED_VALUE"""),"#N/A")</f>
        <v>#N/A</v>
      </c>
    </row>
    <row r="561">
      <c r="A561" t="str">
        <f>IFERROR(__xludf.DUMMYFUNCTION("""COMPUTED_VALUE"""),"#N/A")</f>
        <v>#N/A</v>
      </c>
      <c r="B561" s="451" t="str">
        <f>IFERROR(__xludf.DUMMYFUNCTION("""COMPUTED_VALUE"""),"#N/A")</f>
        <v>#N/A</v>
      </c>
    </row>
    <row r="562">
      <c r="A562" t="str">
        <f>IFERROR(__xludf.DUMMYFUNCTION("""COMPUTED_VALUE"""),"#N/A")</f>
        <v>#N/A</v>
      </c>
      <c r="B562" s="451" t="str">
        <f>IFERROR(__xludf.DUMMYFUNCTION("""COMPUTED_VALUE"""),"#N/A")</f>
        <v>#N/A</v>
      </c>
    </row>
    <row r="563">
      <c r="A563" t="str">
        <f>IFERROR(__xludf.DUMMYFUNCTION("""COMPUTED_VALUE"""),"#N/A")</f>
        <v>#N/A</v>
      </c>
      <c r="B563" s="451" t="str">
        <f>IFERROR(__xludf.DUMMYFUNCTION("""COMPUTED_VALUE"""),"#N/A")</f>
        <v>#N/A</v>
      </c>
    </row>
    <row r="564">
      <c r="A564" t="str">
        <f>IFERROR(__xludf.DUMMYFUNCTION("""COMPUTED_VALUE"""),"#N/A")</f>
        <v>#N/A</v>
      </c>
      <c r="B564" s="451" t="str">
        <f>IFERROR(__xludf.DUMMYFUNCTION("""COMPUTED_VALUE"""),"#N/A")</f>
        <v>#N/A</v>
      </c>
    </row>
    <row r="565">
      <c r="A565" t="str">
        <f>IFERROR(__xludf.DUMMYFUNCTION("""COMPUTED_VALUE"""),"#N/A")</f>
        <v>#N/A</v>
      </c>
      <c r="B565" s="451" t="str">
        <f>IFERROR(__xludf.DUMMYFUNCTION("""COMPUTED_VALUE"""),"#N/A")</f>
        <v>#N/A</v>
      </c>
    </row>
    <row r="566">
      <c r="A566" t="str">
        <f>IFERROR(__xludf.DUMMYFUNCTION("""COMPUTED_VALUE"""),"#N/A")</f>
        <v>#N/A</v>
      </c>
      <c r="B566" s="451" t="str">
        <f>IFERROR(__xludf.DUMMYFUNCTION("""COMPUTED_VALUE"""),"#N/A")</f>
        <v>#N/A</v>
      </c>
    </row>
    <row r="567">
      <c r="A567" t="str">
        <f>IFERROR(__xludf.DUMMYFUNCTION("""COMPUTED_VALUE"""),"#N/A")</f>
        <v>#N/A</v>
      </c>
      <c r="B567" s="451" t="str">
        <f>IFERROR(__xludf.DUMMYFUNCTION("""COMPUTED_VALUE"""),"#N/A")</f>
        <v>#N/A</v>
      </c>
    </row>
    <row r="568">
      <c r="A568" t="str">
        <f>IFERROR(__xludf.DUMMYFUNCTION("""COMPUTED_VALUE"""),"#N/A")</f>
        <v>#N/A</v>
      </c>
      <c r="B568" s="451" t="str">
        <f>IFERROR(__xludf.DUMMYFUNCTION("""COMPUTED_VALUE"""),"#N/A")</f>
        <v>#N/A</v>
      </c>
    </row>
    <row r="569">
      <c r="A569" t="str">
        <f>IFERROR(__xludf.DUMMYFUNCTION("""COMPUTED_VALUE"""),"#N/A")</f>
        <v>#N/A</v>
      </c>
      <c r="B569" s="451" t="str">
        <f>IFERROR(__xludf.DUMMYFUNCTION("""COMPUTED_VALUE"""),"#N/A")</f>
        <v>#N/A</v>
      </c>
    </row>
    <row r="570">
      <c r="A570" t="str">
        <f>IFERROR(__xludf.DUMMYFUNCTION("""COMPUTED_VALUE"""),"#N/A")</f>
        <v>#N/A</v>
      </c>
      <c r="B570" s="451" t="str">
        <f>IFERROR(__xludf.DUMMYFUNCTION("""COMPUTED_VALUE"""),"#N/A")</f>
        <v>#N/A</v>
      </c>
    </row>
    <row r="571">
      <c r="A571" t="str">
        <f>IFERROR(__xludf.DUMMYFUNCTION("""COMPUTED_VALUE"""),"#N/A")</f>
        <v>#N/A</v>
      </c>
      <c r="B571" s="451" t="str">
        <f>IFERROR(__xludf.DUMMYFUNCTION("""COMPUTED_VALUE"""),"#N/A")</f>
        <v>#N/A</v>
      </c>
    </row>
    <row r="572">
      <c r="A572" t="str">
        <f>IFERROR(__xludf.DUMMYFUNCTION("""COMPUTED_VALUE"""),"#N/A")</f>
        <v>#N/A</v>
      </c>
      <c r="B572" s="451" t="str">
        <f>IFERROR(__xludf.DUMMYFUNCTION("""COMPUTED_VALUE"""),"#N/A")</f>
        <v>#N/A</v>
      </c>
    </row>
    <row r="573">
      <c r="A573" t="str">
        <f>IFERROR(__xludf.DUMMYFUNCTION("""COMPUTED_VALUE"""),"#N/A")</f>
        <v>#N/A</v>
      </c>
      <c r="B573" s="451" t="str">
        <f>IFERROR(__xludf.DUMMYFUNCTION("""COMPUTED_VALUE"""),"#N/A")</f>
        <v>#N/A</v>
      </c>
    </row>
    <row r="574">
      <c r="A574" t="str">
        <f>IFERROR(__xludf.DUMMYFUNCTION("""COMPUTED_VALUE"""),"#N/A")</f>
        <v>#N/A</v>
      </c>
      <c r="B574" s="451" t="str">
        <f>IFERROR(__xludf.DUMMYFUNCTION("""COMPUTED_VALUE"""),"#N/A")</f>
        <v>#N/A</v>
      </c>
    </row>
    <row r="575">
      <c r="A575" t="str">
        <f>IFERROR(__xludf.DUMMYFUNCTION("""COMPUTED_VALUE"""),"#N/A")</f>
        <v>#N/A</v>
      </c>
      <c r="B575" s="451" t="str">
        <f>IFERROR(__xludf.DUMMYFUNCTION("""COMPUTED_VALUE"""),"#N/A")</f>
        <v>#N/A</v>
      </c>
    </row>
    <row r="576">
      <c r="A576" t="str">
        <f>IFERROR(__xludf.DUMMYFUNCTION("""COMPUTED_VALUE"""),"#N/A")</f>
        <v>#N/A</v>
      </c>
      <c r="B576" s="451" t="str">
        <f>IFERROR(__xludf.DUMMYFUNCTION("""COMPUTED_VALUE"""),"#N/A")</f>
        <v>#N/A</v>
      </c>
    </row>
    <row r="577">
      <c r="A577" t="str">
        <f>IFERROR(__xludf.DUMMYFUNCTION("""COMPUTED_VALUE"""),"#N/A")</f>
        <v>#N/A</v>
      </c>
      <c r="B577" s="451" t="str">
        <f>IFERROR(__xludf.DUMMYFUNCTION("""COMPUTED_VALUE"""),"#N/A")</f>
        <v>#N/A</v>
      </c>
    </row>
    <row r="578">
      <c r="A578" t="str">
        <f>IFERROR(__xludf.DUMMYFUNCTION("""COMPUTED_VALUE"""),"#N/A")</f>
        <v>#N/A</v>
      </c>
      <c r="B578" s="451" t="str">
        <f>IFERROR(__xludf.DUMMYFUNCTION("""COMPUTED_VALUE"""),"#N/A")</f>
        <v>#N/A</v>
      </c>
    </row>
    <row r="579">
      <c r="A579" t="str">
        <f>IFERROR(__xludf.DUMMYFUNCTION("""COMPUTED_VALUE"""),"#N/A")</f>
        <v>#N/A</v>
      </c>
      <c r="B579" s="451" t="str">
        <f>IFERROR(__xludf.DUMMYFUNCTION("""COMPUTED_VALUE"""),"#N/A")</f>
        <v>#N/A</v>
      </c>
    </row>
    <row r="580">
      <c r="A580" t="str">
        <f>IFERROR(__xludf.DUMMYFUNCTION("""COMPUTED_VALUE"""),"#N/A")</f>
        <v>#N/A</v>
      </c>
      <c r="B580" s="451" t="str">
        <f>IFERROR(__xludf.DUMMYFUNCTION("""COMPUTED_VALUE"""),"#N/A")</f>
        <v>#N/A</v>
      </c>
    </row>
    <row r="581">
      <c r="A581" t="str">
        <f>IFERROR(__xludf.DUMMYFUNCTION("""COMPUTED_VALUE"""),"#N/A")</f>
        <v>#N/A</v>
      </c>
      <c r="B581" s="451" t="str">
        <f>IFERROR(__xludf.DUMMYFUNCTION("""COMPUTED_VALUE"""),"#N/A")</f>
        <v>#N/A</v>
      </c>
    </row>
    <row r="582">
      <c r="A582" t="str">
        <f>IFERROR(__xludf.DUMMYFUNCTION("""COMPUTED_VALUE"""),"#N/A")</f>
        <v>#N/A</v>
      </c>
      <c r="B582" s="451" t="str">
        <f>IFERROR(__xludf.DUMMYFUNCTION("""COMPUTED_VALUE"""),"#N/A")</f>
        <v>#N/A</v>
      </c>
    </row>
    <row r="583">
      <c r="A583" t="str">
        <f>IFERROR(__xludf.DUMMYFUNCTION("""COMPUTED_VALUE"""),"#N/A")</f>
        <v>#N/A</v>
      </c>
      <c r="B583" s="451" t="str">
        <f>IFERROR(__xludf.DUMMYFUNCTION("""COMPUTED_VALUE"""),"#N/A")</f>
        <v>#N/A</v>
      </c>
    </row>
    <row r="584">
      <c r="A584" t="str">
        <f>IFERROR(__xludf.DUMMYFUNCTION("""COMPUTED_VALUE"""),"#N/A")</f>
        <v>#N/A</v>
      </c>
      <c r="B584" s="451" t="str">
        <f>IFERROR(__xludf.DUMMYFUNCTION("""COMPUTED_VALUE"""),"#N/A")</f>
        <v>#N/A</v>
      </c>
    </row>
    <row r="585">
      <c r="A585" t="str">
        <f>IFERROR(__xludf.DUMMYFUNCTION("""COMPUTED_VALUE"""),"#N/A")</f>
        <v>#N/A</v>
      </c>
      <c r="B585" s="451" t="str">
        <f>IFERROR(__xludf.DUMMYFUNCTION("""COMPUTED_VALUE"""),"#N/A")</f>
        <v>#N/A</v>
      </c>
    </row>
    <row r="586">
      <c r="A586" t="str">
        <f>IFERROR(__xludf.DUMMYFUNCTION("""COMPUTED_VALUE"""),"#N/A")</f>
        <v>#N/A</v>
      </c>
      <c r="B586" s="451" t="str">
        <f>IFERROR(__xludf.DUMMYFUNCTION("""COMPUTED_VALUE"""),"#N/A")</f>
        <v>#N/A</v>
      </c>
    </row>
    <row r="587">
      <c r="A587" t="str">
        <f>IFERROR(__xludf.DUMMYFUNCTION("""COMPUTED_VALUE"""),"#N/A")</f>
        <v>#N/A</v>
      </c>
      <c r="B587" s="451" t="str">
        <f>IFERROR(__xludf.DUMMYFUNCTION("""COMPUTED_VALUE"""),"#N/A")</f>
        <v>#N/A</v>
      </c>
    </row>
    <row r="588">
      <c r="A588" t="str">
        <f>IFERROR(__xludf.DUMMYFUNCTION("""COMPUTED_VALUE"""),"#N/A")</f>
        <v>#N/A</v>
      </c>
      <c r="B588" s="451" t="str">
        <f>IFERROR(__xludf.DUMMYFUNCTION("""COMPUTED_VALUE"""),"#N/A")</f>
        <v>#N/A</v>
      </c>
    </row>
    <row r="589">
      <c r="A589" t="str">
        <f>IFERROR(__xludf.DUMMYFUNCTION("""COMPUTED_VALUE"""),"#N/A")</f>
        <v>#N/A</v>
      </c>
      <c r="B589" s="451" t="str">
        <f>IFERROR(__xludf.DUMMYFUNCTION("""COMPUTED_VALUE"""),"#N/A")</f>
        <v>#N/A</v>
      </c>
    </row>
    <row r="590">
      <c r="A590" t="str">
        <f>IFERROR(__xludf.DUMMYFUNCTION("""COMPUTED_VALUE"""),"#N/A")</f>
        <v>#N/A</v>
      </c>
      <c r="B590" s="451" t="str">
        <f>IFERROR(__xludf.DUMMYFUNCTION("""COMPUTED_VALUE"""),"#N/A")</f>
        <v>#N/A</v>
      </c>
    </row>
    <row r="591">
      <c r="A591" t="str">
        <f>IFERROR(__xludf.DUMMYFUNCTION("""COMPUTED_VALUE"""),"#N/A")</f>
        <v>#N/A</v>
      </c>
      <c r="B591" s="451" t="str">
        <f>IFERROR(__xludf.DUMMYFUNCTION("""COMPUTED_VALUE"""),"#N/A")</f>
        <v>#N/A</v>
      </c>
    </row>
    <row r="592">
      <c r="A592" t="str">
        <f>IFERROR(__xludf.DUMMYFUNCTION("""COMPUTED_VALUE"""),"#N/A")</f>
        <v>#N/A</v>
      </c>
      <c r="B592" s="451" t="str">
        <f>IFERROR(__xludf.DUMMYFUNCTION("""COMPUTED_VALUE"""),"#N/A")</f>
        <v>#N/A</v>
      </c>
    </row>
    <row r="593">
      <c r="A593" t="str">
        <f>IFERROR(__xludf.DUMMYFUNCTION("""COMPUTED_VALUE"""),"#N/A")</f>
        <v>#N/A</v>
      </c>
      <c r="B593" s="451" t="str">
        <f>IFERROR(__xludf.DUMMYFUNCTION("""COMPUTED_VALUE"""),"#N/A")</f>
        <v>#N/A</v>
      </c>
    </row>
    <row r="594">
      <c r="A594" t="str">
        <f>IFERROR(__xludf.DUMMYFUNCTION("""COMPUTED_VALUE"""),"#N/A")</f>
        <v>#N/A</v>
      </c>
      <c r="B594" s="451" t="str">
        <f>IFERROR(__xludf.DUMMYFUNCTION("""COMPUTED_VALUE"""),"#N/A")</f>
        <v>#N/A</v>
      </c>
    </row>
    <row r="595">
      <c r="A595" t="str">
        <f>IFERROR(__xludf.DUMMYFUNCTION("""COMPUTED_VALUE"""),"#N/A")</f>
        <v>#N/A</v>
      </c>
      <c r="B595" s="451" t="str">
        <f>IFERROR(__xludf.DUMMYFUNCTION("""COMPUTED_VALUE"""),"#N/A")</f>
        <v>#N/A</v>
      </c>
    </row>
    <row r="596">
      <c r="A596" t="str">
        <f>IFERROR(__xludf.DUMMYFUNCTION("""COMPUTED_VALUE"""),"#N/A")</f>
        <v>#N/A</v>
      </c>
      <c r="B596" s="451" t="str">
        <f>IFERROR(__xludf.DUMMYFUNCTION("""COMPUTED_VALUE"""),"#N/A")</f>
        <v>#N/A</v>
      </c>
    </row>
    <row r="597">
      <c r="A597" t="str">
        <f>IFERROR(__xludf.DUMMYFUNCTION("""COMPUTED_VALUE"""),"#N/A")</f>
        <v>#N/A</v>
      </c>
      <c r="B597" s="451" t="str">
        <f>IFERROR(__xludf.DUMMYFUNCTION("""COMPUTED_VALUE"""),"#N/A")</f>
        <v>#N/A</v>
      </c>
    </row>
    <row r="598">
      <c r="A598" t="str">
        <f>IFERROR(__xludf.DUMMYFUNCTION("""COMPUTED_VALUE"""),"#N/A")</f>
        <v>#N/A</v>
      </c>
      <c r="B598" s="451" t="str">
        <f>IFERROR(__xludf.DUMMYFUNCTION("""COMPUTED_VALUE"""),"#N/A")</f>
        <v>#N/A</v>
      </c>
    </row>
    <row r="599">
      <c r="A599" t="str">
        <f>IFERROR(__xludf.DUMMYFUNCTION("""COMPUTED_VALUE"""),"#N/A")</f>
        <v>#N/A</v>
      </c>
      <c r="B599" s="451" t="str">
        <f>IFERROR(__xludf.DUMMYFUNCTION("""COMPUTED_VALUE"""),"#N/A")</f>
        <v>#N/A</v>
      </c>
    </row>
    <row r="600">
      <c r="A600" t="str">
        <f>IFERROR(__xludf.DUMMYFUNCTION("""COMPUTED_VALUE"""),"#N/A")</f>
        <v>#N/A</v>
      </c>
      <c r="B600" s="451" t="str">
        <f>IFERROR(__xludf.DUMMYFUNCTION("""COMPUTED_VALUE"""),"#N/A")</f>
        <v>#N/A</v>
      </c>
    </row>
    <row r="601">
      <c r="A601" t="str">
        <f>IFERROR(__xludf.DUMMYFUNCTION("""COMPUTED_VALUE"""),"#N/A")</f>
        <v>#N/A</v>
      </c>
      <c r="B601" s="451" t="str">
        <f>IFERROR(__xludf.DUMMYFUNCTION("""COMPUTED_VALUE"""),"#N/A")</f>
        <v>#N/A</v>
      </c>
    </row>
    <row r="602">
      <c r="A602" t="str">
        <f>IFERROR(__xludf.DUMMYFUNCTION("""COMPUTED_VALUE"""),"#N/A")</f>
        <v>#N/A</v>
      </c>
      <c r="B602" s="451" t="str">
        <f>IFERROR(__xludf.DUMMYFUNCTION("""COMPUTED_VALUE"""),"#N/A")</f>
        <v>#N/A</v>
      </c>
    </row>
    <row r="603">
      <c r="A603" t="str">
        <f>IFERROR(__xludf.DUMMYFUNCTION("""COMPUTED_VALUE"""),"#N/A")</f>
        <v>#N/A</v>
      </c>
      <c r="B603" s="451" t="str">
        <f>IFERROR(__xludf.DUMMYFUNCTION("""COMPUTED_VALUE"""),"#N/A")</f>
        <v>#N/A</v>
      </c>
    </row>
    <row r="604">
      <c r="A604" t="str">
        <f>IFERROR(__xludf.DUMMYFUNCTION("""COMPUTED_VALUE"""),"#N/A")</f>
        <v>#N/A</v>
      </c>
      <c r="B604" s="451" t="str">
        <f>IFERROR(__xludf.DUMMYFUNCTION("""COMPUTED_VALUE"""),"#N/A")</f>
        <v>#N/A</v>
      </c>
    </row>
    <row r="605">
      <c r="A605" t="str">
        <f>IFERROR(__xludf.DUMMYFUNCTION("""COMPUTED_VALUE"""),"#N/A")</f>
        <v>#N/A</v>
      </c>
      <c r="B605" s="451" t="str">
        <f>IFERROR(__xludf.DUMMYFUNCTION("""COMPUTED_VALUE"""),"#N/A")</f>
        <v>#N/A</v>
      </c>
    </row>
    <row r="606">
      <c r="A606" t="str">
        <f>IFERROR(__xludf.DUMMYFUNCTION("""COMPUTED_VALUE"""),"#N/A")</f>
        <v>#N/A</v>
      </c>
      <c r="B606" s="451" t="str">
        <f>IFERROR(__xludf.DUMMYFUNCTION("""COMPUTED_VALUE"""),"#N/A")</f>
        <v>#N/A</v>
      </c>
    </row>
    <row r="607">
      <c r="A607" t="str">
        <f>IFERROR(__xludf.DUMMYFUNCTION("""COMPUTED_VALUE"""),"#N/A")</f>
        <v>#N/A</v>
      </c>
      <c r="B607" s="451" t="str">
        <f>IFERROR(__xludf.DUMMYFUNCTION("""COMPUTED_VALUE"""),"#N/A")</f>
        <v>#N/A</v>
      </c>
    </row>
    <row r="608">
      <c r="A608" t="str">
        <f>IFERROR(__xludf.DUMMYFUNCTION("""COMPUTED_VALUE"""),"#N/A")</f>
        <v>#N/A</v>
      </c>
      <c r="B608" s="451" t="str">
        <f>IFERROR(__xludf.DUMMYFUNCTION("""COMPUTED_VALUE"""),"#N/A")</f>
        <v>#N/A</v>
      </c>
    </row>
    <row r="609">
      <c r="A609" t="str">
        <f>IFERROR(__xludf.DUMMYFUNCTION("""COMPUTED_VALUE"""),"#N/A")</f>
        <v>#N/A</v>
      </c>
      <c r="B609" s="451" t="str">
        <f>IFERROR(__xludf.DUMMYFUNCTION("""COMPUTED_VALUE"""),"#N/A")</f>
        <v>#N/A</v>
      </c>
    </row>
    <row r="610">
      <c r="A610" t="str">
        <f>IFERROR(__xludf.DUMMYFUNCTION("""COMPUTED_VALUE"""),"#N/A")</f>
        <v>#N/A</v>
      </c>
      <c r="B610" s="451" t="str">
        <f>IFERROR(__xludf.DUMMYFUNCTION("""COMPUTED_VALUE"""),"#N/A")</f>
        <v>#N/A</v>
      </c>
    </row>
    <row r="611">
      <c r="A611" t="str">
        <f>IFERROR(__xludf.DUMMYFUNCTION("""COMPUTED_VALUE"""),"#N/A")</f>
        <v>#N/A</v>
      </c>
      <c r="B611" s="451" t="str">
        <f>IFERROR(__xludf.DUMMYFUNCTION("""COMPUTED_VALUE"""),"#N/A")</f>
        <v>#N/A</v>
      </c>
    </row>
    <row r="612">
      <c r="A612" t="str">
        <f>IFERROR(__xludf.DUMMYFUNCTION("""COMPUTED_VALUE"""),"#N/A")</f>
        <v>#N/A</v>
      </c>
      <c r="B612" s="451" t="str">
        <f>IFERROR(__xludf.DUMMYFUNCTION("""COMPUTED_VALUE"""),"#N/A")</f>
        <v>#N/A</v>
      </c>
    </row>
    <row r="613">
      <c r="A613" t="str">
        <f>IFERROR(__xludf.DUMMYFUNCTION("""COMPUTED_VALUE"""),"#N/A")</f>
        <v>#N/A</v>
      </c>
      <c r="B613" s="451" t="str">
        <f>IFERROR(__xludf.DUMMYFUNCTION("""COMPUTED_VALUE"""),"#N/A")</f>
        <v>#N/A</v>
      </c>
    </row>
    <row r="614">
      <c r="A614" t="str">
        <f>IFERROR(__xludf.DUMMYFUNCTION("""COMPUTED_VALUE"""),"#N/A")</f>
        <v>#N/A</v>
      </c>
      <c r="B614" s="451" t="str">
        <f>IFERROR(__xludf.DUMMYFUNCTION("""COMPUTED_VALUE"""),"#N/A")</f>
        <v>#N/A</v>
      </c>
    </row>
    <row r="615">
      <c r="A615" t="str">
        <f>IFERROR(__xludf.DUMMYFUNCTION("""COMPUTED_VALUE"""),"#N/A")</f>
        <v>#N/A</v>
      </c>
      <c r="B615" s="451" t="str">
        <f>IFERROR(__xludf.DUMMYFUNCTION("""COMPUTED_VALUE"""),"#N/A")</f>
        <v>#N/A</v>
      </c>
    </row>
    <row r="616">
      <c r="A616" t="str">
        <f>IFERROR(__xludf.DUMMYFUNCTION("""COMPUTED_VALUE"""),"#N/A")</f>
        <v>#N/A</v>
      </c>
      <c r="B616" s="451" t="str">
        <f>IFERROR(__xludf.DUMMYFUNCTION("""COMPUTED_VALUE"""),"#N/A")</f>
        <v>#N/A</v>
      </c>
    </row>
    <row r="617">
      <c r="A617" t="str">
        <f>IFERROR(__xludf.DUMMYFUNCTION("""COMPUTED_VALUE"""),"#N/A")</f>
        <v>#N/A</v>
      </c>
      <c r="B617" s="451" t="str">
        <f>IFERROR(__xludf.DUMMYFUNCTION("""COMPUTED_VALUE"""),"#N/A")</f>
        <v>#N/A</v>
      </c>
    </row>
    <row r="618">
      <c r="A618" t="str">
        <f>IFERROR(__xludf.DUMMYFUNCTION("""COMPUTED_VALUE"""),"#N/A")</f>
        <v>#N/A</v>
      </c>
      <c r="B618" s="451" t="str">
        <f>IFERROR(__xludf.DUMMYFUNCTION("""COMPUTED_VALUE"""),"#N/A")</f>
        <v>#N/A</v>
      </c>
    </row>
    <row r="619">
      <c r="A619" t="str">
        <f>IFERROR(__xludf.DUMMYFUNCTION("""COMPUTED_VALUE"""),"#N/A")</f>
        <v>#N/A</v>
      </c>
      <c r="B619" s="451" t="str">
        <f>IFERROR(__xludf.DUMMYFUNCTION("""COMPUTED_VALUE"""),"#N/A")</f>
        <v>#N/A</v>
      </c>
    </row>
    <row r="620">
      <c r="A620" t="str">
        <f>IFERROR(__xludf.DUMMYFUNCTION("""COMPUTED_VALUE"""),"#N/A")</f>
        <v>#N/A</v>
      </c>
      <c r="B620" s="451" t="str">
        <f>IFERROR(__xludf.DUMMYFUNCTION("""COMPUTED_VALUE"""),"#N/A")</f>
        <v>#N/A</v>
      </c>
    </row>
    <row r="621">
      <c r="A621" t="str">
        <f>IFERROR(__xludf.DUMMYFUNCTION("""COMPUTED_VALUE"""),"#N/A")</f>
        <v>#N/A</v>
      </c>
      <c r="B621" s="451" t="str">
        <f>IFERROR(__xludf.DUMMYFUNCTION("""COMPUTED_VALUE"""),"#N/A")</f>
        <v>#N/A</v>
      </c>
    </row>
    <row r="622">
      <c r="A622" t="str">
        <f>IFERROR(__xludf.DUMMYFUNCTION("""COMPUTED_VALUE"""),"#N/A")</f>
        <v>#N/A</v>
      </c>
      <c r="B622" s="451" t="str">
        <f>IFERROR(__xludf.DUMMYFUNCTION("""COMPUTED_VALUE"""),"#N/A")</f>
        <v>#N/A</v>
      </c>
    </row>
    <row r="623">
      <c r="A623" t="str">
        <f>IFERROR(__xludf.DUMMYFUNCTION("""COMPUTED_VALUE"""),"#N/A")</f>
        <v>#N/A</v>
      </c>
      <c r="B623" s="451" t="str">
        <f>IFERROR(__xludf.DUMMYFUNCTION("""COMPUTED_VALUE"""),"#N/A")</f>
        <v>#N/A</v>
      </c>
    </row>
    <row r="624">
      <c r="A624" t="str">
        <f>IFERROR(__xludf.DUMMYFUNCTION("""COMPUTED_VALUE"""),"#N/A")</f>
        <v>#N/A</v>
      </c>
      <c r="B624" s="451" t="str">
        <f>IFERROR(__xludf.DUMMYFUNCTION("""COMPUTED_VALUE"""),"#N/A")</f>
        <v>#N/A</v>
      </c>
    </row>
    <row r="625">
      <c r="A625" t="str">
        <f>IFERROR(__xludf.DUMMYFUNCTION("""COMPUTED_VALUE"""),"#N/A")</f>
        <v>#N/A</v>
      </c>
      <c r="B625" s="451" t="str">
        <f>IFERROR(__xludf.DUMMYFUNCTION("""COMPUTED_VALUE"""),"#N/A")</f>
        <v>#N/A</v>
      </c>
    </row>
    <row r="626">
      <c r="A626" t="str">
        <f>IFERROR(__xludf.DUMMYFUNCTION("""COMPUTED_VALUE"""),"#N/A")</f>
        <v>#N/A</v>
      </c>
      <c r="B626" s="451" t="str">
        <f>IFERROR(__xludf.DUMMYFUNCTION("""COMPUTED_VALUE"""),"#N/A")</f>
        <v>#N/A</v>
      </c>
    </row>
    <row r="627">
      <c r="A627" t="str">
        <f>IFERROR(__xludf.DUMMYFUNCTION("""COMPUTED_VALUE"""),"#N/A")</f>
        <v>#N/A</v>
      </c>
      <c r="B627" s="451" t="str">
        <f>IFERROR(__xludf.DUMMYFUNCTION("""COMPUTED_VALUE"""),"#N/A")</f>
        <v>#N/A</v>
      </c>
    </row>
    <row r="628">
      <c r="A628" t="str">
        <f>IFERROR(__xludf.DUMMYFUNCTION("""COMPUTED_VALUE"""),"#N/A")</f>
        <v>#N/A</v>
      </c>
      <c r="B628" s="451" t="str">
        <f>IFERROR(__xludf.DUMMYFUNCTION("""COMPUTED_VALUE"""),"#N/A")</f>
        <v>#N/A</v>
      </c>
    </row>
    <row r="629">
      <c r="A629" t="str">
        <f>IFERROR(__xludf.DUMMYFUNCTION("""COMPUTED_VALUE"""),"#N/A")</f>
        <v>#N/A</v>
      </c>
      <c r="B629" s="451" t="str">
        <f>IFERROR(__xludf.DUMMYFUNCTION("""COMPUTED_VALUE"""),"#N/A")</f>
        <v>#N/A</v>
      </c>
    </row>
    <row r="630">
      <c r="A630" t="str">
        <f>IFERROR(__xludf.DUMMYFUNCTION("""COMPUTED_VALUE"""),"#N/A")</f>
        <v>#N/A</v>
      </c>
      <c r="B630" s="451" t="str">
        <f>IFERROR(__xludf.DUMMYFUNCTION("""COMPUTED_VALUE"""),"#N/A")</f>
        <v>#N/A</v>
      </c>
    </row>
    <row r="631">
      <c r="A631" t="str">
        <f>IFERROR(__xludf.DUMMYFUNCTION("""COMPUTED_VALUE"""),"#N/A")</f>
        <v>#N/A</v>
      </c>
      <c r="B631" s="451" t="str">
        <f>IFERROR(__xludf.DUMMYFUNCTION("""COMPUTED_VALUE"""),"#N/A")</f>
        <v>#N/A</v>
      </c>
    </row>
    <row r="632">
      <c r="A632" t="str">
        <f>IFERROR(__xludf.DUMMYFUNCTION("""COMPUTED_VALUE"""),"#N/A")</f>
        <v>#N/A</v>
      </c>
      <c r="B632" s="451" t="str">
        <f>IFERROR(__xludf.DUMMYFUNCTION("""COMPUTED_VALUE"""),"#N/A")</f>
        <v>#N/A</v>
      </c>
    </row>
    <row r="633">
      <c r="A633" t="str">
        <f>IFERROR(__xludf.DUMMYFUNCTION("""COMPUTED_VALUE"""),"#N/A")</f>
        <v>#N/A</v>
      </c>
      <c r="B633" s="451" t="str">
        <f>IFERROR(__xludf.DUMMYFUNCTION("""COMPUTED_VALUE"""),"#N/A")</f>
        <v>#N/A</v>
      </c>
    </row>
    <row r="634">
      <c r="A634" t="str">
        <f>IFERROR(__xludf.DUMMYFUNCTION("""COMPUTED_VALUE"""),"#N/A")</f>
        <v>#N/A</v>
      </c>
      <c r="B634" s="451" t="str">
        <f>IFERROR(__xludf.DUMMYFUNCTION("""COMPUTED_VALUE"""),"#N/A")</f>
        <v>#N/A</v>
      </c>
    </row>
    <row r="635">
      <c r="A635" t="str">
        <f>IFERROR(__xludf.DUMMYFUNCTION("""COMPUTED_VALUE"""),"#N/A")</f>
        <v>#N/A</v>
      </c>
      <c r="B635" s="451" t="str">
        <f>IFERROR(__xludf.DUMMYFUNCTION("""COMPUTED_VALUE"""),"#N/A")</f>
        <v>#N/A</v>
      </c>
    </row>
    <row r="636">
      <c r="A636" t="str">
        <f>IFERROR(__xludf.DUMMYFUNCTION("""COMPUTED_VALUE"""),"#N/A")</f>
        <v>#N/A</v>
      </c>
      <c r="B636" s="451" t="str">
        <f>IFERROR(__xludf.DUMMYFUNCTION("""COMPUTED_VALUE"""),"#N/A")</f>
        <v>#N/A</v>
      </c>
    </row>
    <row r="637">
      <c r="A637" t="str">
        <f>IFERROR(__xludf.DUMMYFUNCTION("""COMPUTED_VALUE"""),"#N/A")</f>
        <v>#N/A</v>
      </c>
      <c r="B637" s="451" t="str">
        <f>IFERROR(__xludf.DUMMYFUNCTION("""COMPUTED_VALUE"""),"#N/A")</f>
        <v>#N/A</v>
      </c>
    </row>
    <row r="638">
      <c r="A638" t="str">
        <f>IFERROR(__xludf.DUMMYFUNCTION("""COMPUTED_VALUE"""),"#N/A")</f>
        <v>#N/A</v>
      </c>
      <c r="B638" s="451" t="str">
        <f>IFERROR(__xludf.DUMMYFUNCTION("""COMPUTED_VALUE"""),"#N/A")</f>
        <v>#N/A</v>
      </c>
    </row>
    <row r="639">
      <c r="A639" t="str">
        <f>IFERROR(__xludf.DUMMYFUNCTION("""COMPUTED_VALUE"""),"#N/A")</f>
        <v>#N/A</v>
      </c>
      <c r="B639" s="451" t="str">
        <f>IFERROR(__xludf.DUMMYFUNCTION("""COMPUTED_VALUE"""),"#N/A")</f>
        <v>#N/A</v>
      </c>
    </row>
    <row r="640">
      <c r="A640" t="str">
        <f>IFERROR(__xludf.DUMMYFUNCTION("""COMPUTED_VALUE"""),"#N/A")</f>
        <v>#N/A</v>
      </c>
      <c r="B640" s="451" t="str">
        <f>IFERROR(__xludf.DUMMYFUNCTION("""COMPUTED_VALUE"""),"#N/A")</f>
        <v>#N/A</v>
      </c>
    </row>
    <row r="641">
      <c r="A641" t="str">
        <f>IFERROR(__xludf.DUMMYFUNCTION("""COMPUTED_VALUE"""),"#N/A")</f>
        <v>#N/A</v>
      </c>
      <c r="B641" s="451" t="str">
        <f>IFERROR(__xludf.DUMMYFUNCTION("""COMPUTED_VALUE"""),"#N/A")</f>
        <v>#N/A</v>
      </c>
    </row>
    <row r="642">
      <c r="A642" t="str">
        <f>IFERROR(__xludf.DUMMYFUNCTION("""COMPUTED_VALUE"""),"#N/A")</f>
        <v>#N/A</v>
      </c>
      <c r="B642" s="451" t="str">
        <f>IFERROR(__xludf.DUMMYFUNCTION("""COMPUTED_VALUE"""),"#N/A")</f>
        <v>#N/A</v>
      </c>
    </row>
    <row r="643">
      <c r="A643" t="str">
        <f>IFERROR(__xludf.DUMMYFUNCTION("""COMPUTED_VALUE"""),"#N/A")</f>
        <v>#N/A</v>
      </c>
      <c r="B643" s="451" t="str">
        <f>IFERROR(__xludf.DUMMYFUNCTION("""COMPUTED_VALUE"""),"#N/A")</f>
        <v>#N/A</v>
      </c>
    </row>
    <row r="644">
      <c r="A644" t="str">
        <f>IFERROR(__xludf.DUMMYFUNCTION("""COMPUTED_VALUE"""),"#N/A")</f>
        <v>#N/A</v>
      </c>
      <c r="B644" s="451" t="str">
        <f>IFERROR(__xludf.DUMMYFUNCTION("""COMPUTED_VALUE"""),"#N/A")</f>
        <v>#N/A</v>
      </c>
    </row>
    <row r="645">
      <c r="A645" t="str">
        <f>IFERROR(__xludf.DUMMYFUNCTION("""COMPUTED_VALUE"""),"#N/A")</f>
        <v>#N/A</v>
      </c>
      <c r="B645" s="451" t="str">
        <f>IFERROR(__xludf.DUMMYFUNCTION("""COMPUTED_VALUE"""),"#N/A")</f>
        <v>#N/A</v>
      </c>
    </row>
    <row r="646">
      <c r="A646" t="str">
        <f>IFERROR(__xludf.DUMMYFUNCTION("""COMPUTED_VALUE"""),"#N/A")</f>
        <v>#N/A</v>
      </c>
      <c r="B646" s="451" t="str">
        <f>IFERROR(__xludf.DUMMYFUNCTION("""COMPUTED_VALUE"""),"#N/A")</f>
        <v>#N/A</v>
      </c>
    </row>
    <row r="647">
      <c r="A647" t="str">
        <f>IFERROR(__xludf.DUMMYFUNCTION("""COMPUTED_VALUE"""),"#N/A")</f>
        <v>#N/A</v>
      </c>
      <c r="B647" s="451" t="str">
        <f>IFERROR(__xludf.DUMMYFUNCTION("""COMPUTED_VALUE"""),"#N/A")</f>
        <v>#N/A</v>
      </c>
    </row>
    <row r="648">
      <c r="A648" t="str">
        <f>IFERROR(__xludf.DUMMYFUNCTION("""COMPUTED_VALUE"""),"#N/A")</f>
        <v>#N/A</v>
      </c>
      <c r="B648" s="451" t="str">
        <f>IFERROR(__xludf.DUMMYFUNCTION("""COMPUTED_VALUE"""),"#N/A")</f>
        <v>#N/A</v>
      </c>
    </row>
    <row r="649">
      <c r="A649" t="str">
        <f>IFERROR(__xludf.DUMMYFUNCTION("""COMPUTED_VALUE"""),"#N/A")</f>
        <v>#N/A</v>
      </c>
      <c r="B649" s="451" t="str">
        <f>IFERROR(__xludf.DUMMYFUNCTION("""COMPUTED_VALUE"""),"#N/A")</f>
        <v>#N/A</v>
      </c>
    </row>
    <row r="650">
      <c r="A650" t="str">
        <f>IFERROR(__xludf.DUMMYFUNCTION("""COMPUTED_VALUE"""),"#N/A")</f>
        <v>#N/A</v>
      </c>
      <c r="B650" s="451" t="str">
        <f>IFERROR(__xludf.DUMMYFUNCTION("""COMPUTED_VALUE"""),"#N/A")</f>
        <v>#N/A</v>
      </c>
    </row>
    <row r="651">
      <c r="A651" t="str">
        <f>IFERROR(__xludf.DUMMYFUNCTION("""COMPUTED_VALUE"""),"#N/A")</f>
        <v>#N/A</v>
      </c>
      <c r="B651" s="451" t="str">
        <f>IFERROR(__xludf.DUMMYFUNCTION("""COMPUTED_VALUE"""),"#N/A")</f>
        <v>#N/A</v>
      </c>
    </row>
    <row r="652">
      <c r="A652" t="str">
        <f>IFERROR(__xludf.DUMMYFUNCTION("""COMPUTED_VALUE"""),"#N/A")</f>
        <v>#N/A</v>
      </c>
      <c r="B652" s="451" t="str">
        <f>IFERROR(__xludf.DUMMYFUNCTION("""COMPUTED_VALUE"""),"#N/A")</f>
        <v>#N/A</v>
      </c>
    </row>
    <row r="653">
      <c r="A653" t="str">
        <f>IFERROR(__xludf.DUMMYFUNCTION("""COMPUTED_VALUE"""),"#N/A")</f>
        <v>#N/A</v>
      </c>
      <c r="B653" s="451" t="str">
        <f>IFERROR(__xludf.DUMMYFUNCTION("""COMPUTED_VALUE"""),"#N/A")</f>
        <v>#N/A</v>
      </c>
    </row>
    <row r="654">
      <c r="A654" t="str">
        <f>IFERROR(__xludf.DUMMYFUNCTION("""COMPUTED_VALUE"""),"#N/A")</f>
        <v>#N/A</v>
      </c>
      <c r="B654" s="451" t="str">
        <f>IFERROR(__xludf.DUMMYFUNCTION("""COMPUTED_VALUE"""),"#N/A")</f>
        <v>#N/A</v>
      </c>
    </row>
    <row r="655">
      <c r="A655" t="str">
        <f>IFERROR(__xludf.DUMMYFUNCTION("""COMPUTED_VALUE"""),"#N/A")</f>
        <v>#N/A</v>
      </c>
      <c r="B655" s="451" t="str">
        <f>IFERROR(__xludf.DUMMYFUNCTION("""COMPUTED_VALUE"""),"#N/A")</f>
        <v>#N/A</v>
      </c>
    </row>
    <row r="656">
      <c r="A656" t="str">
        <f>IFERROR(__xludf.DUMMYFUNCTION("""COMPUTED_VALUE"""),"#N/A")</f>
        <v>#N/A</v>
      </c>
      <c r="B656" s="451" t="str">
        <f>IFERROR(__xludf.DUMMYFUNCTION("""COMPUTED_VALUE"""),"#N/A")</f>
        <v>#N/A</v>
      </c>
    </row>
    <row r="657">
      <c r="A657" t="str">
        <f>IFERROR(__xludf.DUMMYFUNCTION("""COMPUTED_VALUE"""),"#N/A")</f>
        <v>#N/A</v>
      </c>
      <c r="B657" s="451" t="str">
        <f>IFERROR(__xludf.DUMMYFUNCTION("""COMPUTED_VALUE"""),"#N/A")</f>
        <v>#N/A</v>
      </c>
    </row>
    <row r="658">
      <c r="A658" t="str">
        <f>IFERROR(__xludf.DUMMYFUNCTION("""COMPUTED_VALUE"""),"#N/A")</f>
        <v>#N/A</v>
      </c>
      <c r="B658" s="451" t="str">
        <f>IFERROR(__xludf.DUMMYFUNCTION("""COMPUTED_VALUE"""),"#N/A")</f>
        <v>#N/A</v>
      </c>
    </row>
    <row r="659">
      <c r="A659" t="str">
        <f>IFERROR(__xludf.DUMMYFUNCTION("""COMPUTED_VALUE"""),"#N/A")</f>
        <v>#N/A</v>
      </c>
      <c r="B659" s="451" t="str">
        <f>IFERROR(__xludf.DUMMYFUNCTION("""COMPUTED_VALUE"""),"#N/A")</f>
        <v>#N/A</v>
      </c>
    </row>
    <row r="660">
      <c r="A660" t="str">
        <f>IFERROR(__xludf.DUMMYFUNCTION("""COMPUTED_VALUE"""),"#N/A")</f>
        <v>#N/A</v>
      </c>
      <c r="B660" s="451" t="str">
        <f>IFERROR(__xludf.DUMMYFUNCTION("""COMPUTED_VALUE"""),"#N/A")</f>
        <v>#N/A</v>
      </c>
    </row>
    <row r="661">
      <c r="A661" t="str">
        <f>IFERROR(__xludf.DUMMYFUNCTION("""COMPUTED_VALUE"""),"#N/A")</f>
        <v>#N/A</v>
      </c>
      <c r="B661" s="451" t="str">
        <f>IFERROR(__xludf.DUMMYFUNCTION("""COMPUTED_VALUE"""),"#N/A")</f>
        <v>#N/A</v>
      </c>
    </row>
    <row r="662">
      <c r="A662" t="str">
        <f>IFERROR(__xludf.DUMMYFUNCTION("""COMPUTED_VALUE"""),"#N/A")</f>
        <v>#N/A</v>
      </c>
      <c r="B662" s="451" t="str">
        <f>IFERROR(__xludf.DUMMYFUNCTION("""COMPUTED_VALUE"""),"#N/A")</f>
        <v>#N/A</v>
      </c>
    </row>
    <row r="663">
      <c r="A663" t="str">
        <f>IFERROR(__xludf.DUMMYFUNCTION("""COMPUTED_VALUE"""),"#N/A")</f>
        <v>#N/A</v>
      </c>
      <c r="B663" s="451" t="str">
        <f>IFERROR(__xludf.DUMMYFUNCTION("""COMPUTED_VALUE"""),"#N/A")</f>
        <v>#N/A</v>
      </c>
    </row>
    <row r="664">
      <c r="A664" t="str">
        <f>IFERROR(__xludf.DUMMYFUNCTION("""COMPUTED_VALUE"""),"#N/A")</f>
        <v>#N/A</v>
      </c>
      <c r="B664" s="451" t="str">
        <f>IFERROR(__xludf.DUMMYFUNCTION("""COMPUTED_VALUE"""),"#N/A")</f>
        <v>#N/A</v>
      </c>
    </row>
    <row r="665">
      <c r="A665" t="str">
        <f>IFERROR(__xludf.DUMMYFUNCTION("""COMPUTED_VALUE"""),"#N/A")</f>
        <v>#N/A</v>
      </c>
      <c r="B665" s="451" t="str">
        <f>IFERROR(__xludf.DUMMYFUNCTION("""COMPUTED_VALUE"""),"#N/A")</f>
        <v>#N/A</v>
      </c>
    </row>
    <row r="666">
      <c r="A666" t="str">
        <f>IFERROR(__xludf.DUMMYFUNCTION("""COMPUTED_VALUE"""),"#N/A")</f>
        <v>#N/A</v>
      </c>
      <c r="B666" s="451" t="str">
        <f>IFERROR(__xludf.DUMMYFUNCTION("""COMPUTED_VALUE"""),"#N/A")</f>
        <v>#N/A</v>
      </c>
    </row>
    <row r="667">
      <c r="A667" t="str">
        <f>IFERROR(__xludf.DUMMYFUNCTION("""COMPUTED_VALUE"""),"#N/A")</f>
        <v>#N/A</v>
      </c>
      <c r="B667" s="451" t="str">
        <f>IFERROR(__xludf.DUMMYFUNCTION("""COMPUTED_VALUE"""),"#N/A")</f>
        <v>#N/A</v>
      </c>
    </row>
    <row r="668">
      <c r="A668" t="str">
        <f>IFERROR(__xludf.DUMMYFUNCTION("""COMPUTED_VALUE"""),"#N/A")</f>
        <v>#N/A</v>
      </c>
      <c r="B668" s="451" t="str">
        <f>IFERROR(__xludf.DUMMYFUNCTION("""COMPUTED_VALUE"""),"#N/A")</f>
        <v>#N/A</v>
      </c>
    </row>
    <row r="669">
      <c r="A669" t="str">
        <f>IFERROR(__xludf.DUMMYFUNCTION("""COMPUTED_VALUE"""),"#N/A")</f>
        <v>#N/A</v>
      </c>
      <c r="B669" s="451" t="str">
        <f>IFERROR(__xludf.DUMMYFUNCTION("""COMPUTED_VALUE"""),"#N/A")</f>
        <v>#N/A</v>
      </c>
    </row>
    <row r="670">
      <c r="A670" t="str">
        <f>IFERROR(__xludf.DUMMYFUNCTION("""COMPUTED_VALUE"""),"#N/A")</f>
        <v>#N/A</v>
      </c>
      <c r="B670" s="451" t="str">
        <f>IFERROR(__xludf.DUMMYFUNCTION("""COMPUTED_VALUE"""),"#N/A")</f>
        <v>#N/A</v>
      </c>
    </row>
    <row r="671">
      <c r="A671" t="str">
        <f>IFERROR(__xludf.DUMMYFUNCTION("""COMPUTED_VALUE"""),"#N/A")</f>
        <v>#N/A</v>
      </c>
      <c r="B671" s="451" t="str">
        <f>IFERROR(__xludf.DUMMYFUNCTION("""COMPUTED_VALUE"""),"#N/A")</f>
        <v>#N/A</v>
      </c>
    </row>
    <row r="672">
      <c r="A672" t="str">
        <f>IFERROR(__xludf.DUMMYFUNCTION("""COMPUTED_VALUE"""),"#N/A")</f>
        <v>#N/A</v>
      </c>
      <c r="B672" s="451" t="str">
        <f>IFERROR(__xludf.DUMMYFUNCTION("""COMPUTED_VALUE"""),"#N/A")</f>
        <v>#N/A</v>
      </c>
    </row>
    <row r="673">
      <c r="A673" t="str">
        <f>IFERROR(__xludf.DUMMYFUNCTION("""COMPUTED_VALUE"""),"#N/A")</f>
        <v>#N/A</v>
      </c>
      <c r="B673" s="451" t="str">
        <f>IFERROR(__xludf.DUMMYFUNCTION("""COMPUTED_VALUE"""),"#N/A")</f>
        <v>#N/A</v>
      </c>
    </row>
    <row r="674">
      <c r="A674" t="str">
        <f>IFERROR(__xludf.DUMMYFUNCTION("""COMPUTED_VALUE"""),"#N/A")</f>
        <v>#N/A</v>
      </c>
      <c r="B674" s="451" t="str">
        <f>IFERROR(__xludf.DUMMYFUNCTION("""COMPUTED_VALUE"""),"#N/A")</f>
        <v>#N/A</v>
      </c>
    </row>
    <row r="675">
      <c r="A675" t="str">
        <f>IFERROR(__xludf.DUMMYFUNCTION("""COMPUTED_VALUE"""),"#N/A")</f>
        <v>#N/A</v>
      </c>
      <c r="B675" s="451" t="str">
        <f>IFERROR(__xludf.DUMMYFUNCTION("""COMPUTED_VALUE"""),"#N/A")</f>
        <v>#N/A</v>
      </c>
    </row>
    <row r="676">
      <c r="A676" t="str">
        <f>IFERROR(__xludf.DUMMYFUNCTION("""COMPUTED_VALUE"""),"#N/A")</f>
        <v>#N/A</v>
      </c>
      <c r="B676" s="451" t="str">
        <f>IFERROR(__xludf.DUMMYFUNCTION("""COMPUTED_VALUE"""),"#N/A")</f>
        <v>#N/A</v>
      </c>
    </row>
    <row r="677">
      <c r="A677" t="str">
        <f>IFERROR(__xludf.DUMMYFUNCTION("""COMPUTED_VALUE"""),"#N/A")</f>
        <v>#N/A</v>
      </c>
      <c r="B677" s="451" t="str">
        <f>IFERROR(__xludf.DUMMYFUNCTION("""COMPUTED_VALUE"""),"#N/A")</f>
        <v>#N/A</v>
      </c>
    </row>
    <row r="678">
      <c r="A678" t="str">
        <f>IFERROR(__xludf.DUMMYFUNCTION("""COMPUTED_VALUE"""),"#N/A")</f>
        <v>#N/A</v>
      </c>
      <c r="B678" s="451" t="str">
        <f>IFERROR(__xludf.DUMMYFUNCTION("""COMPUTED_VALUE"""),"#N/A")</f>
        <v>#N/A</v>
      </c>
    </row>
    <row r="679">
      <c r="A679" t="str">
        <f>IFERROR(__xludf.DUMMYFUNCTION("""COMPUTED_VALUE"""),"#N/A")</f>
        <v>#N/A</v>
      </c>
      <c r="B679" s="451" t="str">
        <f>IFERROR(__xludf.DUMMYFUNCTION("""COMPUTED_VALUE"""),"#N/A")</f>
        <v>#N/A</v>
      </c>
    </row>
    <row r="680">
      <c r="A680" t="str">
        <f>IFERROR(__xludf.DUMMYFUNCTION("""COMPUTED_VALUE"""),"#N/A")</f>
        <v>#N/A</v>
      </c>
      <c r="B680" s="451" t="str">
        <f>IFERROR(__xludf.DUMMYFUNCTION("""COMPUTED_VALUE"""),"#N/A")</f>
        <v>#N/A</v>
      </c>
    </row>
    <row r="681">
      <c r="A681" t="str">
        <f>IFERROR(__xludf.DUMMYFUNCTION("""COMPUTED_VALUE"""),"#N/A")</f>
        <v>#N/A</v>
      </c>
      <c r="B681" s="451" t="str">
        <f>IFERROR(__xludf.DUMMYFUNCTION("""COMPUTED_VALUE"""),"#N/A")</f>
        <v>#N/A</v>
      </c>
    </row>
    <row r="682">
      <c r="A682" t="str">
        <f>IFERROR(__xludf.DUMMYFUNCTION("""COMPUTED_VALUE"""),"#N/A")</f>
        <v>#N/A</v>
      </c>
      <c r="B682" s="451" t="str">
        <f>IFERROR(__xludf.DUMMYFUNCTION("""COMPUTED_VALUE"""),"#N/A")</f>
        <v>#N/A</v>
      </c>
    </row>
    <row r="683">
      <c r="A683" t="str">
        <f>IFERROR(__xludf.DUMMYFUNCTION("""COMPUTED_VALUE"""),"#N/A")</f>
        <v>#N/A</v>
      </c>
      <c r="B683" s="451" t="str">
        <f>IFERROR(__xludf.DUMMYFUNCTION("""COMPUTED_VALUE"""),"#N/A")</f>
        <v>#N/A</v>
      </c>
    </row>
    <row r="684">
      <c r="A684" t="str">
        <f>IFERROR(__xludf.DUMMYFUNCTION("""COMPUTED_VALUE"""),"#N/A")</f>
        <v>#N/A</v>
      </c>
      <c r="B684" s="451" t="str">
        <f>IFERROR(__xludf.DUMMYFUNCTION("""COMPUTED_VALUE"""),"#N/A")</f>
        <v>#N/A</v>
      </c>
    </row>
    <row r="685">
      <c r="A685" t="str">
        <f>IFERROR(__xludf.DUMMYFUNCTION("""COMPUTED_VALUE"""),"#N/A")</f>
        <v>#N/A</v>
      </c>
      <c r="B685" s="451" t="str">
        <f>IFERROR(__xludf.DUMMYFUNCTION("""COMPUTED_VALUE"""),"#N/A")</f>
        <v>#N/A</v>
      </c>
    </row>
    <row r="686">
      <c r="A686" t="str">
        <f>IFERROR(__xludf.DUMMYFUNCTION("""COMPUTED_VALUE"""),"#N/A")</f>
        <v>#N/A</v>
      </c>
      <c r="B686" s="451" t="str">
        <f>IFERROR(__xludf.DUMMYFUNCTION("""COMPUTED_VALUE"""),"#N/A")</f>
        <v>#N/A</v>
      </c>
    </row>
    <row r="687">
      <c r="A687" t="str">
        <f>IFERROR(__xludf.DUMMYFUNCTION("""COMPUTED_VALUE"""),"#N/A")</f>
        <v>#N/A</v>
      </c>
      <c r="B687" s="451" t="str">
        <f>IFERROR(__xludf.DUMMYFUNCTION("""COMPUTED_VALUE"""),"#N/A")</f>
        <v>#N/A</v>
      </c>
    </row>
    <row r="688">
      <c r="A688" t="str">
        <f>IFERROR(__xludf.DUMMYFUNCTION("""COMPUTED_VALUE"""),"#N/A")</f>
        <v>#N/A</v>
      </c>
      <c r="B688" s="451" t="str">
        <f>IFERROR(__xludf.DUMMYFUNCTION("""COMPUTED_VALUE"""),"#N/A")</f>
        <v>#N/A</v>
      </c>
    </row>
    <row r="689">
      <c r="A689" t="str">
        <f>IFERROR(__xludf.DUMMYFUNCTION("""COMPUTED_VALUE"""),"#N/A")</f>
        <v>#N/A</v>
      </c>
      <c r="B689" s="451" t="str">
        <f>IFERROR(__xludf.DUMMYFUNCTION("""COMPUTED_VALUE"""),"#N/A")</f>
        <v>#N/A</v>
      </c>
    </row>
    <row r="690">
      <c r="A690" t="str">
        <f>IFERROR(__xludf.DUMMYFUNCTION("""COMPUTED_VALUE"""),"#N/A")</f>
        <v>#N/A</v>
      </c>
      <c r="B690" s="451" t="str">
        <f>IFERROR(__xludf.DUMMYFUNCTION("""COMPUTED_VALUE"""),"#N/A")</f>
        <v>#N/A</v>
      </c>
    </row>
    <row r="691">
      <c r="A691" t="str">
        <f>IFERROR(__xludf.DUMMYFUNCTION("""COMPUTED_VALUE"""),"#N/A")</f>
        <v>#N/A</v>
      </c>
      <c r="B691" s="451" t="str">
        <f>IFERROR(__xludf.DUMMYFUNCTION("""COMPUTED_VALUE"""),"#N/A")</f>
        <v>#N/A</v>
      </c>
    </row>
    <row r="692">
      <c r="A692" t="str">
        <f>IFERROR(__xludf.DUMMYFUNCTION("""COMPUTED_VALUE"""),"#N/A")</f>
        <v>#N/A</v>
      </c>
      <c r="B692" s="451" t="str">
        <f>IFERROR(__xludf.DUMMYFUNCTION("""COMPUTED_VALUE"""),"#N/A")</f>
        <v>#N/A</v>
      </c>
    </row>
    <row r="693">
      <c r="A693" t="str">
        <f>IFERROR(__xludf.DUMMYFUNCTION("""COMPUTED_VALUE"""),"#N/A")</f>
        <v>#N/A</v>
      </c>
      <c r="B693" s="451" t="str">
        <f>IFERROR(__xludf.DUMMYFUNCTION("""COMPUTED_VALUE"""),"#N/A")</f>
        <v>#N/A</v>
      </c>
    </row>
    <row r="694">
      <c r="A694" t="str">
        <f>IFERROR(__xludf.DUMMYFUNCTION("""COMPUTED_VALUE"""),"#N/A")</f>
        <v>#N/A</v>
      </c>
      <c r="B694" s="451" t="str">
        <f>IFERROR(__xludf.DUMMYFUNCTION("""COMPUTED_VALUE"""),"#N/A")</f>
        <v>#N/A</v>
      </c>
    </row>
    <row r="695">
      <c r="A695" t="str">
        <f>IFERROR(__xludf.DUMMYFUNCTION("""COMPUTED_VALUE"""),"#N/A")</f>
        <v>#N/A</v>
      </c>
      <c r="B695" s="451" t="str">
        <f>IFERROR(__xludf.DUMMYFUNCTION("""COMPUTED_VALUE"""),"#N/A")</f>
        <v>#N/A</v>
      </c>
    </row>
    <row r="696">
      <c r="A696" t="str">
        <f>IFERROR(__xludf.DUMMYFUNCTION("""COMPUTED_VALUE"""),"#N/A")</f>
        <v>#N/A</v>
      </c>
      <c r="B696" s="451" t="str">
        <f>IFERROR(__xludf.DUMMYFUNCTION("""COMPUTED_VALUE"""),"#N/A")</f>
        <v>#N/A</v>
      </c>
    </row>
    <row r="697">
      <c r="A697" t="str">
        <f>IFERROR(__xludf.DUMMYFUNCTION("""COMPUTED_VALUE"""),"#N/A")</f>
        <v>#N/A</v>
      </c>
      <c r="B697" s="451" t="str">
        <f>IFERROR(__xludf.DUMMYFUNCTION("""COMPUTED_VALUE"""),"#N/A")</f>
        <v>#N/A</v>
      </c>
    </row>
    <row r="698">
      <c r="A698" t="str">
        <f>IFERROR(__xludf.DUMMYFUNCTION("""COMPUTED_VALUE"""),"#N/A")</f>
        <v>#N/A</v>
      </c>
      <c r="B698" s="451" t="str">
        <f>IFERROR(__xludf.DUMMYFUNCTION("""COMPUTED_VALUE"""),"#N/A")</f>
        <v>#N/A</v>
      </c>
    </row>
    <row r="699">
      <c r="A699" t="str">
        <f>IFERROR(__xludf.DUMMYFUNCTION("""COMPUTED_VALUE"""),"#N/A")</f>
        <v>#N/A</v>
      </c>
      <c r="B699" s="451" t="str">
        <f>IFERROR(__xludf.DUMMYFUNCTION("""COMPUTED_VALUE"""),"#N/A")</f>
        <v>#N/A</v>
      </c>
    </row>
    <row r="700">
      <c r="A700" t="str">
        <f>IFERROR(__xludf.DUMMYFUNCTION("""COMPUTED_VALUE"""),"#N/A")</f>
        <v>#N/A</v>
      </c>
      <c r="B700" s="451" t="str">
        <f>IFERROR(__xludf.DUMMYFUNCTION("""COMPUTED_VALUE"""),"#N/A")</f>
        <v>#N/A</v>
      </c>
    </row>
    <row r="701">
      <c r="A701" t="str">
        <f>IFERROR(__xludf.DUMMYFUNCTION("""COMPUTED_VALUE"""),"#N/A")</f>
        <v>#N/A</v>
      </c>
      <c r="B701" s="451" t="str">
        <f>IFERROR(__xludf.DUMMYFUNCTION("""COMPUTED_VALUE"""),"#N/A")</f>
        <v>#N/A</v>
      </c>
    </row>
    <row r="702">
      <c r="A702" t="str">
        <f>IFERROR(__xludf.DUMMYFUNCTION("""COMPUTED_VALUE"""),"#N/A")</f>
        <v>#N/A</v>
      </c>
      <c r="B702" s="451" t="str">
        <f>IFERROR(__xludf.DUMMYFUNCTION("""COMPUTED_VALUE"""),"#N/A")</f>
        <v>#N/A</v>
      </c>
    </row>
    <row r="703">
      <c r="A703" t="str">
        <f>IFERROR(__xludf.DUMMYFUNCTION("""COMPUTED_VALUE"""),"#N/A")</f>
        <v>#N/A</v>
      </c>
      <c r="B703" s="451" t="str">
        <f>IFERROR(__xludf.DUMMYFUNCTION("""COMPUTED_VALUE"""),"#N/A")</f>
        <v>#N/A</v>
      </c>
    </row>
    <row r="704">
      <c r="A704" t="str">
        <f>IFERROR(__xludf.DUMMYFUNCTION("""COMPUTED_VALUE"""),"#N/A")</f>
        <v>#N/A</v>
      </c>
      <c r="B704" s="451" t="str">
        <f>IFERROR(__xludf.DUMMYFUNCTION("""COMPUTED_VALUE"""),"#N/A")</f>
        <v>#N/A</v>
      </c>
    </row>
    <row r="705">
      <c r="A705" t="str">
        <f>IFERROR(__xludf.DUMMYFUNCTION("""COMPUTED_VALUE"""),"#N/A")</f>
        <v>#N/A</v>
      </c>
      <c r="B705" s="451" t="str">
        <f>IFERROR(__xludf.DUMMYFUNCTION("""COMPUTED_VALUE"""),"#N/A")</f>
        <v>#N/A</v>
      </c>
    </row>
    <row r="706">
      <c r="A706" t="str">
        <f>IFERROR(__xludf.DUMMYFUNCTION("""COMPUTED_VALUE"""),"#N/A")</f>
        <v>#N/A</v>
      </c>
      <c r="B706" s="451" t="str">
        <f>IFERROR(__xludf.DUMMYFUNCTION("""COMPUTED_VALUE"""),"#N/A")</f>
        <v>#N/A</v>
      </c>
    </row>
    <row r="707">
      <c r="A707" t="str">
        <f>IFERROR(__xludf.DUMMYFUNCTION("""COMPUTED_VALUE"""),"#N/A")</f>
        <v>#N/A</v>
      </c>
      <c r="B707" s="451" t="str">
        <f>IFERROR(__xludf.DUMMYFUNCTION("""COMPUTED_VALUE"""),"#N/A")</f>
        <v>#N/A</v>
      </c>
    </row>
    <row r="708">
      <c r="A708" t="str">
        <f>IFERROR(__xludf.DUMMYFUNCTION("""COMPUTED_VALUE"""),"#N/A")</f>
        <v>#N/A</v>
      </c>
      <c r="B708" s="451" t="str">
        <f>IFERROR(__xludf.DUMMYFUNCTION("""COMPUTED_VALUE"""),"#N/A")</f>
        <v>#N/A</v>
      </c>
    </row>
    <row r="709">
      <c r="A709" t="str">
        <f>IFERROR(__xludf.DUMMYFUNCTION("""COMPUTED_VALUE"""),"#N/A")</f>
        <v>#N/A</v>
      </c>
      <c r="B709" s="451" t="str">
        <f>IFERROR(__xludf.DUMMYFUNCTION("""COMPUTED_VALUE"""),"#N/A")</f>
        <v>#N/A</v>
      </c>
    </row>
    <row r="710">
      <c r="A710" t="str">
        <f>IFERROR(__xludf.DUMMYFUNCTION("""COMPUTED_VALUE"""),"#N/A")</f>
        <v>#N/A</v>
      </c>
      <c r="B710" s="451" t="str">
        <f>IFERROR(__xludf.DUMMYFUNCTION("""COMPUTED_VALUE"""),"#N/A")</f>
        <v>#N/A</v>
      </c>
    </row>
    <row r="711">
      <c r="A711" t="str">
        <f>IFERROR(__xludf.DUMMYFUNCTION("""COMPUTED_VALUE"""),"#N/A")</f>
        <v>#N/A</v>
      </c>
      <c r="B711" s="451" t="str">
        <f>IFERROR(__xludf.DUMMYFUNCTION("""COMPUTED_VALUE"""),"#N/A")</f>
        <v>#N/A</v>
      </c>
    </row>
    <row r="712">
      <c r="A712" t="str">
        <f>IFERROR(__xludf.DUMMYFUNCTION("""COMPUTED_VALUE"""),"#N/A")</f>
        <v>#N/A</v>
      </c>
      <c r="B712" s="451" t="str">
        <f>IFERROR(__xludf.DUMMYFUNCTION("""COMPUTED_VALUE"""),"#N/A")</f>
        <v>#N/A</v>
      </c>
    </row>
    <row r="713">
      <c r="A713" t="str">
        <f>IFERROR(__xludf.DUMMYFUNCTION("""COMPUTED_VALUE"""),"#N/A")</f>
        <v>#N/A</v>
      </c>
      <c r="B713" s="451" t="str">
        <f>IFERROR(__xludf.DUMMYFUNCTION("""COMPUTED_VALUE"""),"#N/A")</f>
        <v>#N/A</v>
      </c>
    </row>
    <row r="714">
      <c r="A714" t="str">
        <f>IFERROR(__xludf.DUMMYFUNCTION("""COMPUTED_VALUE"""),"#N/A")</f>
        <v>#N/A</v>
      </c>
      <c r="B714" s="451" t="str">
        <f>IFERROR(__xludf.DUMMYFUNCTION("""COMPUTED_VALUE"""),"#N/A")</f>
        <v>#N/A</v>
      </c>
    </row>
    <row r="715">
      <c r="A715" t="str">
        <f>IFERROR(__xludf.DUMMYFUNCTION("""COMPUTED_VALUE"""),"#N/A")</f>
        <v>#N/A</v>
      </c>
      <c r="B715" s="451" t="str">
        <f>IFERROR(__xludf.DUMMYFUNCTION("""COMPUTED_VALUE"""),"#N/A")</f>
        <v>#N/A</v>
      </c>
    </row>
    <row r="716">
      <c r="A716" t="str">
        <f>IFERROR(__xludf.DUMMYFUNCTION("""COMPUTED_VALUE"""),"#N/A")</f>
        <v>#N/A</v>
      </c>
      <c r="B716" s="451" t="str">
        <f>IFERROR(__xludf.DUMMYFUNCTION("""COMPUTED_VALUE"""),"#N/A")</f>
        <v>#N/A</v>
      </c>
    </row>
    <row r="717">
      <c r="A717" t="str">
        <f>IFERROR(__xludf.DUMMYFUNCTION("""COMPUTED_VALUE"""),"#N/A")</f>
        <v>#N/A</v>
      </c>
      <c r="B717" s="451" t="str">
        <f>IFERROR(__xludf.DUMMYFUNCTION("""COMPUTED_VALUE"""),"#N/A")</f>
        <v>#N/A</v>
      </c>
    </row>
    <row r="718">
      <c r="A718" t="str">
        <f>IFERROR(__xludf.DUMMYFUNCTION("""COMPUTED_VALUE"""),"#N/A")</f>
        <v>#N/A</v>
      </c>
      <c r="B718" s="451" t="str">
        <f>IFERROR(__xludf.DUMMYFUNCTION("""COMPUTED_VALUE"""),"#N/A")</f>
        <v>#N/A</v>
      </c>
    </row>
    <row r="719">
      <c r="A719" t="str">
        <f>IFERROR(__xludf.DUMMYFUNCTION("""COMPUTED_VALUE"""),"#N/A")</f>
        <v>#N/A</v>
      </c>
      <c r="B719" s="451" t="str">
        <f>IFERROR(__xludf.DUMMYFUNCTION("""COMPUTED_VALUE"""),"#N/A")</f>
        <v>#N/A</v>
      </c>
    </row>
    <row r="720">
      <c r="A720" t="str">
        <f>IFERROR(__xludf.DUMMYFUNCTION("""COMPUTED_VALUE"""),"#N/A")</f>
        <v>#N/A</v>
      </c>
      <c r="B720" s="451" t="str">
        <f>IFERROR(__xludf.DUMMYFUNCTION("""COMPUTED_VALUE"""),"#N/A")</f>
        <v>#N/A</v>
      </c>
    </row>
    <row r="721">
      <c r="A721" t="str">
        <f>IFERROR(__xludf.DUMMYFUNCTION("""COMPUTED_VALUE"""),"#N/A")</f>
        <v>#N/A</v>
      </c>
      <c r="B721" s="451" t="str">
        <f>IFERROR(__xludf.DUMMYFUNCTION("""COMPUTED_VALUE"""),"#N/A")</f>
        <v>#N/A</v>
      </c>
    </row>
    <row r="722">
      <c r="A722" t="str">
        <f>IFERROR(__xludf.DUMMYFUNCTION("""COMPUTED_VALUE"""),"#N/A")</f>
        <v>#N/A</v>
      </c>
      <c r="B722" s="451" t="str">
        <f>IFERROR(__xludf.DUMMYFUNCTION("""COMPUTED_VALUE"""),"#N/A")</f>
        <v>#N/A</v>
      </c>
    </row>
    <row r="723">
      <c r="A723" t="str">
        <f>IFERROR(__xludf.DUMMYFUNCTION("""COMPUTED_VALUE"""),"#N/A")</f>
        <v>#N/A</v>
      </c>
      <c r="B723" s="451" t="str">
        <f>IFERROR(__xludf.DUMMYFUNCTION("""COMPUTED_VALUE"""),"#N/A")</f>
        <v>#N/A</v>
      </c>
    </row>
    <row r="724">
      <c r="A724" t="str">
        <f>IFERROR(__xludf.DUMMYFUNCTION("""COMPUTED_VALUE"""),"#N/A")</f>
        <v>#N/A</v>
      </c>
      <c r="B724" s="451" t="str">
        <f>IFERROR(__xludf.DUMMYFUNCTION("""COMPUTED_VALUE"""),"#N/A")</f>
        <v>#N/A</v>
      </c>
    </row>
    <row r="725">
      <c r="A725" t="str">
        <f>IFERROR(__xludf.DUMMYFUNCTION("""COMPUTED_VALUE"""),"#N/A")</f>
        <v>#N/A</v>
      </c>
      <c r="B725" s="451" t="str">
        <f>IFERROR(__xludf.DUMMYFUNCTION("""COMPUTED_VALUE"""),"#N/A")</f>
        <v>#N/A</v>
      </c>
    </row>
    <row r="726">
      <c r="A726" t="str">
        <f>IFERROR(__xludf.DUMMYFUNCTION("""COMPUTED_VALUE"""),"#N/A")</f>
        <v>#N/A</v>
      </c>
      <c r="B726" s="451" t="str">
        <f>IFERROR(__xludf.DUMMYFUNCTION("""COMPUTED_VALUE"""),"#N/A")</f>
        <v>#N/A</v>
      </c>
    </row>
    <row r="727">
      <c r="A727" t="str">
        <f>IFERROR(__xludf.DUMMYFUNCTION("""COMPUTED_VALUE"""),"#N/A")</f>
        <v>#N/A</v>
      </c>
      <c r="B727" s="451" t="str">
        <f>IFERROR(__xludf.DUMMYFUNCTION("""COMPUTED_VALUE"""),"#N/A")</f>
        <v>#N/A</v>
      </c>
    </row>
    <row r="728">
      <c r="A728" t="str">
        <f>IFERROR(__xludf.DUMMYFUNCTION("""COMPUTED_VALUE"""),"#N/A")</f>
        <v>#N/A</v>
      </c>
      <c r="B728" s="451" t="str">
        <f>IFERROR(__xludf.DUMMYFUNCTION("""COMPUTED_VALUE"""),"#N/A")</f>
        <v>#N/A</v>
      </c>
    </row>
    <row r="729">
      <c r="A729" t="str">
        <f>IFERROR(__xludf.DUMMYFUNCTION("""COMPUTED_VALUE"""),"#N/A")</f>
        <v>#N/A</v>
      </c>
      <c r="B729" s="451" t="str">
        <f>IFERROR(__xludf.DUMMYFUNCTION("""COMPUTED_VALUE"""),"#N/A")</f>
        <v>#N/A</v>
      </c>
    </row>
    <row r="730">
      <c r="A730" t="str">
        <f>IFERROR(__xludf.DUMMYFUNCTION("""COMPUTED_VALUE"""),"#N/A")</f>
        <v>#N/A</v>
      </c>
      <c r="B730" s="451" t="str">
        <f>IFERROR(__xludf.DUMMYFUNCTION("""COMPUTED_VALUE"""),"#N/A")</f>
        <v>#N/A</v>
      </c>
    </row>
    <row r="731">
      <c r="A731" t="str">
        <f>IFERROR(__xludf.DUMMYFUNCTION("""COMPUTED_VALUE"""),"#N/A")</f>
        <v>#N/A</v>
      </c>
      <c r="B731" s="451" t="str">
        <f>IFERROR(__xludf.DUMMYFUNCTION("""COMPUTED_VALUE"""),"#N/A")</f>
        <v>#N/A</v>
      </c>
    </row>
    <row r="732">
      <c r="A732" t="str">
        <f>IFERROR(__xludf.DUMMYFUNCTION("""COMPUTED_VALUE"""),"#N/A")</f>
        <v>#N/A</v>
      </c>
      <c r="B732" s="451" t="str">
        <f>IFERROR(__xludf.DUMMYFUNCTION("""COMPUTED_VALUE"""),"#N/A")</f>
        <v>#N/A</v>
      </c>
    </row>
    <row r="733">
      <c r="A733" t="str">
        <f>IFERROR(__xludf.DUMMYFUNCTION("""COMPUTED_VALUE"""),"#N/A")</f>
        <v>#N/A</v>
      </c>
      <c r="B733" s="451" t="str">
        <f>IFERROR(__xludf.DUMMYFUNCTION("""COMPUTED_VALUE"""),"#N/A")</f>
        <v>#N/A</v>
      </c>
    </row>
    <row r="734">
      <c r="A734" t="str">
        <f>IFERROR(__xludf.DUMMYFUNCTION("""COMPUTED_VALUE"""),"#N/A")</f>
        <v>#N/A</v>
      </c>
      <c r="B734" s="451" t="str">
        <f>IFERROR(__xludf.DUMMYFUNCTION("""COMPUTED_VALUE"""),"#N/A")</f>
        <v>#N/A</v>
      </c>
    </row>
    <row r="735">
      <c r="A735" t="str">
        <f>IFERROR(__xludf.DUMMYFUNCTION("""COMPUTED_VALUE"""),"#N/A")</f>
        <v>#N/A</v>
      </c>
      <c r="B735" s="451" t="str">
        <f>IFERROR(__xludf.DUMMYFUNCTION("""COMPUTED_VALUE"""),"#N/A")</f>
        <v>#N/A</v>
      </c>
    </row>
    <row r="736">
      <c r="A736" t="str">
        <f>IFERROR(__xludf.DUMMYFUNCTION("""COMPUTED_VALUE"""),"#N/A")</f>
        <v>#N/A</v>
      </c>
      <c r="B736" s="451" t="str">
        <f>IFERROR(__xludf.DUMMYFUNCTION("""COMPUTED_VALUE"""),"#N/A")</f>
        <v>#N/A</v>
      </c>
    </row>
    <row r="737">
      <c r="A737" t="str">
        <f>IFERROR(__xludf.DUMMYFUNCTION("""COMPUTED_VALUE"""),"#N/A")</f>
        <v>#N/A</v>
      </c>
      <c r="B737" s="451" t="str">
        <f>IFERROR(__xludf.DUMMYFUNCTION("""COMPUTED_VALUE"""),"#N/A")</f>
        <v>#N/A</v>
      </c>
    </row>
    <row r="738">
      <c r="A738" t="str">
        <f>IFERROR(__xludf.DUMMYFUNCTION("""COMPUTED_VALUE"""),"#N/A")</f>
        <v>#N/A</v>
      </c>
      <c r="B738" s="451" t="str">
        <f>IFERROR(__xludf.DUMMYFUNCTION("""COMPUTED_VALUE"""),"#N/A")</f>
        <v>#N/A</v>
      </c>
    </row>
    <row r="739">
      <c r="A739" t="str">
        <f>IFERROR(__xludf.DUMMYFUNCTION("""COMPUTED_VALUE"""),"#N/A")</f>
        <v>#N/A</v>
      </c>
      <c r="B739" s="451" t="str">
        <f>IFERROR(__xludf.DUMMYFUNCTION("""COMPUTED_VALUE"""),"#N/A")</f>
        <v>#N/A</v>
      </c>
    </row>
    <row r="740">
      <c r="A740" t="str">
        <f>IFERROR(__xludf.DUMMYFUNCTION("""COMPUTED_VALUE"""),"#N/A")</f>
        <v>#N/A</v>
      </c>
      <c r="B740" s="451" t="str">
        <f>IFERROR(__xludf.DUMMYFUNCTION("""COMPUTED_VALUE"""),"#N/A")</f>
        <v>#N/A</v>
      </c>
    </row>
    <row r="741">
      <c r="A741" t="str">
        <f>IFERROR(__xludf.DUMMYFUNCTION("""COMPUTED_VALUE"""),"#N/A")</f>
        <v>#N/A</v>
      </c>
      <c r="B741" s="451" t="str">
        <f>IFERROR(__xludf.DUMMYFUNCTION("""COMPUTED_VALUE"""),"#N/A")</f>
        <v>#N/A</v>
      </c>
    </row>
    <row r="742">
      <c r="A742" t="str">
        <f>IFERROR(__xludf.DUMMYFUNCTION("""COMPUTED_VALUE"""),"#N/A")</f>
        <v>#N/A</v>
      </c>
      <c r="B742" s="451" t="str">
        <f>IFERROR(__xludf.DUMMYFUNCTION("""COMPUTED_VALUE"""),"#N/A")</f>
        <v>#N/A</v>
      </c>
    </row>
    <row r="743">
      <c r="A743" t="str">
        <f>IFERROR(__xludf.DUMMYFUNCTION("""COMPUTED_VALUE"""),"#N/A")</f>
        <v>#N/A</v>
      </c>
      <c r="B743" s="451" t="str">
        <f>IFERROR(__xludf.DUMMYFUNCTION("""COMPUTED_VALUE"""),"#N/A")</f>
        <v>#N/A</v>
      </c>
    </row>
    <row r="744">
      <c r="A744" t="str">
        <f>IFERROR(__xludf.DUMMYFUNCTION("""COMPUTED_VALUE"""),"#N/A")</f>
        <v>#N/A</v>
      </c>
      <c r="B744" s="451" t="str">
        <f>IFERROR(__xludf.DUMMYFUNCTION("""COMPUTED_VALUE"""),"#N/A")</f>
        <v>#N/A</v>
      </c>
    </row>
    <row r="745">
      <c r="A745" t="str">
        <f>IFERROR(__xludf.DUMMYFUNCTION("""COMPUTED_VALUE"""),"#N/A")</f>
        <v>#N/A</v>
      </c>
      <c r="B745" s="451" t="str">
        <f>IFERROR(__xludf.DUMMYFUNCTION("""COMPUTED_VALUE"""),"#N/A")</f>
        <v>#N/A</v>
      </c>
    </row>
    <row r="746">
      <c r="A746" t="str">
        <f>IFERROR(__xludf.DUMMYFUNCTION("""COMPUTED_VALUE"""),"#N/A")</f>
        <v>#N/A</v>
      </c>
      <c r="B746" s="451" t="str">
        <f>IFERROR(__xludf.DUMMYFUNCTION("""COMPUTED_VALUE"""),"#N/A")</f>
        <v>#N/A</v>
      </c>
    </row>
    <row r="747">
      <c r="A747" t="str">
        <f>IFERROR(__xludf.DUMMYFUNCTION("""COMPUTED_VALUE"""),"#N/A")</f>
        <v>#N/A</v>
      </c>
      <c r="B747" s="451" t="str">
        <f>IFERROR(__xludf.DUMMYFUNCTION("""COMPUTED_VALUE"""),"#N/A")</f>
        <v>#N/A</v>
      </c>
    </row>
    <row r="748">
      <c r="A748" t="str">
        <f>IFERROR(__xludf.DUMMYFUNCTION("""COMPUTED_VALUE"""),"#N/A")</f>
        <v>#N/A</v>
      </c>
      <c r="B748" s="451" t="str">
        <f>IFERROR(__xludf.DUMMYFUNCTION("""COMPUTED_VALUE"""),"#N/A")</f>
        <v>#N/A</v>
      </c>
    </row>
    <row r="749">
      <c r="A749" t="str">
        <f>IFERROR(__xludf.DUMMYFUNCTION("""COMPUTED_VALUE"""),"#N/A")</f>
        <v>#N/A</v>
      </c>
      <c r="B749" s="451" t="str">
        <f>IFERROR(__xludf.DUMMYFUNCTION("""COMPUTED_VALUE"""),"#N/A")</f>
        <v>#N/A</v>
      </c>
    </row>
    <row r="750">
      <c r="A750" t="str">
        <f>IFERROR(__xludf.DUMMYFUNCTION("""COMPUTED_VALUE"""),"#N/A")</f>
        <v>#N/A</v>
      </c>
      <c r="B750" s="451" t="str">
        <f>IFERROR(__xludf.DUMMYFUNCTION("""COMPUTED_VALUE"""),"#N/A")</f>
        <v>#N/A</v>
      </c>
    </row>
    <row r="751">
      <c r="A751" t="str">
        <f>IFERROR(__xludf.DUMMYFUNCTION("""COMPUTED_VALUE"""),"#N/A")</f>
        <v>#N/A</v>
      </c>
      <c r="B751" s="451" t="str">
        <f>IFERROR(__xludf.DUMMYFUNCTION("""COMPUTED_VALUE"""),"#N/A")</f>
        <v>#N/A</v>
      </c>
    </row>
    <row r="752">
      <c r="A752" t="str">
        <f>IFERROR(__xludf.DUMMYFUNCTION("""COMPUTED_VALUE"""),"#N/A")</f>
        <v>#N/A</v>
      </c>
      <c r="B752" s="451" t="str">
        <f>IFERROR(__xludf.DUMMYFUNCTION("""COMPUTED_VALUE"""),"#N/A")</f>
        <v>#N/A</v>
      </c>
    </row>
    <row r="753">
      <c r="A753" t="str">
        <f>IFERROR(__xludf.DUMMYFUNCTION("""COMPUTED_VALUE"""),"#N/A")</f>
        <v>#N/A</v>
      </c>
      <c r="B753" s="451" t="str">
        <f>IFERROR(__xludf.DUMMYFUNCTION("""COMPUTED_VALUE"""),"#N/A")</f>
        <v>#N/A</v>
      </c>
    </row>
    <row r="754">
      <c r="A754" t="str">
        <f>IFERROR(__xludf.DUMMYFUNCTION("""COMPUTED_VALUE"""),"#N/A")</f>
        <v>#N/A</v>
      </c>
      <c r="B754" s="451" t="str">
        <f>IFERROR(__xludf.DUMMYFUNCTION("""COMPUTED_VALUE"""),"#N/A")</f>
        <v>#N/A</v>
      </c>
    </row>
    <row r="755">
      <c r="A755" t="str">
        <f>IFERROR(__xludf.DUMMYFUNCTION("""COMPUTED_VALUE"""),"#N/A")</f>
        <v>#N/A</v>
      </c>
      <c r="B755" s="451" t="str">
        <f>IFERROR(__xludf.DUMMYFUNCTION("""COMPUTED_VALUE"""),"#N/A")</f>
        <v>#N/A</v>
      </c>
    </row>
    <row r="756">
      <c r="A756" t="str">
        <f>IFERROR(__xludf.DUMMYFUNCTION("""COMPUTED_VALUE"""),"#N/A")</f>
        <v>#N/A</v>
      </c>
      <c r="B756" s="451" t="str">
        <f>IFERROR(__xludf.DUMMYFUNCTION("""COMPUTED_VALUE"""),"#N/A")</f>
        <v>#N/A</v>
      </c>
    </row>
    <row r="757">
      <c r="A757" t="str">
        <f>IFERROR(__xludf.DUMMYFUNCTION("""COMPUTED_VALUE"""),"#N/A")</f>
        <v>#N/A</v>
      </c>
      <c r="B757" s="451" t="str">
        <f>IFERROR(__xludf.DUMMYFUNCTION("""COMPUTED_VALUE"""),"#N/A")</f>
        <v>#N/A</v>
      </c>
    </row>
    <row r="758">
      <c r="A758" t="str">
        <f>IFERROR(__xludf.DUMMYFUNCTION("""COMPUTED_VALUE"""),"#N/A")</f>
        <v>#N/A</v>
      </c>
      <c r="B758" s="451" t="str">
        <f>IFERROR(__xludf.DUMMYFUNCTION("""COMPUTED_VALUE"""),"#N/A")</f>
        <v>#N/A</v>
      </c>
    </row>
    <row r="759">
      <c r="A759" t="str">
        <f>IFERROR(__xludf.DUMMYFUNCTION("""COMPUTED_VALUE"""),"#N/A")</f>
        <v>#N/A</v>
      </c>
      <c r="B759" s="451" t="str">
        <f>IFERROR(__xludf.DUMMYFUNCTION("""COMPUTED_VALUE"""),"#N/A")</f>
        <v>#N/A</v>
      </c>
    </row>
    <row r="760">
      <c r="A760" t="str">
        <f>IFERROR(__xludf.DUMMYFUNCTION("""COMPUTED_VALUE"""),"#N/A")</f>
        <v>#N/A</v>
      </c>
      <c r="B760" s="451" t="str">
        <f>IFERROR(__xludf.DUMMYFUNCTION("""COMPUTED_VALUE"""),"#N/A")</f>
        <v>#N/A</v>
      </c>
    </row>
    <row r="761">
      <c r="A761" t="str">
        <f>IFERROR(__xludf.DUMMYFUNCTION("""COMPUTED_VALUE"""),"#N/A")</f>
        <v>#N/A</v>
      </c>
      <c r="B761" s="451" t="str">
        <f>IFERROR(__xludf.DUMMYFUNCTION("""COMPUTED_VALUE"""),"#N/A")</f>
        <v>#N/A</v>
      </c>
    </row>
    <row r="762">
      <c r="A762" t="str">
        <f>IFERROR(__xludf.DUMMYFUNCTION("""COMPUTED_VALUE"""),"#N/A")</f>
        <v>#N/A</v>
      </c>
      <c r="B762" s="451" t="str">
        <f>IFERROR(__xludf.DUMMYFUNCTION("""COMPUTED_VALUE"""),"#N/A")</f>
        <v>#N/A</v>
      </c>
    </row>
    <row r="763">
      <c r="A763" t="str">
        <f>IFERROR(__xludf.DUMMYFUNCTION("""COMPUTED_VALUE"""),"#N/A")</f>
        <v>#N/A</v>
      </c>
      <c r="B763" s="451" t="str">
        <f>IFERROR(__xludf.DUMMYFUNCTION("""COMPUTED_VALUE"""),"#N/A")</f>
        <v>#N/A</v>
      </c>
    </row>
    <row r="764">
      <c r="A764" t="str">
        <f>IFERROR(__xludf.DUMMYFUNCTION("""COMPUTED_VALUE"""),"#N/A")</f>
        <v>#N/A</v>
      </c>
      <c r="B764" s="451" t="str">
        <f>IFERROR(__xludf.DUMMYFUNCTION("""COMPUTED_VALUE"""),"#N/A")</f>
        <v>#N/A</v>
      </c>
    </row>
    <row r="765">
      <c r="A765" t="str">
        <f>IFERROR(__xludf.DUMMYFUNCTION("""COMPUTED_VALUE"""),"#N/A")</f>
        <v>#N/A</v>
      </c>
      <c r="B765" s="451" t="str">
        <f>IFERROR(__xludf.DUMMYFUNCTION("""COMPUTED_VALUE"""),"#N/A")</f>
        <v>#N/A</v>
      </c>
    </row>
    <row r="766">
      <c r="A766" t="str">
        <f>IFERROR(__xludf.DUMMYFUNCTION("""COMPUTED_VALUE"""),"#N/A")</f>
        <v>#N/A</v>
      </c>
      <c r="B766" s="451" t="str">
        <f>IFERROR(__xludf.DUMMYFUNCTION("""COMPUTED_VALUE"""),"#N/A")</f>
        <v>#N/A</v>
      </c>
    </row>
    <row r="767">
      <c r="A767" t="str">
        <f>IFERROR(__xludf.DUMMYFUNCTION("""COMPUTED_VALUE"""),"#N/A")</f>
        <v>#N/A</v>
      </c>
      <c r="B767" s="451" t="str">
        <f>IFERROR(__xludf.DUMMYFUNCTION("""COMPUTED_VALUE"""),"#N/A")</f>
        <v>#N/A</v>
      </c>
    </row>
    <row r="768">
      <c r="A768" t="str">
        <f>IFERROR(__xludf.DUMMYFUNCTION("""COMPUTED_VALUE"""),"#N/A")</f>
        <v>#N/A</v>
      </c>
      <c r="B768" s="451" t="str">
        <f>IFERROR(__xludf.DUMMYFUNCTION("""COMPUTED_VALUE"""),"#N/A")</f>
        <v>#N/A</v>
      </c>
    </row>
    <row r="769">
      <c r="A769" t="str">
        <f>IFERROR(__xludf.DUMMYFUNCTION("""COMPUTED_VALUE"""),"#N/A")</f>
        <v>#N/A</v>
      </c>
      <c r="B769" s="451" t="str">
        <f>IFERROR(__xludf.DUMMYFUNCTION("""COMPUTED_VALUE"""),"#N/A")</f>
        <v>#N/A</v>
      </c>
    </row>
    <row r="770">
      <c r="A770" t="str">
        <f>IFERROR(__xludf.DUMMYFUNCTION("""COMPUTED_VALUE"""),"#N/A")</f>
        <v>#N/A</v>
      </c>
      <c r="B770" s="451" t="str">
        <f>IFERROR(__xludf.DUMMYFUNCTION("""COMPUTED_VALUE"""),"#N/A")</f>
        <v>#N/A</v>
      </c>
    </row>
    <row r="771">
      <c r="A771" t="str">
        <f>IFERROR(__xludf.DUMMYFUNCTION("""COMPUTED_VALUE"""),"#N/A")</f>
        <v>#N/A</v>
      </c>
      <c r="B771" s="451" t="str">
        <f>IFERROR(__xludf.DUMMYFUNCTION("""COMPUTED_VALUE"""),"#N/A")</f>
        <v>#N/A</v>
      </c>
    </row>
    <row r="772">
      <c r="A772" t="str">
        <f>IFERROR(__xludf.DUMMYFUNCTION("""COMPUTED_VALUE"""),"#N/A")</f>
        <v>#N/A</v>
      </c>
      <c r="B772" s="451" t="str">
        <f>IFERROR(__xludf.DUMMYFUNCTION("""COMPUTED_VALUE"""),"#N/A")</f>
        <v>#N/A</v>
      </c>
    </row>
    <row r="773">
      <c r="A773" t="str">
        <f>IFERROR(__xludf.DUMMYFUNCTION("""COMPUTED_VALUE"""),"#N/A")</f>
        <v>#N/A</v>
      </c>
      <c r="B773" s="451" t="str">
        <f>IFERROR(__xludf.DUMMYFUNCTION("""COMPUTED_VALUE"""),"#N/A")</f>
        <v>#N/A</v>
      </c>
    </row>
    <row r="774">
      <c r="A774" t="str">
        <f>IFERROR(__xludf.DUMMYFUNCTION("""COMPUTED_VALUE"""),"#N/A")</f>
        <v>#N/A</v>
      </c>
      <c r="B774" s="451" t="str">
        <f>IFERROR(__xludf.DUMMYFUNCTION("""COMPUTED_VALUE"""),"#N/A")</f>
        <v>#N/A</v>
      </c>
    </row>
    <row r="775">
      <c r="A775" t="str">
        <f>IFERROR(__xludf.DUMMYFUNCTION("""COMPUTED_VALUE"""),"#N/A")</f>
        <v>#N/A</v>
      </c>
      <c r="B775" s="451" t="str">
        <f>IFERROR(__xludf.DUMMYFUNCTION("""COMPUTED_VALUE"""),"#N/A")</f>
        <v>#N/A</v>
      </c>
    </row>
    <row r="776">
      <c r="A776" t="str">
        <f>IFERROR(__xludf.DUMMYFUNCTION("""COMPUTED_VALUE"""),"#N/A")</f>
        <v>#N/A</v>
      </c>
      <c r="B776" s="451" t="str">
        <f>IFERROR(__xludf.DUMMYFUNCTION("""COMPUTED_VALUE"""),"#N/A")</f>
        <v>#N/A</v>
      </c>
    </row>
    <row r="777">
      <c r="A777" t="str">
        <f>IFERROR(__xludf.DUMMYFUNCTION("""COMPUTED_VALUE"""),"#N/A")</f>
        <v>#N/A</v>
      </c>
      <c r="B777" s="451" t="str">
        <f>IFERROR(__xludf.DUMMYFUNCTION("""COMPUTED_VALUE"""),"#N/A")</f>
        <v>#N/A</v>
      </c>
    </row>
    <row r="778">
      <c r="A778" t="str">
        <f>IFERROR(__xludf.DUMMYFUNCTION("""COMPUTED_VALUE"""),"#N/A")</f>
        <v>#N/A</v>
      </c>
      <c r="B778" s="451" t="str">
        <f>IFERROR(__xludf.DUMMYFUNCTION("""COMPUTED_VALUE"""),"#N/A")</f>
        <v>#N/A</v>
      </c>
    </row>
    <row r="779">
      <c r="A779" t="str">
        <f>IFERROR(__xludf.DUMMYFUNCTION("""COMPUTED_VALUE"""),"#N/A")</f>
        <v>#N/A</v>
      </c>
      <c r="B779" s="451" t="str">
        <f>IFERROR(__xludf.DUMMYFUNCTION("""COMPUTED_VALUE"""),"#N/A")</f>
        <v>#N/A</v>
      </c>
    </row>
    <row r="780">
      <c r="A780" t="str">
        <f>IFERROR(__xludf.DUMMYFUNCTION("""COMPUTED_VALUE"""),"#N/A")</f>
        <v>#N/A</v>
      </c>
      <c r="B780" s="451" t="str">
        <f>IFERROR(__xludf.DUMMYFUNCTION("""COMPUTED_VALUE"""),"#N/A")</f>
        <v>#N/A</v>
      </c>
    </row>
    <row r="781">
      <c r="A781" t="str">
        <f>IFERROR(__xludf.DUMMYFUNCTION("""COMPUTED_VALUE"""),"#N/A")</f>
        <v>#N/A</v>
      </c>
      <c r="B781" s="451" t="str">
        <f>IFERROR(__xludf.DUMMYFUNCTION("""COMPUTED_VALUE"""),"#N/A")</f>
        <v>#N/A</v>
      </c>
    </row>
    <row r="782">
      <c r="A782" t="str">
        <f>IFERROR(__xludf.DUMMYFUNCTION("""COMPUTED_VALUE"""),"#N/A")</f>
        <v>#N/A</v>
      </c>
      <c r="B782" s="451" t="str">
        <f>IFERROR(__xludf.DUMMYFUNCTION("""COMPUTED_VALUE"""),"#N/A")</f>
        <v>#N/A</v>
      </c>
    </row>
    <row r="783">
      <c r="A783" t="str">
        <f>IFERROR(__xludf.DUMMYFUNCTION("""COMPUTED_VALUE"""),"#N/A")</f>
        <v>#N/A</v>
      </c>
      <c r="B783" s="451" t="str">
        <f>IFERROR(__xludf.DUMMYFUNCTION("""COMPUTED_VALUE"""),"#N/A")</f>
        <v>#N/A</v>
      </c>
    </row>
    <row r="784">
      <c r="A784" t="str">
        <f>IFERROR(__xludf.DUMMYFUNCTION("""COMPUTED_VALUE"""),"#N/A")</f>
        <v>#N/A</v>
      </c>
      <c r="B784" s="451" t="str">
        <f>IFERROR(__xludf.DUMMYFUNCTION("""COMPUTED_VALUE"""),"#N/A")</f>
        <v>#N/A</v>
      </c>
    </row>
    <row r="785">
      <c r="A785" t="str">
        <f>IFERROR(__xludf.DUMMYFUNCTION("""COMPUTED_VALUE"""),"#N/A")</f>
        <v>#N/A</v>
      </c>
      <c r="B785" s="451" t="str">
        <f>IFERROR(__xludf.DUMMYFUNCTION("""COMPUTED_VALUE"""),"#N/A")</f>
        <v>#N/A</v>
      </c>
    </row>
    <row r="786">
      <c r="A786" t="str">
        <f>IFERROR(__xludf.DUMMYFUNCTION("""COMPUTED_VALUE"""),"#N/A")</f>
        <v>#N/A</v>
      </c>
      <c r="B786" s="451" t="str">
        <f>IFERROR(__xludf.DUMMYFUNCTION("""COMPUTED_VALUE"""),"#N/A")</f>
        <v>#N/A</v>
      </c>
    </row>
    <row r="787">
      <c r="A787" t="str">
        <f>IFERROR(__xludf.DUMMYFUNCTION("""COMPUTED_VALUE"""),"#N/A")</f>
        <v>#N/A</v>
      </c>
      <c r="B787" s="451" t="str">
        <f>IFERROR(__xludf.DUMMYFUNCTION("""COMPUTED_VALUE"""),"#N/A")</f>
        <v>#N/A</v>
      </c>
    </row>
    <row r="788">
      <c r="A788" t="str">
        <f>IFERROR(__xludf.DUMMYFUNCTION("""COMPUTED_VALUE"""),"#N/A")</f>
        <v>#N/A</v>
      </c>
      <c r="B788" s="451" t="str">
        <f>IFERROR(__xludf.DUMMYFUNCTION("""COMPUTED_VALUE"""),"#N/A")</f>
        <v>#N/A</v>
      </c>
    </row>
    <row r="789">
      <c r="A789" t="str">
        <f>IFERROR(__xludf.DUMMYFUNCTION("""COMPUTED_VALUE"""),"#N/A")</f>
        <v>#N/A</v>
      </c>
      <c r="B789" s="451" t="str">
        <f>IFERROR(__xludf.DUMMYFUNCTION("""COMPUTED_VALUE"""),"#N/A")</f>
        <v>#N/A</v>
      </c>
    </row>
    <row r="790">
      <c r="A790" t="str">
        <f>IFERROR(__xludf.DUMMYFUNCTION("""COMPUTED_VALUE"""),"#N/A")</f>
        <v>#N/A</v>
      </c>
      <c r="B790" s="451" t="str">
        <f>IFERROR(__xludf.DUMMYFUNCTION("""COMPUTED_VALUE"""),"#N/A")</f>
        <v>#N/A</v>
      </c>
    </row>
    <row r="791">
      <c r="A791" t="str">
        <f>IFERROR(__xludf.DUMMYFUNCTION("""COMPUTED_VALUE"""),"#N/A")</f>
        <v>#N/A</v>
      </c>
      <c r="B791" s="451" t="str">
        <f>IFERROR(__xludf.DUMMYFUNCTION("""COMPUTED_VALUE"""),"#N/A")</f>
        <v>#N/A</v>
      </c>
    </row>
    <row r="792">
      <c r="A792" t="str">
        <f>IFERROR(__xludf.DUMMYFUNCTION("""COMPUTED_VALUE"""),"#N/A")</f>
        <v>#N/A</v>
      </c>
      <c r="B792" s="451" t="str">
        <f>IFERROR(__xludf.DUMMYFUNCTION("""COMPUTED_VALUE"""),"#N/A")</f>
        <v>#N/A</v>
      </c>
    </row>
    <row r="793">
      <c r="A793" t="str">
        <f>IFERROR(__xludf.DUMMYFUNCTION("""COMPUTED_VALUE"""),"#N/A")</f>
        <v>#N/A</v>
      </c>
      <c r="B793" s="451" t="str">
        <f>IFERROR(__xludf.DUMMYFUNCTION("""COMPUTED_VALUE"""),"#N/A")</f>
        <v>#N/A</v>
      </c>
    </row>
    <row r="794">
      <c r="A794" t="str">
        <f>IFERROR(__xludf.DUMMYFUNCTION("""COMPUTED_VALUE"""),"#N/A")</f>
        <v>#N/A</v>
      </c>
      <c r="B794" s="451" t="str">
        <f>IFERROR(__xludf.DUMMYFUNCTION("""COMPUTED_VALUE"""),"#N/A")</f>
        <v>#N/A</v>
      </c>
    </row>
    <row r="795">
      <c r="A795" t="str">
        <f>IFERROR(__xludf.DUMMYFUNCTION("""COMPUTED_VALUE"""),"#N/A")</f>
        <v>#N/A</v>
      </c>
      <c r="B795" s="451" t="str">
        <f>IFERROR(__xludf.DUMMYFUNCTION("""COMPUTED_VALUE"""),"#N/A")</f>
        <v>#N/A</v>
      </c>
    </row>
    <row r="796">
      <c r="A796" t="str">
        <f>IFERROR(__xludf.DUMMYFUNCTION("""COMPUTED_VALUE"""),"#N/A")</f>
        <v>#N/A</v>
      </c>
      <c r="B796" s="451" t="str">
        <f>IFERROR(__xludf.DUMMYFUNCTION("""COMPUTED_VALUE"""),"#N/A")</f>
        <v>#N/A</v>
      </c>
    </row>
    <row r="797">
      <c r="A797" t="str">
        <f>IFERROR(__xludf.DUMMYFUNCTION("""COMPUTED_VALUE"""),"#N/A")</f>
        <v>#N/A</v>
      </c>
      <c r="B797" s="451" t="str">
        <f>IFERROR(__xludf.DUMMYFUNCTION("""COMPUTED_VALUE"""),"#N/A")</f>
        <v>#N/A</v>
      </c>
    </row>
    <row r="798">
      <c r="A798" t="str">
        <f>IFERROR(__xludf.DUMMYFUNCTION("""COMPUTED_VALUE"""),"#N/A")</f>
        <v>#N/A</v>
      </c>
      <c r="B798" s="451" t="str">
        <f>IFERROR(__xludf.DUMMYFUNCTION("""COMPUTED_VALUE"""),"#N/A")</f>
        <v>#N/A</v>
      </c>
    </row>
    <row r="799">
      <c r="A799" t="str">
        <f>IFERROR(__xludf.DUMMYFUNCTION("""COMPUTED_VALUE"""),"#N/A")</f>
        <v>#N/A</v>
      </c>
      <c r="B799" s="451" t="str">
        <f>IFERROR(__xludf.DUMMYFUNCTION("""COMPUTED_VALUE"""),"#N/A")</f>
        <v>#N/A</v>
      </c>
    </row>
    <row r="800">
      <c r="A800" t="str">
        <f>IFERROR(__xludf.DUMMYFUNCTION("""COMPUTED_VALUE"""),"#N/A")</f>
        <v>#N/A</v>
      </c>
      <c r="B800" s="451" t="str">
        <f>IFERROR(__xludf.DUMMYFUNCTION("""COMPUTED_VALUE"""),"#N/A")</f>
        <v>#N/A</v>
      </c>
    </row>
    <row r="801">
      <c r="A801" t="str">
        <f>IFERROR(__xludf.DUMMYFUNCTION("""COMPUTED_VALUE"""),"#N/A")</f>
        <v>#N/A</v>
      </c>
      <c r="B801" s="451" t="str">
        <f>IFERROR(__xludf.DUMMYFUNCTION("""COMPUTED_VALUE"""),"#N/A")</f>
        <v>#N/A</v>
      </c>
    </row>
    <row r="802">
      <c r="A802" t="str">
        <f>IFERROR(__xludf.DUMMYFUNCTION("""COMPUTED_VALUE"""),"#N/A")</f>
        <v>#N/A</v>
      </c>
      <c r="B802" s="451" t="str">
        <f>IFERROR(__xludf.DUMMYFUNCTION("""COMPUTED_VALUE"""),"#N/A")</f>
        <v>#N/A</v>
      </c>
    </row>
    <row r="803">
      <c r="A803" t="str">
        <f>IFERROR(__xludf.DUMMYFUNCTION("""COMPUTED_VALUE"""),"#N/A")</f>
        <v>#N/A</v>
      </c>
      <c r="B803" s="451" t="str">
        <f>IFERROR(__xludf.DUMMYFUNCTION("""COMPUTED_VALUE"""),"#N/A")</f>
        <v>#N/A</v>
      </c>
    </row>
    <row r="804">
      <c r="A804" t="str">
        <f>IFERROR(__xludf.DUMMYFUNCTION("""COMPUTED_VALUE"""),"#N/A")</f>
        <v>#N/A</v>
      </c>
      <c r="B804" s="451" t="str">
        <f>IFERROR(__xludf.DUMMYFUNCTION("""COMPUTED_VALUE"""),"#N/A")</f>
        <v>#N/A</v>
      </c>
    </row>
    <row r="805">
      <c r="A805" t="str">
        <f>IFERROR(__xludf.DUMMYFUNCTION("""COMPUTED_VALUE"""),"#N/A")</f>
        <v>#N/A</v>
      </c>
      <c r="B805" s="451" t="str">
        <f>IFERROR(__xludf.DUMMYFUNCTION("""COMPUTED_VALUE"""),"#N/A")</f>
        <v>#N/A</v>
      </c>
    </row>
    <row r="806">
      <c r="A806" t="str">
        <f>IFERROR(__xludf.DUMMYFUNCTION("""COMPUTED_VALUE"""),"#N/A")</f>
        <v>#N/A</v>
      </c>
      <c r="B806" s="451" t="str">
        <f>IFERROR(__xludf.DUMMYFUNCTION("""COMPUTED_VALUE"""),"#N/A")</f>
        <v>#N/A</v>
      </c>
    </row>
    <row r="807">
      <c r="A807" t="str">
        <f>IFERROR(__xludf.DUMMYFUNCTION("""COMPUTED_VALUE"""),"#N/A")</f>
        <v>#N/A</v>
      </c>
      <c r="B807" s="451" t="str">
        <f>IFERROR(__xludf.DUMMYFUNCTION("""COMPUTED_VALUE"""),"#N/A")</f>
        <v>#N/A</v>
      </c>
    </row>
    <row r="808">
      <c r="A808" t="str">
        <f>IFERROR(__xludf.DUMMYFUNCTION("""COMPUTED_VALUE"""),"#N/A")</f>
        <v>#N/A</v>
      </c>
      <c r="B808" s="451" t="str">
        <f>IFERROR(__xludf.DUMMYFUNCTION("""COMPUTED_VALUE"""),"#N/A")</f>
        <v>#N/A</v>
      </c>
    </row>
    <row r="809">
      <c r="A809" t="str">
        <f>IFERROR(__xludf.DUMMYFUNCTION("""COMPUTED_VALUE"""),"#N/A")</f>
        <v>#N/A</v>
      </c>
      <c r="B809" s="451" t="str">
        <f>IFERROR(__xludf.DUMMYFUNCTION("""COMPUTED_VALUE"""),"#N/A")</f>
        <v>#N/A</v>
      </c>
    </row>
    <row r="810">
      <c r="A810" t="str">
        <f>IFERROR(__xludf.DUMMYFUNCTION("""COMPUTED_VALUE"""),"#N/A")</f>
        <v>#N/A</v>
      </c>
      <c r="B810" s="451" t="str">
        <f>IFERROR(__xludf.DUMMYFUNCTION("""COMPUTED_VALUE"""),"#N/A")</f>
        <v>#N/A</v>
      </c>
    </row>
    <row r="811">
      <c r="A811" t="str">
        <f>IFERROR(__xludf.DUMMYFUNCTION("""COMPUTED_VALUE"""),"#N/A")</f>
        <v>#N/A</v>
      </c>
      <c r="B811" s="451" t="str">
        <f>IFERROR(__xludf.DUMMYFUNCTION("""COMPUTED_VALUE"""),"#N/A")</f>
        <v>#N/A</v>
      </c>
    </row>
    <row r="812">
      <c r="A812" t="str">
        <f>IFERROR(__xludf.DUMMYFUNCTION("""COMPUTED_VALUE"""),"#N/A")</f>
        <v>#N/A</v>
      </c>
      <c r="B812" s="451" t="str">
        <f>IFERROR(__xludf.DUMMYFUNCTION("""COMPUTED_VALUE"""),"#N/A")</f>
        <v>#N/A</v>
      </c>
    </row>
    <row r="813">
      <c r="A813" t="str">
        <f>IFERROR(__xludf.DUMMYFUNCTION("""COMPUTED_VALUE"""),"#N/A")</f>
        <v>#N/A</v>
      </c>
      <c r="B813" s="451" t="str">
        <f>IFERROR(__xludf.DUMMYFUNCTION("""COMPUTED_VALUE"""),"#N/A")</f>
        <v>#N/A</v>
      </c>
    </row>
    <row r="814">
      <c r="A814" t="str">
        <f>IFERROR(__xludf.DUMMYFUNCTION("""COMPUTED_VALUE"""),"#N/A")</f>
        <v>#N/A</v>
      </c>
      <c r="B814" s="451" t="str">
        <f>IFERROR(__xludf.DUMMYFUNCTION("""COMPUTED_VALUE"""),"#N/A")</f>
        <v>#N/A</v>
      </c>
    </row>
    <row r="815">
      <c r="A815" t="str">
        <f>IFERROR(__xludf.DUMMYFUNCTION("""COMPUTED_VALUE"""),"#N/A")</f>
        <v>#N/A</v>
      </c>
      <c r="B815" s="451" t="str">
        <f>IFERROR(__xludf.DUMMYFUNCTION("""COMPUTED_VALUE"""),"#N/A")</f>
        <v>#N/A</v>
      </c>
    </row>
    <row r="816">
      <c r="A816" t="str">
        <f>IFERROR(__xludf.DUMMYFUNCTION("""COMPUTED_VALUE"""),"#N/A")</f>
        <v>#N/A</v>
      </c>
      <c r="B816" s="451" t="str">
        <f>IFERROR(__xludf.DUMMYFUNCTION("""COMPUTED_VALUE"""),"#N/A")</f>
        <v>#N/A</v>
      </c>
    </row>
    <row r="817">
      <c r="A817" t="str">
        <f>IFERROR(__xludf.DUMMYFUNCTION("""COMPUTED_VALUE"""),"#N/A")</f>
        <v>#N/A</v>
      </c>
      <c r="B817" s="451" t="str">
        <f>IFERROR(__xludf.DUMMYFUNCTION("""COMPUTED_VALUE"""),"#N/A")</f>
        <v>#N/A</v>
      </c>
    </row>
    <row r="818">
      <c r="A818" t="str">
        <f>IFERROR(__xludf.DUMMYFUNCTION("""COMPUTED_VALUE"""),"#N/A")</f>
        <v>#N/A</v>
      </c>
      <c r="B818" s="451" t="str">
        <f>IFERROR(__xludf.DUMMYFUNCTION("""COMPUTED_VALUE"""),"#N/A")</f>
        <v>#N/A</v>
      </c>
    </row>
    <row r="819">
      <c r="A819" t="str">
        <f>IFERROR(__xludf.DUMMYFUNCTION("""COMPUTED_VALUE"""),"#N/A")</f>
        <v>#N/A</v>
      </c>
      <c r="B819" s="451" t="str">
        <f>IFERROR(__xludf.DUMMYFUNCTION("""COMPUTED_VALUE"""),"#N/A")</f>
        <v>#N/A</v>
      </c>
    </row>
    <row r="820">
      <c r="A820" t="str">
        <f>IFERROR(__xludf.DUMMYFUNCTION("""COMPUTED_VALUE"""),"#N/A")</f>
        <v>#N/A</v>
      </c>
      <c r="B820" s="451" t="str">
        <f>IFERROR(__xludf.DUMMYFUNCTION("""COMPUTED_VALUE"""),"#N/A")</f>
        <v>#N/A</v>
      </c>
    </row>
    <row r="821">
      <c r="A821" t="str">
        <f>IFERROR(__xludf.DUMMYFUNCTION("""COMPUTED_VALUE"""),"#N/A")</f>
        <v>#N/A</v>
      </c>
      <c r="B821" s="451" t="str">
        <f>IFERROR(__xludf.DUMMYFUNCTION("""COMPUTED_VALUE"""),"#N/A")</f>
        <v>#N/A</v>
      </c>
    </row>
    <row r="822">
      <c r="A822" t="str">
        <f>IFERROR(__xludf.DUMMYFUNCTION("""COMPUTED_VALUE"""),"#N/A")</f>
        <v>#N/A</v>
      </c>
      <c r="B822" s="451" t="str">
        <f>IFERROR(__xludf.DUMMYFUNCTION("""COMPUTED_VALUE"""),"#N/A")</f>
        <v>#N/A</v>
      </c>
    </row>
    <row r="823">
      <c r="A823" t="str">
        <f>IFERROR(__xludf.DUMMYFUNCTION("""COMPUTED_VALUE"""),"#N/A")</f>
        <v>#N/A</v>
      </c>
      <c r="B823" s="451" t="str">
        <f>IFERROR(__xludf.DUMMYFUNCTION("""COMPUTED_VALUE"""),"#N/A")</f>
        <v>#N/A</v>
      </c>
    </row>
    <row r="824">
      <c r="A824" t="str">
        <f>IFERROR(__xludf.DUMMYFUNCTION("""COMPUTED_VALUE"""),"#N/A")</f>
        <v>#N/A</v>
      </c>
      <c r="B824" s="451" t="str">
        <f>IFERROR(__xludf.DUMMYFUNCTION("""COMPUTED_VALUE"""),"#N/A")</f>
        <v>#N/A</v>
      </c>
    </row>
    <row r="825">
      <c r="A825" t="str">
        <f>IFERROR(__xludf.DUMMYFUNCTION("""COMPUTED_VALUE"""),"#N/A")</f>
        <v>#N/A</v>
      </c>
      <c r="B825" s="451" t="str">
        <f>IFERROR(__xludf.DUMMYFUNCTION("""COMPUTED_VALUE"""),"#N/A")</f>
        <v>#N/A</v>
      </c>
    </row>
    <row r="826">
      <c r="A826" t="str">
        <f>IFERROR(__xludf.DUMMYFUNCTION("""COMPUTED_VALUE"""),"#N/A")</f>
        <v>#N/A</v>
      </c>
      <c r="B826" s="451" t="str">
        <f>IFERROR(__xludf.DUMMYFUNCTION("""COMPUTED_VALUE"""),"#N/A")</f>
        <v>#N/A</v>
      </c>
    </row>
    <row r="827">
      <c r="A827" t="str">
        <f>IFERROR(__xludf.DUMMYFUNCTION("""COMPUTED_VALUE"""),"#N/A")</f>
        <v>#N/A</v>
      </c>
      <c r="B827" s="451" t="str">
        <f>IFERROR(__xludf.DUMMYFUNCTION("""COMPUTED_VALUE"""),"#N/A")</f>
        <v>#N/A</v>
      </c>
    </row>
    <row r="828">
      <c r="A828" t="str">
        <f>IFERROR(__xludf.DUMMYFUNCTION("""COMPUTED_VALUE"""),"#N/A")</f>
        <v>#N/A</v>
      </c>
      <c r="B828" s="451" t="str">
        <f>IFERROR(__xludf.DUMMYFUNCTION("""COMPUTED_VALUE"""),"#N/A")</f>
        <v>#N/A</v>
      </c>
    </row>
    <row r="829">
      <c r="A829" t="str">
        <f>IFERROR(__xludf.DUMMYFUNCTION("""COMPUTED_VALUE"""),"#N/A")</f>
        <v>#N/A</v>
      </c>
      <c r="B829" s="451" t="str">
        <f>IFERROR(__xludf.DUMMYFUNCTION("""COMPUTED_VALUE"""),"#N/A")</f>
        <v>#N/A</v>
      </c>
    </row>
    <row r="830">
      <c r="A830" t="str">
        <f>IFERROR(__xludf.DUMMYFUNCTION("""COMPUTED_VALUE"""),"#N/A")</f>
        <v>#N/A</v>
      </c>
      <c r="B830" s="451" t="str">
        <f>IFERROR(__xludf.DUMMYFUNCTION("""COMPUTED_VALUE"""),"#N/A")</f>
        <v>#N/A</v>
      </c>
    </row>
    <row r="831">
      <c r="A831" t="str">
        <f>IFERROR(__xludf.DUMMYFUNCTION("""COMPUTED_VALUE"""),"#N/A")</f>
        <v>#N/A</v>
      </c>
      <c r="B831" s="451" t="str">
        <f>IFERROR(__xludf.DUMMYFUNCTION("""COMPUTED_VALUE"""),"#N/A")</f>
        <v>#N/A</v>
      </c>
    </row>
    <row r="832">
      <c r="A832" t="str">
        <f>IFERROR(__xludf.DUMMYFUNCTION("""COMPUTED_VALUE"""),"#N/A")</f>
        <v>#N/A</v>
      </c>
      <c r="B832" s="451" t="str">
        <f>IFERROR(__xludf.DUMMYFUNCTION("""COMPUTED_VALUE"""),"#N/A")</f>
        <v>#N/A</v>
      </c>
    </row>
    <row r="833">
      <c r="A833" t="str">
        <f>IFERROR(__xludf.DUMMYFUNCTION("""COMPUTED_VALUE"""),"#N/A")</f>
        <v>#N/A</v>
      </c>
      <c r="B833" s="451" t="str">
        <f>IFERROR(__xludf.DUMMYFUNCTION("""COMPUTED_VALUE"""),"#N/A")</f>
        <v>#N/A</v>
      </c>
    </row>
    <row r="834">
      <c r="A834" t="str">
        <f>IFERROR(__xludf.DUMMYFUNCTION("""COMPUTED_VALUE"""),"#N/A")</f>
        <v>#N/A</v>
      </c>
      <c r="B834" s="451" t="str">
        <f>IFERROR(__xludf.DUMMYFUNCTION("""COMPUTED_VALUE"""),"#N/A")</f>
        <v>#N/A</v>
      </c>
    </row>
    <row r="835">
      <c r="A835" t="str">
        <f>IFERROR(__xludf.DUMMYFUNCTION("""COMPUTED_VALUE"""),"#N/A")</f>
        <v>#N/A</v>
      </c>
      <c r="B835" s="451" t="str">
        <f>IFERROR(__xludf.DUMMYFUNCTION("""COMPUTED_VALUE"""),"#N/A")</f>
        <v>#N/A</v>
      </c>
    </row>
    <row r="836">
      <c r="A836" t="str">
        <f>IFERROR(__xludf.DUMMYFUNCTION("""COMPUTED_VALUE"""),"#N/A")</f>
        <v>#N/A</v>
      </c>
      <c r="B836" s="451" t="str">
        <f>IFERROR(__xludf.DUMMYFUNCTION("""COMPUTED_VALUE"""),"#N/A")</f>
        <v>#N/A</v>
      </c>
    </row>
    <row r="837">
      <c r="A837" t="str">
        <f>IFERROR(__xludf.DUMMYFUNCTION("""COMPUTED_VALUE"""),"#N/A")</f>
        <v>#N/A</v>
      </c>
      <c r="B837" s="451" t="str">
        <f>IFERROR(__xludf.DUMMYFUNCTION("""COMPUTED_VALUE"""),"#N/A")</f>
        <v>#N/A</v>
      </c>
    </row>
    <row r="838">
      <c r="A838" t="str">
        <f>IFERROR(__xludf.DUMMYFUNCTION("""COMPUTED_VALUE"""),"#N/A")</f>
        <v>#N/A</v>
      </c>
      <c r="B838" s="451" t="str">
        <f>IFERROR(__xludf.DUMMYFUNCTION("""COMPUTED_VALUE"""),"#N/A")</f>
        <v>#N/A</v>
      </c>
    </row>
    <row r="839">
      <c r="A839" t="str">
        <f>IFERROR(__xludf.DUMMYFUNCTION("""COMPUTED_VALUE"""),"#N/A")</f>
        <v>#N/A</v>
      </c>
      <c r="B839" s="451" t="str">
        <f>IFERROR(__xludf.DUMMYFUNCTION("""COMPUTED_VALUE"""),"#N/A")</f>
        <v>#N/A</v>
      </c>
    </row>
    <row r="840">
      <c r="A840" t="str">
        <f>IFERROR(__xludf.DUMMYFUNCTION("""COMPUTED_VALUE"""),"#N/A")</f>
        <v>#N/A</v>
      </c>
      <c r="B840" s="451" t="str">
        <f>IFERROR(__xludf.DUMMYFUNCTION("""COMPUTED_VALUE"""),"#N/A")</f>
        <v>#N/A</v>
      </c>
    </row>
    <row r="841">
      <c r="A841" t="str">
        <f>IFERROR(__xludf.DUMMYFUNCTION("""COMPUTED_VALUE"""),"#N/A")</f>
        <v>#N/A</v>
      </c>
      <c r="B841" s="451" t="str">
        <f>IFERROR(__xludf.DUMMYFUNCTION("""COMPUTED_VALUE"""),"#N/A")</f>
        <v>#N/A</v>
      </c>
    </row>
    <row r="842">
      <c r="A842" t="str">
        <f>IFERROR(__xludf.DUMMYFUNCTION("""COMPUTED_VALUE"""),"#N/A")</f>
        <v>#N/A</v>
      </c>
      <c r="B842" s="451" t="str">
        <f>IFERROR(__xludf.DUMMYFUNCTION("""COMPUTED_VALUE"""),"#N/A")</f>
        <v>#N/A</v>
      </c>
    </row>
    <row r="843">
      <c r="A843" t="str">
        <f>IFERROR(__xludf.DUMMYFUNCTION("""COMPUTED_VALUE"""),"#N/A")</f>
        <v>#N/A</v>
      </c>
      <c r="B843" s="451" t="str">
        <f>IFERROR(__xludf.DUMMYFUNCTION("""COMPUTED_VALUE"""),"#N/A")</f>
        <v>#N/A</v>
      </c>
    </row>
    <row r="844">
      <c r="A844" t="str">
        <f>IFERROR(__xludf.DUMMYFUNCTION("""COMPUTED_VALUE"""),"#N/A")</f>
        <v>#N/A</v>
      </c>
      <c r="B844" s="451" t="str">
        <f>IFERROR(__xludf.DUMMYFUNCTION("""COMPUTED_VALUE"""),"#N/A")</f>
        <v>#N/A</v>
      </c>
    </row>
    <row r="845">
      <c r="A845" t="str">
        <f>IFERROR(__xludf.DUMMYFUNCTION("""COMPUTED_VALUE"""),"#N/A")</f>
        <v>#N/A</v>
      </c>
      <c r="B845" s="451" t="str">
        <f>IFERROR(__xludf.DUMMYFUNCTION("""COMPUTED_VALUE"""),"#N/A")</f>
        <v>#N/A</v>
      </c>
    </row>
    <row r="846">
      <c r="A846" t="str">
        <f>IFERROR(__xludf.DUMMYFUNCTION("""COMPUTED_VALUE"""),"#N/A")</f>
        <v>#N/A</v>
      </c>
      <c r="B846" s="451" t="str">
        <f>IFERROR(__xludf.DUMMYFUNCTION("""COMPUTED_VALUE"""),"#N/A")</f>
        <v>#N/A</v>
      </c>
    </row>
    <row r="847">
      <c r="A847" t="str">
        <f>IFERROR(__xludf.DUMMYFUNCTION("""COMPUTED_VALUE"""),"#N/A")</f>
        <v>#N/A</v>
      </c>
      <c r="B847" s="451" t="str">
        <f>IFERROR(__xludf.DUMMYFUNCTION("""COMPUTED_VALUE"""),"#N/A")</f>
        <v>#N/A</v>
      </c>
    </row>
    <row r="848">
      <c r="A848" t="str">
        <f>IFERROR(__xludf.DUMMYFUNCTION("""COMPUTED_VALUE"""),"#N/A")</f>
        <v>#N/A</v>
      </c>
      <c r="B848" s="451" t="str">
        <f>IFERROR(__xludf.DUMMYFUNCTION("""COMPUTED_VALUE"""),"#N/A")</f>
        <v>#N/A</v>
      </c>
    </row>
    <row r="849">
      <c r="A849" t="str">
        <f>IFERROR(__xludf.DUMMYFUNCTION("""COMPUTED_VALUE"""),"#N/A")</f>
        <v>#N/A</v>
      </c>
      <c r="B849" s="451" t="str">
        <f>IFERROR(__xludf.DUMMYFUNCTION("""COMPUTED_VALUE"""),"#N/A")</f>
        <v>#N/A</v>
      </c>
    </row>
    <row r="850">
      <c r="A850" t="str">
        <f>IFERROR(__xludf.DUMMYFUNCTION("""COMPUTED_VALUE"""),"#N/A")</f>
        <v>#N/A</v>
      </c>
      <c r="B850" s="451" t="str">
        <f>IFERROR(__xludf.DUMMYFUNCTION("""COMPUTED_VALUE"""),"#N/A")</f>
        <v>#N/A</v>
      </c>
    </row>
    <row r="851">
      <c r="A851" t="str">
        <f>IFERROR(__xludf.DUMMYFUNCTION("""COMPUTED_VALUE"""),"#N/A")</f>
        <v>#N/A</v>
      </c>
      <c r="B851" s="451" t="str">
        <f>IFERROR(__xludf.DUMMYFUNCTION("""COMPUTED_VALUE"""),"#N/A")</f>
        <v>#N/A</v>
      </c>
    </row>
    <row r="852">
      <c r="A852" t="str">
        <f>IFERROR(__xludf.DUMMYFUNCTION("""COMPUTED_VALUE"""),"#N/A")</f>
        <v>#N/A</v>
      </c>
      <c r="B852" s="451" t="str">
        <f>IFERROR(__xludf.DUMMYFUNCTION("""COMPUTED_VALUE"""),"#N/A")</f>
        <v>#N/A</v>
      </c>
    </row>
    <row r="853">
      <c r="A853" t="str">
        <f>IFERROR(__xludf.DUMMYFUNCTION("""COMPUTED_VALUE"""),"#N/A")</f>
        <v>#N/A</v>
      </c>
      <c r="B853" s="451" t="str">
        <f>IFERROR(__xludf.DUMMYFUNCTION("""COMPUTED_VALUE"""),"#N/A")</f>
        <v>#N/A</v>
      </c>
    </row>
    <row r="854">
      <c r="A854" t="str">
        <f>IFERROR(__xludf.DUMMYFUNCTION("""COMPUTED_VALUE"""),"#N/A")</f>
        <v>#N/A</v>
      </c>
      <c r="B854" s="451" t="str">
        <f>IFERROR(__xludf.DUMMYFUNCTION("""COMPUTED_VALUE"""),"#N/A")</f>
        <v>#N/A</v>
      </c>
    </row>
    <row r="855">
      <c r="A855" t="str">
        <f>IFERROR(__xludf.DUMMYFUNCTION("""COMPUTED_VALUE"""),"#N/A")</f>
        <v>#N/A</v>
      </c>
      <c r="B855" s="451" t="str">
        <f>IFERROR(__xludf.DUMMYFUNCTION("""COMPUTED_VALUE"""),"#N/A")</f>
        <v>#N/A</v>
      </c>
    </row>
    <row r="856">
      <c r="A856" t="str">
        <f>IFERROR(__xludf.DUMMYFUNCTION("""COMPUTED_VALUE"""),"#N/A")</f>
        <v>#N/A</v>
      </c>
      <c r="B856" s="451" t="str">
        <f>IFERROR(__xludf.DUMMYFUNCTION("""COMPUTED_VALUE"""),"#N/A")</f>
        <v>#N/A</v>
      </c>
    </row>
    <row r="857">
      <c r="A857" t="str">
        <f>IFERROR(__xludf.DUMMYFUNCTION("""COMPUTED_VALUE"""),"#N/A")</f>
        <v>#N/A</v>
      </c>
      <c r="B857" s="451" t="str">
        <f>IFERROR(__xludf.DUMMYFUNCTION("""COMPUTED_VALUE"""),"#N/A")</f>
        <v>#N/A</v>
      </c>
    </row>
    <row r="858">
      <c r="A858" t="str">
        <f>IFERROR(__xludf.DUMMYFUNCTION("""COMPUTED_VALUE"""),"#N/A")</f>
        <v>#N/A</v>
      </c>
      <c r="B858" s="451" t="str">
        <f>IFERROR(__xludf.DUMMYFUNCTION("""COMPUTED_VALUE"""),"#N/A")</f>
        <v>#N/A</v>
      </c>
    </row>
    <row r="859">
      <c r="A859" t="str">
        <f>IFERROR(__xludf.DUMMYFUNCTION("""COMPUTED_VALUE"""),"#N/A")</f>
        <v>#N/A</v>
      </c>
      <c r="B859" s="451" t="str">
        <f>IFERROR(__xludf.DUMMYFUNCTION("""COMPUTED_VALUE"""),"#N/A")</f>
        <v>#N/A</v>
      </c>
    </row>
    <row r="860">
      <c r="A860" t="str">
        <f>IFERROR(__xludf.DUMMYFUNCTION("""COMPUTED_VALUE"""),"#N/A")</f>
        <v>#N/A</v>
      </c>
      <c r="B860" s="451" t="str">
        <f>IFERROR(__xludf.DUMMYFUNCTION("""COMPUTED_VALUE"""),"#N/A")</f>
        <v>#N/A</v>
      </c>
    </row>
    <row r="861">
      <c r="A861" t="str">
        <f>IFERROR(__xludf.DUMMYFUNCTION("""COMPUTED_VALUE"""),"#N/A")</f>
        <v>#N/A</v>
      </c>
      <c r="B861" s="451" t="str">
        <f>IFERROR(__xludf.DUMMYFUNCTION("""COMPUTED_VALUE"""),"#N/A")</f>
        <v>#N/A</v>
      </c>
    </row>
    <row r="862">
      <c r="A862" t="str">
        <f>IFERROR(__xludf.DUMMYFUNCTION("""COMPUTED_VALUE"""),"#N/A")</f>
        <v>#N/A</v>
      </c>
      <c r="B862" s="451" t="str">
        <f>IFERROR(__xludf.DUMMYFUNCTION("""COMPUTED_VALUE"""),"#N/A")</f>
        <v>#N/A</v>
      </c>
    </row>
    <row r="863">
      <c r="A863" t="str">
        <f>IFERROR(__xludf.DUMMYFUNCTION("""COMPUTED_VALUE"""),"#N/A")</f>
        <v>#N/A</v>
      </c>
      <c r="B863" s="451" t="str">
        <f>IFERROR(__xludf.DUMMYFUNCTION("""COMPUTED_VALUE"""),"#N/A")</f>
        <v>#N/A</v>
      </c>
    </row>
    <row r="864">
      <c r="A864" t="str">
        <f>IFERROR(__xludf.DUMMYFUNCTION("""COMPUTED_VALUE"""),"#N/A")</f>
        <v>#N/A</v>
      </c>
      <c r="B864" s="451" t="str">
        <f>IFERROR(__xludf.DUMMYFUNCTION("""COMPUTED_VALUE"""),"#N/A")</f>
        <v>#N/A</v>
      </c>
    </row>
    <row r="865">
      <c r="A865" t="str">
        <f>IFERROR(__xludf.DUMMYFUNCTION("""COMPUTED_VALUE"""),"#N/A")</f>
        <v>#N/A</v>
      </c>
      <c r="B865" s="451" t="str">
        <f>IFERROR(__xludf.DUMMYFUNCTION("""COMPUTED_VALUE"""),"#N/A")</f>
        <v>#N/A</v>
      </c>
    </row>
    <row r="866">
      <c r="A866" t="str">
        <f>IFERROR(__xludf.DUMMYFUNCTION("""COMPUTED_VALUE"""),"#N/A")</f>
        <v>#N/A</v>
      </c>
      <c r="B866" s="451" t="str">
        <f>IFERROR(__xludf.DUMMYFUNCTION("""COMPUTED_VALUE"""),"#N/A")</f>
        <v>#N/A</v>
      </c>
    </row>
    <row r="867">
      <c r="A867" t="str">
        <f>IFERROR(__xludf.DUMMYFUNCTION("""COMPUTED_VALUE"""),"#N/A")</f>
        <v>#N/A</v>
      </c>
      <c r="B867" s="451" t="str">
        <f>IFERROR(__xludf.DUMMYFUNCTION("""COMPUTED_VALUE"""),"#N/A")</f>
        <v>#N/A</v>
      </c>
    </row>
    <row r="868">
      <c r="A868" t="str">
        <f>IFERROR(__xludf.DUMMYFUNCTION("""COMPUTED_VALUE"""),"#N/A")</f>
        <v>#N/A</v>
      </c>
      <c r="B868" s="451" t="str">
        <f>IFERROR(__xludf.DUMMYFUNCTION("""COMPUTED_VALUE"""),"#N/A")</f>
        <v>#N/A</v>
      </c>
    </row>
    <row r="869">
      <c r="A869" t="str">
        <f>IFERROR(__xludf.DUMMYFUNCTION("""COMPUTED_VALUE"""),"#N/A")</f>
        <v>#N/A</v>
      </c>
      <c r="B869" s="451" t="str">
        <f>IFERROR(__xludf.DUMMYFUNCTION("""COMPUTED_VALUE"""),"#N/A")</f>
        <v>#N/A</v>
      </c>
    </row>
    <row r="870">
      <c r="A870" t="str">
        <f>IFERROR(__xludf.DUMMYFUNCTION("""COMPUTED_VALUE"""),"#N/A")</f>
        <v>#N/A</v>
      </c>
      <c r="B870" s="451" t="str">
        <f>IFERROR(__xludf.DUMMYFUNCTION("""COMPUTED_VALUE"""),"#N/A")</f>
        <v>#N/A</v>
      </c>
    </row>
    <row r="871">
      <c r="A871" t="str">
        <f>IFERROR(__xludf.DUMMYFUNCTION("""COMPUTED_VALUE"""),"#N/A")</f>
        <v>#N/A</v>
      </c>
      <c r="B871" s="451" t="str">
        <f>IFERROR(__xludf.DUMMYFUNCTION("""COMPUTED_VALUE"""),"#N/A")</f>
        <v>#N/A</v>
      </c>
    </row>
    <row r="872">
      <c r="A872" t="str">
        <f>IFERROR(__xludf.DUMMYFUNCTION("""COMPUTED_VALUE"""),"#N/A")</f>
        <v>#N/A</v>
      </c>
      <c r="B872" s="451" t="str">
        <f>IFERROR(__xludf.DUMMYFUNCTION("""COMPUTED_VALUE"""),"#N/A")</f>
        <v>#N/A</v>
      </c>
    </row>
    <row r="873">
      <c r="A873" t="str">
        <f>IFERROR(__xludf.DUMMYFUNCTION("""COMPUTED_VALUE"""),"#N/A")</f>
        <v>#N/A</v>
      </c>
      <c r="B873" s="451" t="str">
        <f>IFERROR(__xludf.DUMMYFUNCTION("""COMPUTED_VALUE"""),"#N/A")</f>
        <v>#N/A</v>
      </c>
    </row>
    <row r="874">
      <c r="A874" t="str">
        <f>IFERROR(__xludf.DUMMYFUNCTION("""COMPUTED_VALUE"""),"#N/A")</f>
        <v>#N/A</v>
      </c>
      <c r="B874" s="451" t="str">
        <f>IFERROR(__xludf.DUMMYFUNCTION("""COMPUTED_VALUE"""),"#N/A")</f>
        <v>#N/A</v>
      </c>
    </row>
    <row r="875">
      <c r="A875" t="str">
        <f>IFERROR(__xludf.DUMMYFUNCTION("""COMPUTED_VALUE"""),"#N/A")</f>
        <v>#N/A</v>
      </c>
      <c r="B875" s="451" t="str">
        <f>IFERROR(__xludf.DUMMYFUNCTION("""COMPUTED_VALUE"""),"#N/A")</f>
        <v>#N/A</v>
      </c>
    </row>
    <row r="876">
      <c r="A876" t="str">
        <f>IFERROR(__xludf.DUMMYFUNCTION("""COMPUTED_VALUE"""),"#N/A")</f>
        <v>#N/A</v>
      </c>
      <c r="B876" s="451" t="str">
        <f>IFERROR(__xludf.DUMMYFUNCTION("""COMPUTED_VALUE"""),"#N/A")</f>
        <v>#N/A</v>
      </c>
    </row>
    <row r="877">
      <c r="A877" t="str">
        <f>IFERROR(__xludf.DUMMYFUNCTION("""COMPUTED_VALUE"""),"#N/A")</f>
        <v>#N/A</v>
      </c>
      <c r="B877" s="451" t="str">
        <f>IFERROR(__xludf.DUMMYFUNCTION("""COMPUTED_VALUE"""),"#N/A")</f>
        <v>#N/A</v>
      </c>
    </row>
    <row r="878">
      <c r="A878" t="str">
        <f>IFERROR(__xludf.DUMMYFUNCTION("""COMPUTED_VALUE"""),"#N/A")</f>
        <v>#N/A</v>
      </c>
      <c r="B878" s="451" t="str">
        <f>IFERROR(__xludf.DUMMYFUNCTION("""COMPUTED_VALUE"""),"#N/A")</f>
        <v>#N/A</v>
      </c>
    </row>
    <row r="879">
      <c r="A879" t="str">
        <f>IFERROR(__xludf.DUMMYFUNCTION("""COMPUTED_VALUE"""),"#N/A")</f>
        <v>#N/A</v>
      </c>
      <c r="B879" s="451" t="str">
        <f>IFERROR(__xludf.DUMMYFUNCTION("""COMPUTED_VALUE"""),"#N/A")</f>
        <v>#N/A</v>
      </c>
    </row>
    <row r="880">
      <c r="A880" t="str">
        <f>IFERROR(__xludf.DUMMYFUNCTION("""COMPUTED_VALUE"""),"#N/A")</f>
        <v>#N/A</v>
      </c>
      <c r="B880" s="451" t="str">
        <f>IFERROR(__xludf.DUMMYFUNCTION("""COMPUTED_VALUE"""),"#N/A")</f>
        <v>#N/A</v>
      </c>
    </row>
    <row r="881">
      <c r="A881" t="str">
        <f>IFERROR(__xludf.DUMMYFUNCTION("""COMPUTED_VALUE"""),"#N/A")</f>
        <v>#N/A</v>
      </c>
      <c r="B881" s="451" t="str">
        <f>IFERROR(__xludf.DUMMYFUNCTION("""COMPUTED_VALUE"""),"#N/A")</f>
        <v>#N/A</v>
      </c>
    </row>
    <row r="882">
      <c r="A882" t="str">
        <f>IFERROR(__xludf.DUMMYFUNCTION("""COMPUTED_VALUE"""),"#N/A")</f>
        <v>#N/A</v>
      </c>
      <c r="B882" s="451" t="str">
        <f>IFERROR(__xludf.DUMMYFUNCTION("""COMPUTED_VALUE"""),"#N/A")</f>
        <v>#N/A</v>
      </c>
    </row>
    <row r="883">
      <c r="A883" t="str">
        <f>IFERROR(__xludf.DUMMYFUNCTION("""COMPUTED_VALUE"""),"#N/A")</f>
        <v>#N/A</v>
      </c>
      <c r="B883" s="451" t="str">
        <f>IFERROR(__xludf.DUMMYFUNCTION("""COMPUTED_VALUE"""),"#N/A")</f>
        <v>#N/A</v>
      </c>
    </row>
    <row r="884">
      <c r="A884" t="str">
        <f>IFERROR(__xludf.DUMMYFUNCTION("""COMPUTED_VALUE"""),"#N/A")</f>
        <v>#N/A</v>
      </c>
      <c r="B884" s="451" t="str">
        <f>IFERROR(__xludf.DUMMYFUNCTION("""COMPUTED_VALUE"""),"#N/A")</f>
        <v>#N/A</v>
      </c>
    </row>
    <row r="885">
      <c r="A885" t="str">
        <f>IFERROR(__xludf.DUMMYFUNCTION("""COMPUTED_VALUE"""),"#N/A")</f>
        <v>#N/A</v>
      </c>
      <c r="B885" s="451" t="str">
        <f>IFERROR(__xludf.DUMMYFUNCTION("""COMPUTED_VALUE"""),"#N/A")</f>
        <v>#N/A</v>
      </c>
    </row>
    <row r="886">
      <c r="A886" t="str">
        <f>IFERROR(__xludf.DUMMYFUNCTION("""COMPUTED_VALUE"""),"#N/A")</f>
        <v>#N/A</v>
      </c>
      <c r="B886" s="451" t="str">
        <f>IFERROR(__xludf.DUMMYFUNCTION("""COMPUTED_VALUE"""),"#N/A")</f>
        <v>#N/A</v>
      </c>
    </row>
    <row r="887">
      <c r="A887" t="str">
        <f>IFERROR(__xludf.DUMMYFUNCTION("""COMPUTED_VALUE"""),"#N/A")</f>
        <v>#N/A</v>
      </c>
      <c r="B887" s="451" t="str">
        <f>IFERROR(__xludf.DUMMYFUNCTION("""COMPUTED_VALUE"""),"#N/A")</f>
        <v>#N/A</v>
      </c>
    </row>
    <row r="888">
      <c r="A888" t="str">
        <f>IFERROR(__xludf.DUMMYFUNCTION("""COMPUTED_VALUE"""),"#N/A")</f>
        <v>#N/A</v>
      </c>
      <c r="B888" s="451" t="str">
        <f>IFERROR(__xludf.DUMMYFUNCTION("""COMPUTED_VALUE"""),"#N/A")</f>
        <v>#N/A</v>
      </c>
    </row>
    <row r="889">
      <c r="A889" t="str">
        <f>IFERROR(__xludf.DUMMYFUNCTION("""COMPUTED_VALUE"""),"#N/A")</f>
        <v>#N/A</v>
      </c>
      <c r="B889" s="451" t="str">
        <f>IFERROR(__xludf.DUMMYFUNCTION("""COMPUTED_VALUE"""),"#N/A")</f>
        <v>#N/A</v>
      </c>
    </row>
    <row r="890">
      <c r="A890" t="str">
        <f>IFERROR(__xludf.DUMMYFUNCTION("""COMPUTED_VALUE"""),"#N/A")</f>
        <v>#N/A</v>
      </c>
      <c r="B890" s="451" t="str">
        <f>IFERROR(__xludf.DUMMYFUNCTION("""COMPUTED_VALUE"""),"#N/A")</f>
        <v>#N/A</v>
      </c>
    </row>
    <row r="891">
      <c r="A891" t="str">
        <f>IFERROR(__xludf.DUMMYFUNCTION("""COMPUTED_VALUE"""),"#N/A")</f>
        <v>#N/A</v>
      </c>
      <c r="B891" s="451" t="str">
        <f>IFERROR(__xludf.DUMMYFUNCTION("""COMPUTED_VALUE"""),"#N/A")</f>
        <v>#N/A</v>
      </c>
    </row>
    <row r="892">
      <c r="A892" t="str">
        <f>IFERROR(__xludf.DUMMYFUNCTION("""COMPUTED_VALUE"""),"#N/A")</f>
        <v>#N/A</v>
      </c>
      <c r="B892" s="451" t="str">
        <f>IFERROR(__xludf.DUMMYFUNCTION("""COMPUTED_VALUE"""),"#N/A")</f>
        <v>#N/A</v>
      </c>
    </row>
    <row r="893">
      <c r="A893" t="str">
        <f>IFERROR(__xludf.DUMMYFUNCTION("""COMPUTED_VALUE"""),"#N/A")</f>
        <v>#N/A</v>
      </c>
      <c r="B893" s="451" t="str">
        <f>IFERROR(__xludf.DUMMYFUNCTION("""COMPUTED_VALUE"""),"#N/A")</f>
        <v>#N/A</v>
      </c>
    </row>
    <row r="894">
      <c r="A894" t="str">
        <f>IFERROR(__xludf.DUMMYFUNCTION("""COMPUTED_VALUE"""),"#N/A")</f>
        <v>#N/A</v>
      </c>
      <c r="B894" s="451" t="str">
        <f>IFERROR(__xludf.DUMMYFUNCTION("""COMPUTED_VALUE"""),"#N/A")</f>
        <v>#N/A</v>
      </c>
    </row>
    <row r="895">
      <c r="A895" t="str">
        <f>IFERROR(__xludf.DUMMYFUNCTION("""COMPUTED_VALUE"""),"#N/A")</f>
        <v>#N/A</v>
      </c>
      <c r="B895" s="451" t="str">
        <f>IFERROR(__xludf.DUMMYFUNCTION("""COMPUTED_VALUE"""),"#N/A")</f>
        <v>#N/A</v>
      </c>
    </row>
    <row r="896">
      <c r="A896" t="str">
        <f>IFERROR(__xludf.DUMMYFUNCTION("""COMPUTED_VALUE"""),"#N/A")</f>
        <v>#N/A</v>
      </c>
      <c r="B896" s="451" t="str">
        <f>IFERROR(__xludf.DUMMYFUNCTION("""COMPUTED_VALUE"""),"#N/A")</f>
        <v>#N/A</v>
      </c>
    </row>
    <row r="897">
      <c r="A897" t="str">
        <f>IFERROR(__xludf.DUMMYFUNCTION("""COMPUTED_VALUE"""),"#N/A")</f>
        <v>#N/A</v>
      </c>
      <c r="B897" s="451" t="str">
        <f>IFERROR(__xludf.DUMMYFUNCTION("""COMPUTED_VALUE"""),"#N/A")</f>
        <v>#N/A</v>
      </c>
    </row>
    <row r="898">
      <c r="A898" t="str">
        <f>IFERROR(__xludf.DUMMYFUNCTION("""COMPUTED_VALUE"""),"#N/A")</f>
        <v>#N/A</v>
      </c>
      <c r="B898" s="451" t="str">
        <f>IFERROR(__xludf.DUMMYFUNCTION("""COMPUTED_VALUE"""),"#N/A")</f>
        <v>#N/A</v>
      </c>
    </row>
    <row r="899">
      <c r="A899" t="str">
        <f>IFERROR(__xludf.DUMMYFUNCTION("""COMPUTED_VALUE"""),"#N/A")</f>
        <v>#N/A</v>
      </c>
      <c r="B899" s="451" t="str">
        <f>IFERROR(__xludf.DUMMYFUNCTION("""COMPUTED_VALUE"""),"#N/A")</f>
        <v>#N/A</v>
      </c>
    </row>
    <row r="900">
      <c r="A900" t="str">
        <f>IFERROR(__xludf.DUMMYFUNCTION("""COMPUTED_VALUE"""),"#N/A")</f>
        <v>#N/A</v>
      </c>
      <c r="B900" s="451" t="str">
        <f>IFERROR(__xludf.DUMMYFUNCTION("""COMPUTED_VALUE"""),"#N/A")</f>
        <v>#N/A</v>
      </c>
    </row>
    <row r="901">
      <c r="A901" t="str">
        <f>IFERROR(__xludf.DUMMYFUNCTION("""COMPUTED_VALUE"""),"#N/A")</f>
        <v>#N/A</v>
      </c>
      <c r="B901" s="451" t="str">
        <f>IFERROR(__xludf.DUMMYFUNCTION("""COMPUTED_VALUE"""),"#N/A")</f>
        <v>#N/A</v>
      </c>
    </row>
    <row r="902">
      <c r="A902" t="str">
        <f>IFERROR(__xludf.DUMMYFUNCTION("""COMPUTED_VALUE"""),"#N/A")</f>
        <v>#N/A</v>
      </c>
      <c r="B902" s="451" t="str">
        <f>IFERROR(__xludf.DUMMYFUNCTION("""COMPUTED_VALUE"""),"#N/A")</f>
        <v>#N/A</v>
      </c>
    </row>
    <row r="903">
      <c r="A903" t="str">
        <f>IFERROR(__xludf.DUMMYFUNCTION("""COMPUTED_VALUE"""),"#N/A")</f>
        <v>#N/A</v>
      </c>
      <c r="B903" s="451" t="str">
        <f>IFERROR(__xludf.DUMMYFUNCTION("""COMPUTED_VALUE"""),"#N/A")</f>
        <v>#N/A</v>
      </c>
    </row>
    <row r="904">
      <c r="A904" t="str">
        <f>IFERROR(__xludf.DUMMYFUNCTION("""COMPUTED_VALUE"""),"#N/A")</f>
        <v>#N/A</v>
      </c>
      <c r="B904" s="451" t="str">
        <f>IFERROR(__xludf.DUMMYFUNCTION("""COMPUTED_VALUE"""),"#N/A")</f>
        <v>#N/A</v>
      </c>
    </row>
    <row r="905">
      <c r="A905" t="str">
        <f>IFERROR(__xludf.DUMMYFUNCTION("""COMPUTED_VALUE"""),"#N/A")</f>
        <v>#N/A</v>
      </c>
      <c r="B905" s="451" t="str">
        <f>IFERROR(__xludf.DUMMYFUNCTION("""COMPUTED_VALUE"""),"#N/A")</f>
        <v>#N/A</v>
      </c>
    </row>
    <row r="906">
      <c r="A906" t="str">
        <f>IFERROR(__xludf.DUMMYFUNCTION("""COMPUTED_VALUE"""),"#N/A")</f>
        <v>#N/A</v>
      </c>
      <c r="B906" s="451" t="str">
        <f>IFERROR(__xludf.DUMMYFUNCTION("""COMPUTED_VALUE"""),"#N/A")</f>
        <v>#N/A</v>
      </c>
    </row>
    <row r="907">
      <c r="A907" t="str">
        <f>IFERROR(__xludf.DUMMYFUNCTION("""COMPUTED_VALUE"""),"#N/A")</f>
        <v>#N/A</v>
      </c>
      <c r="B907" s="451" t="str">
        <f>IFERROR(__xludf.DUMMYFUNCTION("""COMPUTED_VALUE"""),"#N/A")</f>
        <v>#N/A</v>
      </c>
    </row>
    <row r="908">
      <c r="A908" t="str">
        <f>IFERROR(__xludf.DUMMYFUNCTION("""COMPUTED_VALUE"""),"#N/A")</f>
        <v>#N/A</v>
      </c>
      <c r="B908" s="451" t="str">
        <f>IFERROR(__xludf.DUMMYFUNCTION("""COMPUTED_VALUE"""),"#N/A")</f>
        <v>#N/A</v>
      </c>
    </row>
    <row r="909">
      <c r="A909" t="str">
        <f>IFERROR(__xludf.DUMMYFUNCTION("""COMPUTED_VALUE"""),"#N/A")</f>
        <v>#N/A</v>
      </c>
      <c r="B909" s="451" t="str">
        <f>IFERROR(__xludf.DUMMYFUNCTION("""COMPUTED_VALUE"""),"#N/A")</f>
        <v>#N/A</v>
      </c>
    </row>
    <row r="910">
      <c r="A910" t="str">
        <f>IFERROR(__xludf.DUMMYFUNCTION("""COMPUTED_VALUE"""),"#N/A")</f>
        <v>#N/A</v>
      </c>
      <c r="B910" s="451" t="str">
        <f>IFERROR(__xludf.DUMMYFUNCTION("""COMPUTED_VALUE"""),"#N/A")</f>
        <v>#N/A</v>
      </c>
    </row>
    <row r="911">
      <c r="A911" t="str">
        <f>IFERROR(__xludf.DUMMYFUNCTION("""COMPUTED_VALUE"""),"#N/A")</f>
        <v>#N/A</v>
      </c>
      <c r="B911" s="451" t="str">
        <f>IFERROR(__xludf.DUMMYFUNCTION("""COMPUTED_VALUE"""),"#N/A")</f>
        <v>#N/A</v>
      </c>
    </row>
    <row r="912">
      <c r="A912" t="str">
        <f>IFERROR(__xludf.DUMMYFUNCTION("""COMPUTED_VALUE"""),"#N/A")</f>
        <v>#N/A</v>
      </c>
      <c r="B912" s="451" t="str">
        <f>IFERROR(__xludf.DUMMYFUNCTION("""COMPUTED_VALUE"""),"#N/A")</f>
        <v>#N/A</v>
      </c>
    </row>
    <row r="913">
      <c r="A913" t="str">
        <f>IFERROR(__xludf.DUMMYFUNCTION("""COMPUTED_VALUE"""),"#N/A")</f>
        <v>#N/A</v>
      </c>
      <c r="B913" s="451" t="str">
        <f>IFERROR(__xludf.DUMMYFUNCTION("""COMPUTED_VALUE"""),"#N/A")</f>
        <v>#N/A</v>
      </c>
    </row>
    <row r="914">
      <c r="A914" t="str">
        <f>IFERROR(__xludf.DUMMYFUNCTION("""COMPUTED_VALUE"""),"#N/A")</f>
        <v>#N/A</v>
      </c>
      <c r="B914" s="451" t="str">
        <f>IFERROR(__xludf.DUMMYFUNCTION("""COMPUTED_VALUE"""),"#N/A")</f>
        <v>#N/A</v>
      </c>
    </row>
    <row r="915">
      <c r="A915" t="str">
        <f>IFERROR(__xludf.DUMMYFUNCTION("""COMPUTED_VALUE"""),"#N/A")</f>
        <v>#N/A</v>
      </c>
      <c r="B915" s="451" t="str">
        <f>IFERROR(__xludf.DUMMYFUNCTION("""COMPUTED_VALUE"""),"#N/A")</f>
        <v>#N/A</v>
      </c>
    </row>
    <row r="916">
      <c r="A916" t="str">
        <f>IFERROR(__xludf.DUMMYFUNCTION("""COMPUTED_VALUE"""),"#N/A")</f>
        <v>#N/A</v>
      </c>
      <c r="B916" s="451" t="str">
        <f>IFERROR(__xludf.DUMMYFUNCTION("""COMPUTED_VALUE"""),"#N/A")</f>
        <v>#N/A</v>
      </c>
    </row>
    <row r="917">
      <c r="A917" t="str">
        <f>IFERROR(__xludf.DUMMYFUNCTION("""COMPUTED_VALUE"""),"#N/A")</f>
        <v>#N/A</v>
      </c>
      <c r="B917" s="451" t="str">
        <f>IFERROR(__xludf.DUMMYFUNCTION("""COMPUTED_VALUE"""),"#N/A")</f>
        <v>#N/A</v>
      </c>
    </row>
    <row r="918">
      <c r="A918" t="str">
        <f>IFERROR(__xludf.DUMMYFUNCTION("""COMPUTED_VALUE"""),"#N/A")</f>
        <v>#N/A</v>
      </c>
      <c r="B918" s="451" t="str">
        <f>IFERROR(__xludf.DUMMYFUNCTION("""COMPUTED_VALUE"""),"#N/A")</f>
        <v>#N/A</v>
      </c>
    </row>
    <row r="919">
      <c r="A919" t="str">
        <f>IFERROR(__xludf.DUMMYFUNCTION("""COMPUTED_VALUE"""),"#N/A")</f>
        <v>#N/A</v>
      </c>
      <c r="B919" s="451" t="str">
        <f>IFERROR(__xludf.DUMMYFUNCTION("""COMPUTED_VALUE"""),"#N/A")</f>
        <v>#N/A</v>
      </c>
    </row>
    <row r="920">
      <c r="A920" t="str">
        <f>IFERROR(__xludf.DUMMYFUNCTION("""COMPUTED_VALUE"""),"#N/A")</f>
        <v>#N/A</v>
      </c>
      <c r="B920" s="451" t="str">
        <f>IFERROR(__xludf.DUMMYFUNCTION("""COMPUTED_VALUE"""),"#N/A")</f>
        <v>#N/A</v>
      </c>
    </row>
    <row r="921">
      <c r="A921" t="str">
        <f>IFERROR(__xludf.DUMMYFUNCTION("""COMPUTED_VALUE"""),"#N/A")</f>
        <v>#N/A</v>
      </c>
      <c r="B921" s="451" t="str">
        <f>IFERROR(__xludf.DUMMYFUNCTION("""COMPUTED_VALUE"""),"#N/A")</f>
        <v>#N/A</v>
      </c>
    </row>
    <row r="922">
      <c r="A922" t="str">
        <f>IFERROR(__xludf.DUMMYFUNCTION("""COMPUTED_VALUE"""),"#N/A")</f>
        <v>#N/A</v>
      </c>
      <c r="B922" s="451" t="str">
        <f>IFERROR(__xludf.DUMMYFUNCTION("""COMPUTED_VALUE"""),"#N/A")</f>
        <v>#N/A</v>
      </c>
    </row>
    <row r="923">
      <c r="A923" t="str">
        <f>IFERROR(__xludf.DUMMYFUNCTION("""COMPUTED_VALUE"""),"#N/A")</f>
        <v>#N/A</v>
      </c>
      <c r="B923" s="451" t="str">
        <f>IFERROR(__xludf.DUMMYFUNCTION("""COMPUTED_VALUE"""),"#N/A")</f>
        <v>#N/A</v>
      </c>
    </row>
    <row r="924">
      <c r="A924" t="str">
        <f>IFERROR(__xludf.DUMMYFUNCTION("""COMPUTED_VALUE"""),"#N/A")</f>
        <v>#N/A</v>
      </c>
      <c r="B924" s="451" t="str">
        <f>IFERROR(__xludf.DUMMYFUNCTION("""COMPUTED_VALUE"""),"#N/A")</f>
        <v>#N/A</v>
      </c>
    </row>
    <row r="925">
      <c r="A925" t="str">
        <f>IFERROR(__xludf.DUMMYFUNCTION("""COMPUTED_VALUE"""),"#N/A")</f>
        <v>#N/A</v>
      </c>
      <c r="B925" s="451" t="str">
        <f>IFERROR(__xludf.DUMMYFUNCTION("""COMPUTED_VALUE"""),"#N/A")</f>
        <v>#N/A</v>
      </c>
    </row>
    <row r="926">
      <c r="A926" t="str">
        <f>IFERROR(__xludf.DUMMYFUNCTION("""COMPUTED_VALUE"""),"#N/A")</f>
        <v>#N/A</v>
      </c>
      <c r="B926" s="451" t="str">
        <f>IFERROR(__xludf.DUMMYFUNCTION("""COMPUTED_VALUE"""),"#N/A")</f>
        <v>#N/A</v>
      </c>
    </row>
    <row r="927">
      <c r="A927" t="str">
        <f>IFERROR(__xludf.DUMMYFUNCTION("""COMPUTED_VALUE"""),"#N/A")</f>
        <v>#N/A</v>
      </c>
      <c r="B927" s="451" t="str">
        <f>IFERROR(__xludf.DUMMYFUNCTION("""COMPUTED_VALUE"""),"#N/A")</f>
        <v>#N/A</v>
      </c>
    </row>
    <row r="928">
      <c r="A928" t="str">
        <f>IFERROR(__xludf.DUMMYFUNCTION("""COMPUTED_VALUE"""),"#N/A")</f>
        <v>#N/A</v>
      </c>
      <c r="B928" s="451" t="str">
        <f>IFERROR(__xludf.DUMMYFUNCTION("""COMPUTED_VALUE"""),"#N/A")</f>
        <v>#N/A</v>
      </c>
    </row>
    <row r="929">
      <c r="A929" t="str">
        <f>IFERROR(__xludf.DUMMYFUNCTION("""COMPUTED_VALUE"""),"#N/A")</f>
        <v>#N/A</v>
      </c>
      <c r="B929" s="451" t="str">
        <f>IFERROR(__xludf.DUMMYFUNCTION("""COMPUTED_VALUE"""),"#N/A")</f>
        <v>#N/A</v>
      </c>
    </row>
    <row r="930">
      <c r="A930" t="str">
        <f>IFERROR(__xludf.DUMMYFUNCTION("""COMPUTED_VALUE"""),"#N/A")</f>
        <v>#N/A</v>
      </c>
      <c r="B930" s="451" t="str">
        <f>IFERROR(__xludf.DUMMYFUNCTION("""COMPUTED_VALUE"""),"#N/A")</f>
        <v>#N/A</v>
      </c>
    </row>
    <row r="931">
      <c r="A931" t="str">
        <f>IFERROR(__xludf.DUMMYFUNCTION("""COMPUTED_VALUE"""),"#N/A")</f>
        <v>#N/A</v>
      </c>
      <c r="B931" s="451" t="str">
        <f>IFERROR(__xludf.DUMMYFUNCTION("""COMPUTED_VALUE"""),"#N/A")</f>
        <v>#N/A</v>
      </c>
    </row>
    <row r="932">
      <c r="A932" t="str">
        <f>IFERROR(__xludf.DUMMYFUNCTION("""COMPUTED_VALUE"""),"#N/A")</f>
        <v>#N/A</v>
      </c>
      <c r="B932" s="451" t="str">
        <f>IFERROR(__xludf.DUMMYFUNCTION("""COMPUTED_VALUE"""),"#N/A")</f>
        <v>#N/A</v>
      </c>
    </row>
    <row r="933">
      <c r="A933" t="str">
        <f>IFERROR(__xludf.DUMMYFUNCTION("""COMPUTED_VALUE"""),"#N/A")</f>
        <v>#N/A</v>
      </c>
      <c r="B933" s="451" t="str">
        <f>IFERROR(__xludf.DUMMYFUNCTION("""COMPUTED_VALUE"""),"#N/A")</f>
        <v>#N/A</v>
      </c>
    </row>
    <row r="934">
      <c r="A934" t="str">
        <f>IFERROR(__xludf.DUMMYFUNCTION("""COMPUTED_VALUE"""),"#N/A")</f>
        <v>#N/A</v>
      </c>
      <c r="B934" s="451" t="str">
        <f>IFERROR(__xludf.DUMMYFUNCTION("""COMPUTED_VALUE"""),"#N/A")</f>
        <v>#N/A</v>
      </c>
    </row>
    <row r="935">
      <c r="A935" t="str">
        <f>IFERROR(__xludf.DUMMYFUNCTION("""COMPUTED_VALUE"""),"#N/A")</f>
        <v>#N/A</v>
      </c>
      <c r="B935" s="451" t="str">
        <f>IFERROR(__xludf.DUMMYFUNCTION("""COMPUTED_VALUE"""),"#N/A")</f>
        <v>#N/A</v>
      </c>
    </row>
    <row r="936">
      <c r="A936" t="str">
        <f>IFERROR(__xludf.DUMMYFUNCTION("""COMPUTED_VALUE"""),"#N/A")</f>
        <v>#N/A</v>
      </c>
      <c r="B936" s="451" t="str">
        <f>IFERROR(__xludf.DUMMYFUNCTION("""COMPUTED_VALUE"""),"#N/A")</f>
        <v>#N/A</v>
      </c>
    </row>
    <row r="937">
      <c r="A937" t="str">
        <f>IFERROR(__xludf.DUMMYFUNCTION("""COMPUTED_VALUE"""),"#N/A")</f>
        <v>#N/A</v>
      </c>
      <c r="B937" s="451" t="str">
        <f>IFERROR(__xludf.DUMMYFUNCTION("""COMPUTED_VALUE"""),"#N/A")</f>
        <v>#N/A</v>
      </c>
    </row>
    <row r="938">
      <c r="A938" t="str">
        <f>IFERROR(__xludf.DUMMYFUNCTION("""COMPUTED_VALUE"""),"#N/A")</f>
        <v>#N/A</v>
      </c>
      <c r="B938" s="451" t="str">
        <f>IFERROR(__xludf.DUMMYFUNCTION("""COMPUTED_VALUE"""),"#N/A")</f>
        <v>#N/A</v>
      </c>
    </row>
    <row r="939">
      <c r="A939" t="str">
        <f>IFERROR(__xludf.DUMMYFUNCTION("""COMPUTED_VALUE"""),"#N/A")</f>
        <v>#N/A</v>
      </c>
      <c r="B939" s="451" t="str">
        <f>IFERROR(__xludf.DUMMYFUNCTION("""COMPUTED_VALUE"""),"#N/A")</f>
        <v>#N/A</v>
      </c>
    </row>
    <row r="940">
      <c r="A940" t="str">
        <f>IFERROR(__xludf.DUMMYFUNCTION("""COMPUTED_VALUE"""),"#N/A")</f>
        <v>#N/A</v>
      </c>
      <c r="B940" s="451" t="str">
        <f>IFERROR(__xludf.DUMMYFUNCTION("""COMPUTED_VALUE"""),"#N/A")</f>
        <v>#N/A</v>
      </c>
    </row>
    <row r="941">
      <c r="A941" t="str">
        <f>IFERROR(__xludf.DUMMYFUNCTION("""COMPUTED_VALUE"""),"#N/A")</f>
        <v>#N/A</v>
      </c>
      <c r="B941" s="451" t="str">
        <f>IFERROR(__xludf.DUMMYFUNCTION("""COMPUTED_VALUE"""),"#N/A")</f>
        <v>#N/A</v>
      </c>
    </row>
    <row r="942">
      <c r="A942" t="str">
        <f>IFERROR(__xludf.DUMMYFUNCTION("""COMPUTED_VALUE"""),"#N/A")</f>
        <v>#N/A</v>
      </c>
      <c r="B942" s="451" t="str">
        <f>IFERROR(__xludf.DUMMYFUNCTION("""COMPUTED_VALUE"""),"#N/A")</f>
        <v>#N/A</v>
      </c>
    </row>
    <row r="943">
      <c r="A943" t="str">
        <f>IFERROR(__xludf.DUMMYFUNCTION("""COMPUTED_VALUE"""),"#N/A")</f>
        <v>#N/A</v>
      </c>
      <c r="B943" s="451" t="str">
        <f>IFERROR(__xludf.DUMMYFUNCTION("""COMPUTED_VALUE"""),"#N/A")</f>
        <v>#N/A</v>
      </c>
    </row>
    <row r="944">
      <c r="A944" t="str">
        <f>IFERROR(__xludf.DUMMYFUNCTION("""COMPUTED_VALUE"""),"#N/A")</f>
        <v>#N/A</v>
      </c>
      <c r="B944" s="451" t="str">
        <f>IFERROR(__xludf.DUMMYFUNCTION("""COMPUTED_VALUE"""),"#N/A")</f>
        <v>#N/A</v>
      </c>
    </row>
    <row r="945">
      <c r="A945" t="str">
        <f>IFERROR(__xludf.DUMMYFUNCTION("""COMPUTED_VALUE"""),"#N/A")</f>
        <v>#N/A</v>
      </c>
      <c r="B945" s="451" t="str">
        <f>IFERROR(__xludf.DUMMYFUNCTION("""COMPUTED_VALUE"""),"#N/A")</f>
        <v>#N/A</v>
      </c>
    </row>
    <row r="946">
      <c r="A946" t="str">
        <f>IFERROR(__xludf.DUMMYFUNCTION("""COMPUTED_VALUE"""),"#N/A")</f>
        <v>#N/A</v>
      </c>
      <c r="B946" s="451" t="str">
        <f>IFERROR(__xludf.DUMMYFUNCTION("""COMPUTED_VALUE"""),"#N/A")</f>
        <v>#N/A</v>
      </c>
    </row>
    <row r="947">
      <c r="A947" t="str">
        <f>IFERROR(__xludf.DUMMYFUNCTION("""COMPUTED_VALUE"""),"#N/A")</f>
        <v>#N/A</v>
      </c>
      <c r="B947" s="451" t="str">
        <f>IFERROR(__xludf.DUMMYFUNCTION("""COMPUTED_VALUE"""),"#N/A")</f>
        <v>#N/A</v>
      </c>
    </row>
    <row r="948">
      <c r="A948" t="str">
        <f>IFERROR(__xludf.DUMMYFUNCTION("""COMPUTED_VALUE"""),"#N/A")</f>
        <v>#N/A</v>
      </c>
      <c r="B948" s="451" t="str">
        <f>IFERROR(__xludf.DUMMYFUNCTION("""COMPUTED_VALUE"""),"#N/A")</f>
        <v>#N/A</v>
      </c>
    </row>
    <row r="949">
      <c r="A949" t="str">
        <f>IFERROR(__xludf.DUMMYFUNCTION("""COMPUTED_VALUE"""),"#N/A")</f>
        <v>#N/A</v>
      </c>
      <c r="B949" s="451" t="str">
        <f>IFERROR(__xludf.DUMMYFUNCTION("""COMPUTED_VALUE"""),"#N/A")</f>
        <v>#N/A</v>
      </c>
    </row>
    <row r="950">
      <c r="A950" t="str">
        <f>IFERROR(__xludf.DUMMYFUNCTION("""COMPUTED_VALUE"""),"#N/A")</f>
        <v>#N/A</v>
      </c>
      <c r="B950" s="451" t="str">
        <f>IFERROR(__xludf.DUMMYFUNCTION("""COMPUTED_VALUE"""),"#N/A")</f>
        <v>#N/A</v>
      </c>
    </row>
    <row r="951">
      <c r="A951" t="str">
        <f>IFERROR(__xludf.DUMMYFUNCTION("""COMPUTED_VALUE"""),"#N/A")</f>
        <v>#N/A</v>
      </c>
      <c r="B951" s="451" t="str">
        <f>IFERROR(__xludf.DUMMYFUNCTION("""COMPUTED_VALUE"""),"#N/A")</f>
        <v>#N/A</v>
      </c>
    </row>
    <row r="952">
      <c r="A952" t="str">
        <f>IFERROR(__xludf.DUMMYFUNCTION("""COMPUTED_VALUE"""),"#N/A")</f>
        <v>#N/A</v>
      </c>
      <c r="B952" s="451" t="str">
        <f>IFERROR(__xludf.DUMMYFUNCTION("""COMPUTED_VALUE"""),"#N/A")</f>
        <v>#N/A</v>
      </c>
    </row>
    <row r="953">
      <c r="A953" t="str">
        <f>IFERROR(__xludf.DUMMYFUNCTION("""COMPUTED_VALUE"""),"#N/A")</f>
        <v>#N/A</v>
      </c>
      <c r="B953" s="451" t="str">
        <f>IFERROR(__xludf.DUMMYFUNCTION("""COMPUTED_VALUE"""),"#N/A")</f>
        <v>#N/A</v>
      </c>
    </row>
    <row r="954">
      <c r="A954" t="str">
        <f>IFERROR(__xludf.DUMMYFUNCTION("""COMPUTED_VALUE"""),"#N/A")</f>
        <v>#N/A</v>
      </c>
      <c r="B954" s="451" t="str">
        <f>IFERROR(__xludf.DUMMYFUNCTION("""COMPUTED_VALUE"""),"#N/A")</f>
        <v>#N/A</v>
      </c>
    </row>
    <row r="955">
      <c r="A955" t="str">
        <f>IFERROR(__xludf.DUMMYFUNCTION("""COMPUTED_VALUE"""),"#N/A")</f>
        <v>#N/A</v>
      </c>
      <c r="B955" s="451" t="str">
        <f>IFERROR(__xludf.DUMMYFUNCTION("""COMPUTED_VALUE"""),"#N/A")</f>
        <v>#N/A</v>
      </c>
    </row>
    <row r="956">
      <c r="A956" t="str">
        <f>IFERROR(__xludf.DUMMYFUNCTION("""COMPUTED_VALUE"""),"#N/A")</f>
        <v>#N/A</v>
      </c>
      <c r="B956" s="451" t="str">
        <f>IFERROR(__xludf.DUMMYFUNCTION("""COMPUTED_VALUE"""),"#N/A")</f>
        <v>#N/A</v>
      </c>
    </row>
    <row r="957">
      <c r="A957" t="str">
        <f>IFERROR(__xludf.DUMMYFUNCTION("""COMPUTED_VALUE"""),"#N/A")</f>
        <v>#N/A</v>
      </c>
      <c r="B957" s="451" t="str">
        <f>IFERROR(__xludf.DUMMYFUNCTION("""COMPUTED_VALUE"""),"#N/A")</f>
        <v>#N/A</v>
      </c>
    </row>
    <row r="958">
      <c r="A958" t="str">
        <f>IFERROR(__xludf.DUMMYFUNCTION("""COMPUTED_VALUE"""),"#N/A")</f>
        <v>#N/A</v>
      </c>
      <c r="B958" s="451" t="str">
        <f>IFERROR(__xludf.DUMMYFUNCTION("""COMPUTED_VALUE"""),"#N/A")</f>
        <v>#N/A</v>
      </c>
    </row>
    <row r="959">
      <c r="A959" t="str">
        <f>IFERROR(__xludf.DUMMYFUNCTION("""COMPUTED_VALUE"""),"#N/A")</f>
        <v>#N/A</v>
      </c>
      <c r="B959" s="451" t="str">
        <f>IFERROR(__xludf.DUMMYFUNCTION("""COMPUTED_VALUE"""),"#N/A")</f>
        <v>#N/A</v>
      </c>
    </row>
    <row r="960">
      <c r="A960" t="str">
        <f>IFERROR(__xludf.DUMMYFUNCTION("""COMPUTED_VALUE"""),"#N/A")</f>
        <v>#N/A</v>
      </c>
      <c r="B960" s="451" t="str">
        <f>IFERROR(__xludf.DUMMYFUNCTION("""COMPUTED_VALUE"""),"#N/A")</f>
        <v>#N/A</v>
      </c>
    </row>
    <row r="961">
      <c r="A961" t="str">
        <f>IFERROR(__xludf.DUMMYFUNCTION("""COMPUTED_VALUE"""),"#N/A")</f>
        <v>#N/A</v>
      </c>
      <c r="B961" s="451" t="str">
        <f>IFERROR(__xludf.DUMMYFUNCTION("""COMPUTED_VALUE"""),"#N/A")</f>
        <v>#N/A</v>
      </c>
    </row>
    <row r="962">
      <c r="A962" t="str">
        <f>IFERROR(__xludf.DUMMYFUNCTION("""COMPUTED_VALUE"""),"#N/A")</f>
        <v>#N/A</v>
      </c>
      <c r="B962" s="451" t="str">
        <f>IFERROR(__xludf.DUMMYFUNCTION("""COMPUTED_VALUE"""),"#N/A")</f>
        <v>#N/A</v>
      </c>
    </row>
    <row r="963">
      <c r="A963" t="str">
        <f>IFERROR(__xludf.DUMMYFUNCTION("""COMPUTED_VALUE"""),"#N/A")</f>
        <v>#N/A</v>
      </c>
      <c r="B963" s="451" t="str">
        <f>IFERROR(__xludf.DUMMYFUNCTION("""COMPUTED_VALUE"""),"#N/A")</f>
        <v>#N/A</v>
      </c>
    </row>
    <row r="964">
      <c r="A964" t="str">
        <f>IFERROR(__xludf.DUMMYFUNCTION("""COMPUTED_VALUE"""),"#N/A")</f>
        <v>#N/A</v>
      </c>
      <c r="B964" s="451" t="str">
        <f>IFERROR(__xludf.DUMMYFUNCTION("""COMPUTED_VALUE"""),"#N/A")</f>
        <v>#N/A</v>
      </c>
    </row>
    <row r="965">
      <c r="A965" t="str">
        <f>IFERROR(__xludf.DUMMYFUNCTION("""COMPUTED_VALUE"""),"#N/A")</f>
        <v>#N/A</v>
      </c>
      <c r="B965" s="451" t="str">
        <f>IFERROR(__xludf.DUMMYFUNCTION("""COMPUTED_VALUE"""),"#N/A")</f>
        <v>#N/A</v>
      </c>
    </row>
    <row r="966">
      <c r="A966" t="str">
        <f>IFERROR(__xludf.DUMMYFUNCTION("""COMPUTED_VALUE"""),"#N/A")</f>
        <v>#N/A</v>
      </c>
      <c r="B966" s="451" t="str">
        <f>IFERROR(__xludf.DUMMYFUNCTION("""COMPUTED_VALUE"""),"#N/A")</f>
        <v>#N/A</v>
      </c>
    </row>
    <row r="967">
      <c r="A967" t="str">
        <f>IFERROR(__xludf.DUMMYFUNCTION("""COMPUTED_VALUE"""),"#N/A")</f>
        <v>#N/A</v>
      </c>
      <c r="B967" s="451" t="str">
        <f>IFERROR(__xludf.DUMMYFUNCTION("""COMPUTED_VALUE"""),"#N/A")</f>
        <v>#N/A</v>
      </c>
    </row>
    <row r="968">
      <c r="A968" t="str">
        <f>IFERROR(__xludf.DUMMYFUNCTION("""COMPUTED_VALUE"""),"#N/A")</f>
        <v>#N/A</v>
      </c>
      <c r="B968" s="451" t="str">
        <f>IFERROR(__xludf.DUMMYFUNCTION("""COMPUTED_VALUE"""),"#N/A")</f>
        <v>#N/A</v>
      </c>
    </row>
    <row r="969">
      <c r="A969" t="str">
        <f>IFERROR(__xludf.DUMMYFUNCTION("""COMPUTED_VALUE"""),"#N/A")</f>
        <v>#N/A</v>
      </c>
      <c r="B969" s="451" t="str">
        <f>IFERROR(__xludf.DUMMYFUNCTION("""COMPUTED_VALUE"""),"#N/A")</f>
        <v>#N/A</v>
      </c>
    </row>
    <row r="970">
      <c r="A970" t="str">
        <f>IFERROR(__xludf.DUMMYFUNCTION("""COMPUTED_VALUE"""),"#N/A")</f>
        <v>#N/A</v>
      </c>
      <c r="B970" s="451" t="str">
        <f>IFERROR(__xludf.DUMMYFUNCTION("""COMPUTED_VALUE"""),"#N/A")</f>
        <v>#N/A</v>
      </c>
    </row>
    <row r="971">
      <c r="A971" t="str">
        <f>IFERROR(__xludf.DUMMYFUNCTION("""COMPUTED_VALUE"""),"#N/A")</f>
        <v>#N/A</v>
      </c>
      <c r="B971" s="451" t="str">
        <f>IFERROR(__xludf.DUMMYFUNCTION("""COMPUTED_VALUE"""),"#N/A")</f>
        <v>#N/A</v>
      </c>
    </row>
    <row r="972">
      <c r="A972" t="str">
        <f>IFERROR(__xludf.DUMMYFUNCTION("""COMPUTED_VALUE"""),"#N/A")</f>
        <v>#N/A</v>
      </c>
      <c r="B972" s="451" t="str">
        <f>IFERROR(__xludf.DUMMYFUNCTION("""COMPUTED_VALUE"""),"#N/A")</f>
        <v>#N/A</v>
      </c>
    </row>
    <row r="973">
      <c r="A973" t="str">
        <f>IFERROR(__xludf.DUMMYFUNCTION("""COMPUTED_VALUE"""),"#N/A")</f>
        <v>#N/A</v>
      </c>
      <c r="B973" s="451" t="str">
        <f>IFERROR(__xludf.DUMMYFUNCTION("""COMPUTED_VALUE"""),"#N/A")</f>
        <v>#N/A</v>
      </c>
    </row>
    <row r="974">
      <c r="A974" t="str">
        <f>IFERROR(__xludf.DUMMYFUNCTION("""COMPUTED_VALUE"""),"#N/A")</f>
        <v>#N/A</v>
      </c>
      <c r="B974" s="451" t="str">
        <f>IFERROR(__xludf.DUMMYFUNCTION("""COMPUTED_VALUE"""),"#N/A")</f>
        <v>#N/A</v>
      </c>
    </row>
    <row r="975">
      <c r="A975" t="str">
        <f>IFERROR(__xludf.DUMMYFUNCTION("""COMPUTED_VALUE"""),"#N/A")</f>
        <v>#N/A</v>
      </c>
      <c r="B975" s="451" t="str">
        <f>IFERROR(__xludf.DUMMYFUNCTION("""COMPUTED_VALUE"""),"#N/A")</f>
        <v>#N/A</v>
      </c>
    </row>
    <row r="976">
      <c r="A976" t="str">
        <f>IFERROR(__xludf.DUMMYFUNCTION("""COMPUTED_VALUE"""),"#N/A")</f>
        <v>#N/A</v>
      </c>
      <c r="B976" s="451" t="str">
        <f>IFERROR(__xludf.DUMMYFUNCTION("""COMPUTED_VALUE"""),"#N/A")</f>
        <v>#N/A</v>
      </c>
    </row>
    <row r="977">
      <c r="A977" t="str">
        <f>IFERROR(__xludf.DUMMYFUNCTION("""COMPUTED_VALUE"""),"#N/A")</f>
        <v>#N/A</v>
      </c>
      <c r="B977" s="451" t="str">
        <f>IFERROR(__xludf.DUMMYFUNCTION("""COMPUTED_VALUE"""),"#N/A")</f>
        <v>#N/A</v>
      </c>
    </row>
    <row r="978">
      <c r="A978" t="str">
        <f>IFERROR(__xludf.DUMMYFUNCTION("""COMPUTED_VALUE"""),"#N/A")</f>
        <v>#N/A</v>
      </c>
      <c r="B978" s="451" t="str">
        <f>IFERROR(__xludf.DUMMYFUNCTION("""COMPUTED_VALUE"""),"#N/A")</f>
        <v>#N/A</v>
      </c>
    </row>
    <row r="979">
      <c r="A979" t="str">
        <f>IFERROR(__xludf.DUMMYFUNCTION("""COMPUTED_VALUE"""),"#N/A")</f>
        <v>#N/A</v>
      </c>
      <c r="B979" s="451" t="str">
        <f>IFERROR(__xludf.DUMMYFUNCTION("""COMPUTED_VALUE"""),"#N/A")</f>
        <v>#N/A</v>
      </c>
    </row>
    <row r="980">
      <c r="A980" t="str">
        <f>IFERROR(__xludf.DUMMYFUNCTION("""COMPUTED_VALUE"""),"#N/A")</f>
        <v>#N/A</v>
      </c>
      <c r="B980" s="451" t="str">
        <f>IFERROR(__xludf.DUMMYFUNCTION("""COMPUTED_VALUE"""),"#N/A")</f>
        <v>#N/A</v>
      </c>
    </row>
    <row r="981">
      <c r="A981" t="str">
        <f>IFERROR(__xludf.DUMMYFUNCTION("""COMPUTED_VALUE"""),"#N/A")</f>
        <v>#N/A</v>
      </c>
      <c r="B981" s="451" t="str">
        <f>IFERROR(__xludf.DUMMYFUNCTION("""COMPUTED_VALUE"""),"#N/A")</f>
        <v>#N/A</v>
      </c>
    </row>
    <row r="982">
      <c r="A982" t="str">
        <f>IFERROR(__xludf.DUMMYFUNCTION("""COMPUTED_VALUE"""),"#N/A")</f>
        <v>#N/A</v>
      </c>
      <c r="B982" s="451" t="str">
        <f>IFERROR(__xludf.DUMMYFUNCTION("""COMPUTED_VALUE"""),"#N/A")</f>
        <v>#N/A</v>
      </c>
    </row>
    <row r="983">
      <c r="A983" t="str">
        <f>IFERROR(__xludf.DUMMYFUNCTION("""COMPUTED_VALUE"""),"#N/A")</f>
        <v>#N/A</v>
      </c>
      <c r="B983" s="451" t="str">
        <f>IFERROR(__xludf.DUMMYFUNCTION("""COMPUTED_VALUE"""),"#N/A")</f>
        <v>#N/A</v>
      </c>
    </row>
    <row r="984">
      <c r="A984" t="str">
        <f>IFERROR(__xludf.DUMMYFUNCTION("""COMPUTED_VALUE"""),"#N/A")</f>
        <v>#N/A</v>
      </c>
      <c r="B984" s="451" t="str">
        <f>IFERROR(__xludf.DUMMYFUNCTION("""COMPUTED_VALUE"""),"#N/A")</f>
        <v>#N/A</v>
      </c>
    </row>
    <row r="985">
      <c r="A985" t="str">
        <f>IFERROR(__xludf.DUMMYFUNCTION("""COMPUTED_VALUE"""),"#N/A")</f>
        <v>#N/A</v>
      </c>
      <c r="B985" s="451" t="str">
        <f>IFERROR(__xludf.DUMMYFUNCTION("""COMPUTED_VALUE"""),"#N/A")</f>
        <v>#N/A</v>
      </c>
    </row>
    <row r="986">
      <c r="A986" t="str">
        <f>IFERROR(__xludf.DUMMYFUNCTION("""COMPUTED_VALUE"""),"#N/A")</f>
        <v>#N/A</v>
      </c>
      <c r="B986" s="451" t="str">
        <f>IFERROR(__xludf.DUMMYFUNCTION("""COMPUTED_VALUE"""),"#N/A")</f>
        <v>#N/A</v>
      </c>
    </row>
    <row r="987">
      <c r="A987" t="str">
        <f>IFERROR(__xludf.DUMMYFUNCTION("""COMPUTED_VALUE"""),"#N/A")</f>
        <v>#N/A</v>
      </c>
      <c r="B987" s="451" t="str">
        <f>IFERROR(__xludf.DUMMYFUNCTION("""COMPUTED_VALUE"""),"#N/A")</f>
        <v>#N/A</v>
      </c>
    </row>
    <row r="988">
      <c r="A988" t="str">
        <f>IFERROR(__xludf.DUMMYFUNCTION("""COMPUTED_VALUE"""),"#N/A")</f>
        <v>#N/A</v>
      </c>
      <c r="B988" s="451" t="str">
        <f>IFERROR(__xludf.DUMMYFUNCTION("""COMPUTED_VALUE"""),"#N/A")</f>
        <v>#N/A</v>
      </c>
    </row>
    <row r="989">
      <c r="A989" t="str">
        <f>IFERROR(__xludf.DUMMYFUNCTION("""COMPUTED_VALUE"""),"#N/A")</f>
        <v>#N/A</v>
      </c>
      <c r="B989" s="451" t="str">
        <f>IFERROR(__xludf.DUMMYFUNCTION("""COMPUTED_VALUE"""),"#N/A")</f>
        <v>#N/A</v>
      </c>
    </row>
    <row r="990">
      <c r="A990" t="str">
        <f>IFERROR(__xludf.DUMMYFUNCTION("""COMPUTED_VALUE"""),"#N/A")</f>
        <v>#N/A</v>
      </c>
      <c r="B990" s="451" t="str">
        <f>IFERROR(__xludf.DUMMYFUNCTION("""COMPUTED_VALUE"""),"#N/A")</f>
        <v>#N/A</v>
      </c>
    </row>
    <row r="991">
      <c r="A991" t="str">
        <f>IFERROR(__xludf.DUMMYFUNCTION("""COMPUTED_VALUE"""),"#N/A")</f>
        <v>#N/A</v>
      </c>
      <c r="B991" s="451" t="str">
        <f>IFERROR(__xludf.DUMMYFUNCTION("""COMPUTED_VALUE"""),"#N/A")</f>
        <v>#N/A</v>
      </c>
    </row>
    <row r="992">
      <c r="A992" t="str">
        <f>IFERROR(__xludf.DUMMYFUNCTION("""COMPUTED_VALUE"""),"#N/A")</f>
        <v>#N/A</v>
      </c>
      <c r="B992" s="451" t="str">
        <f>IFERROR(__xludf.DUMMYFUNCTION("""COMPUTED_VALUE"""),"#N/A")</f>
        <v>#N/A</v>
      </c>
    </row>
    <row r="993">
      <c r="A993" t="str">
        <f>IFERROR(__xludf.DUMMYFUNCTION("""COMPUTED_VALUE"""),"#N/A")</f>
        <v>#N/A</v>
      </c>
      <c r="B993" s="451" t="str">
        <f>IFERROR(__xludf.DUMMYFUNCTION("""COMPUTED_VALUE"""),"#N/A")</f>
        <v>#N/A</v>
      </c>
    </row>
    <row r="994">
      <c r="A994" t="str">
        <f>IFERROR(__xludf.DUMMYFUNCTION("""COMPUTED_VALUE"""),"#N/A")</f>
        <v>#N/A</v>
      </c>
      <c r="B994" s="451" t="str">
        <f>IFERROR(__xludf.DUMMYFUNCTION("""COMPUTED_VALUE"""),"#N/A")</f>
        <v>#N/A</v>
      </c>
    </row>
    <row r="995">
      <c r="A995" t="str">
        <f>IFERROR(__xludf.DUMMYFUNCTION("""COMPUTED_VALUE"""),"#N/A")</f>
        <v>#N/A</v>
      </c>
      <c r="B995" s="451" t="str">
        <f>IFERROR(__xludf.DUMMYFUNCTION("""COMPUTED_VALUE"""),"#N/A")</f>
        <v>#N/A</v>
      </c>
    </row>
    <row r="996">
      <c r="A996" t="str">
        <f>IFERROR(__xludf.DUMMYFUNCTION("""COMPUTED_VALUE"""),"#N/A")</f>
        <v>#N/A</v>
      </c>
      <c r="B996" s="451" t="str">
        <f>IFERROR(__xludf.DUMMYFUNCTION("""COMPUTED_VALUE"""),"#N/A")</f>
        <v>#N/A</v>
      </c>
    </row>
    <row r="997">
      <c r="A997" t="str">
        <f>IFERROR(__xludf.DUMMYFUNCTION("""COMPUTED_VALUE"""),"#N/A")</f>
        <v>#N/A</v>
      </c>
      <c r="B997" s="451" t="str">
        <f>IFERROR(__xludf.DUMMYFUNCTION("""COMPUTED_VALUE"""),"#N/A")</f>
        <v>#N/A</v>
      </c>
    </row>
    <row r="998">
      <c r="A998" t="str">
        <f>IFERROR(__xludf.DUMMYFUNCTION("""COMPUTED_VALUE"""),"#N/A")</f>
        <v>#N/A</v>
      </c>
      <c r="B998" s="451" t="str">
        <f>IFERROR(__xludf.DUMMYFUNCTION("""COMPUTED_VALUE"""),"#N/A")</f>
        <v>#N/A</v>
      </c>
    </row>
    <row r="999">
      <c r="A999" t="str">
        <f>IFERROR(__xludf.DUMMYFUNCTION("""COMPUTED_VALUE"""),"#N/A")</f>
        <v>#N/A</v>
      </c>
      <c r="B999" s="451" t="str">
        <f>IFERROR(__xludf.DUMMYFUNCTION("""COMPUTED_VALUE"""),"#N/A")</f>
        <v>#N/A</v>
      </c>
    </row>
    <row r="1000">
      <c r="A1000" t="str">
        <f>IFERROR(__xludf.DUMMYFUNCTION("""COMPUTED_VALUE"""),"#N/A")</f>
        <v>#N/A</v>
      </c>
      <c r="B1000" s="451" t="str">
        <f>IFERROR(__xludf.DUMMYFUNCTION("""COMPUTED_VALUE"""),"#N/A")</f>
        <v>#N/A</v>
      </c>
    </row>
    <row r="1001">
      <c r="A1001" t="str">
        <f>IFERROR(__xludf.DUMMYFUNCTION("""COMPUTED_VALUE"""),"#N/A")</f>
        <v>#N/A</v>
      </c>
      <c r="B1001" s="451" t="str">
        <f>IFERROR(__xludf.DUMMYFUNCTION("""COMPUTED_VALUE"""),"#N/A")</f>
        <v>#N/A</v>
      </c>
    </row>
    <row r="1002">
      <c r="A1002" t="str">
        <f>IFERROR(__xludf.DUMMYFUNCTION("""COMPUTED_VALUE"""),"#N/A")</f>
        <v>#N/A</v>
      </c>
      <c r="B1002" s="451" t="str">
        <f>IFERROR(__xludf.DUMMYFUNCTION("""COMPUTED_VALUE"""),"#N/A")</f>
        <v>#N/A</v>
      </c>
    </row>
    <row r="1003">
      <c r="A1003" t="str">
        <f>IFERROR(__xludf.DUMMYFUNCTION("""COMPUTED_VALUE"""),"#N/A")</f>
        <v>#N/A</v>
      </c>
      <c r="B1003" s="451" t="str">
        <f>IFERROR(__xludf.DUMMYFUNCTION("""COMPUTED_VALUE"""),"#N/A")</f>
        <v>#N/A</v>
      </c>
    </row>
    <row r="1004">
      <c r="A1004" t="str">
        <f>IFERROR(__xludf.DUMMYFUNCTION("""COMPUTED_VALUE"""),"#N/A")</f>
        <v>#N/A</v>
      </c>
      <c r="B1004" s="451" t="str">
        <f>IFERROR(__xludf.DUMMYFUNCTION("""COMPUTED_VALUE"""),"#N/A")</f>
        <v>#N/A</v>
      </c>
    </row>
    <row r="1005">
      <c r="A1005" t="str">
        <f>IFERROR(__xludf.DUMMYFUNCTION("""COMPUTED_VALUE"""),"#N/A")</f>
        <v>#N/A</v>
      </c>
      <c r="B1005" s="451" t="str">
        <f>IFERROR(__xludf.DUMMYFUNCTION("""COMPUTED_VALUE"""),"#N/A")</f>
        <v>#N/A</v>
      </c>
    </row>
    <row r="1006">
      <c r="A1006" t="str">
        <f>IFERROR(__xludf.DUMMYFUNCTION("""COMPUTED_VALUE"""),"#N/A")</f>
        <v>#N/A</v>
      </c>
      <c r="B1006" s="451" t="str">
        <f>IFERROR(__xludf.DUMMYFUNCTION("""COMPUTED_VALUE"""),"#N/A")</f>
        <v>#N/A</v>
      </c>
    </row>
    <row r="1007">
      <c r="A1007" t="str">
        <f>IFERROR(__xludf.DUMMYFUNCTION("""COMPUTED_VALUE"""),"#N/A")</f>
        <v>#N/A</v>
      </c>
      <c r="B1007" s="451" t="str">
        <f>IFERROR(__xludf.DUMMYFUNCTION("""COMPUTED_VALUE"""),"#N/A")</f>
        <v>#N/A</v>
      </c>
    </row>
    <row r="1008">
      <c r="A1008" t="str">
        <f>IFERROR(__xludf.DUMMYFUNCTION("""COMPUTED_VALUE"""),"#N/A")</f>
        <v>#N/A</v>
      </c>
      <c r="B1008" s="451" t="str">
        <f>IFERROR(__xludf.DUMMYFUNCTION("""COMPUTED_VALUE"""),"#N/A")</f>
        <v>#N/A</v>
      </c>
    </row>
    <row r="1009">
      <c r="A1009" t="str">
        <f>IFERROR(__xludf.DUMMYFUNCTION("""COMPUTED_VALUE"""),"#N/A")</f>
        <v>#N/A</v>
      </c>
      <c r="B1009" s="451" t="str">
        <f>IFERROR(__xludf.DUMMYFUNCTION("""COMPUTED_VALUE"""),"#N/A")</f>
        <v>#N/A</v>
      </c>
    </row>
    <row r="1010">
      <c r="A1010" t="str">
        <f>IFERROR(__xludf.DUMMYFUNCTION("""COMPUTED_VALUE"""),"#N/A")</f>
        <v>#N/A</v>
      </c>
      <c r="B1010" s="451" t="str">
        <f>IFERROR(__xludf.DUMMYFUNCTION("""COMPUTED_VALUE"""),"#N/A")</f>
        <v>#N/A</v>
      </c>
    </row>
    <row r="1011">
      <c r="A1011" t="str">
        <f>IFERROR(__xludf.DUMMYFUNCTION("""COMPUTED_VALUE"""),"#N/A")</f>
        <v>#N/A</v>
      </c>
      <c r="B1011" s="451" t="str">
        <f>IFERROR(__xludf.DUMMYFUNCTION("""COMPUTED_VALUE"""),"#N/A")</f>
        <v>#N/A</v>
      </c>
    </row>
    <row r="1012">
      <c r="A1012" t="str">
        <f>IFERROR(__xludf.DUMMYFUNCTION("""COMPUTED_VALUE"""),"#N/A")</f>
        <v>#N/A</v>
      </c>
      <c r="B1012" s="451" t="str">
        <f>IFERROR(__xludf.DUMMYFUNCTION("""COMPUTED_VALUE"""),"#N/A")</f>
        <v>#N/A</v>
      </c>
    </row>
    <row r="1013">
      <c r="A1013" t="str">
        <f>IFERROR(__xludf.DUMMYFUNCTION("""COMPUTED_VALUE"""),"#N/A")</f>
        <v>#N/A</v>
      </c>
      <c r="B1013" s="451" t="str">
        <f>IFERROR(__xludf.DUMMYFUNCTION("""COMPUTED_VALUE"""),"#N/A")</f>
        <v>#N/A</v>
      </c>
    </row>
    <row r="1014">
      <c r="A1014" t="str">
        <f>IFERROR(__xludf.DUMMYFUNCTION("""COMPUTED_VALUE"""),"#N/A")</f>
        <v>#N/A</v>
      </c>
      <c r="B1014" s="451" t="str">
        <f>IFERROR(__xludf.DUMMYFUNCTION("""COMPUTED_VALUE"""),"#N/A")</f>
        <v>#N/A</v>
      </c>
    </row>
    <row r="1015">
      <c r="A1015" t="str">
        <f>IFERROR(__xludf.DUMMYFUNCTION("""COMPUTED_VALUE"""),"#N/A")</f>
        <v>#N/A</v>
      </c>
      <c r="B1015" s="451" t="str">
        <f>IFERROR(__xludf.DUMMYFUNCTION("""COMPUTED_VALUE"""),"#N/A")</f>
        <v>#N/A</v>
      </c>
    </row>
    <row r="1016">
      <c r="A1016" t="str">
        <f>IFERROR(__xludf.DUMMYFUNCTION("""COMPUTED_VALUE"""),"#N/A")</f>
        <v>#N/A</v>
      </c>
      <c r="B1016" s="451" t="str">
        <f>IFERROR(__xludf.DUMMYFUNCTION("""COMPUTED_VALUE"""),"#N/A")</f>
        <v>#N/A</v>
      </c>
    </row>
    <row r="1017">
      <c r="A1017" t="str">
        <f>IFERROR(__xludf.DUMMYFUNCTION("""COMPUTED_VALUE"""),"#N/A")</f>
        <v>#N/A</v>
      </c>
      <c r="B1017" s="451" t="str">
        <f>IFERROR(__xludf.DUMMYFUNCTION("""COMPUTED_VALUE"""),"#N/A")</f>
        <v>#N/A</v>
      </c>
    </row>
    <row r="1018">
      <c r="A1018" t="str">
        <f>IFERROR(__xludf.DUMMYFUNCTION("""COMPUTED_VALUE"""),"#N/A")</f>
        <v>#N/A</v>
      </c>
      <c r="B1018" s="451" t="str">
        <f>IFERROR(__xludf.DUMMYFUNCTION("""COMPUTED_VALUE"""),"#N/A")</f>
        <v>#N/A</v>
      </c>
    </row>
    <row r="1019">
      <c r="A1019" t="str">
        <f>IFERROR(__xludf.DUMMYFUNCTION("""COMPUTED_VALUE"""),"#N/A")</f>
        <v>#N/A</v>
      </c>
      <c r="B1019" s="451" t="str">
        <f>IFERROR(__xludf.DUMMYFUNCTION("""COMPUTED_VALUE"""),"#N/A")</f>
        <v>#N/A</v>
      </c>
    </row>
    <row r="1020">
      <c r="A1020" t="str">
        <f>IFERROR(__xludf.DUMMYFUNCTION("""COMPUTED_VALUE"""),"#N/A")</f>
        <v>#N/A</v>
      </c>
      <c r="B1020" s="451" t="str">
        <f>IFERROR(__xludf.DUMMYFUNCTION("""COMPUTED_VALUE"""),"#N/A")</f>
        <v>#N/A</v>
      </c>
    </row>
    <row r="1021">
      <c r="A1021" t="str">
        <f>IFERROR(__xludf.DUMMYFUNCTION("""COMPUTED_VALUE"""),"#N/A")</f>
        <v>#N/A</v>
      </c>
      <c r="B1021" s="451" t="str">
        <f>IFERROR(__xludf.DUMMYFUNCTION("""COMPUTED_VALUE"""),"#N/A")</f>
        <v>#N/A</v>
      </c>
    </row>
    <row r="1022">
      <c r="A1022" t="str">
        <f>IFERROR(__xludf.DUMMYFUNCTION("""COMPUTED_VALUE"""),"#N/A")</f>
        <v>#N/A</v>
      </c>
      <c r="B1022" s="451" t="str">
        <f>IFERROR(__xludf.DUMMYFUNCTION("""COMPUTED_VALUE"""),"#N/A")</f>
        <v>#N/A</v>
      </c>
    </row>
    <row r="1023">
      <c r="A1023" t="str">
        <f>IFERROR(__xludf.DUMMYFUNCTION("""COMPUTED_VALUE"""),"#N/A")</f>
        <v>#N/A</v>
      </c>
      <c r="B1023" s="451" t="str">
        <f>IFERROR(__xludf.DUMMYFUNCTION("""COMPUTED_VALUE"""),"#N/A")</f>
        <v>#N/A</v>
      </c>
    </row>
    <row r="1024">
      <c r="A1024" t="str">
        <f>IFERROR(__xludf.DUMMYFUNCTION("""COMPUTED_VALUE"""),"#N/A")</f>
        <v>#N/A</v>
      </c>
      <c r="B1024" s="451" t="str">
        <f>IFERROR(__xludf.DUMMYFUNCTION("""COMPUTED_VALUE"""),"#N/A")</f>
        <v>#N/A</v>
      </c>
    </row>
    <row r="1025">
      <c r="A1025" t="str">
        <f>IFERROR(__xludf.DUMMYFUNCTION("""COMPUTED_VALUE"""),"#N/A")</f>
        <v>#N/A</v>
      </c>
      <c r="B1025" s="451" t="str">
        <f>IFERROR(__xludf.DUMMYFUNCTION("""COMPUTED_VALUE"""),"#N/A")</f>
        <v>#N/A</v>
      </c>
    </row>
    <row r="1026">
      <c r="A1026" t="str">
        <f>IFERROR(__xludf.DUMMYFUNCTION("""COMPUTED_VALUE"""),"#N/A")</f>
        <v>#N/A</v>
      </c>
      <c r="B1026" s="451" t="str">
        <f>IFERROR(__xludf.DUMMYFUNCTION("""COMPUTED_VALUE"""),"#N/A")</f>
        <v>#N/A</v>
      </c>
    </row>
    <row r="1027">
      <c r="A1027" t="str">
        <f>IFERROR(__xludf.DUMMYFUNCTION("""COMPUTED_VALUE"""),"#N/A")</f>
        <v>#N/A</v>
      </c>
      <c r="B1027" s="451" t="str">
        <f>IFERROR(__xludf.DUMMYFUNCTION("""COMPUTED_VALUE"""),"#N/A")</f>
        <v>#N/A</v>
      </c>
    </row>
    <row r="1028">
      <c r="A1028" t="str">
        <f>IFERROR(__xludf.DUMMYFUNCTION("""COMPUTED_VALUE"""),"#N/A")</f>
        <v>#N/A</v>
      </c>
      <c r="B1028" s="451" t="str">
        <f>IFERROR(__xludf.DUMMYFUNCTION("""COMPUTED_VALUE"""),"#N/A")</f>
        <v>#N/A</v>
      </c>
    </row>
    <row r="1029">
      <c r="A1029" t="str">
        <f>IFERROR(__xludf.DUMMYFUNCTION("""COMPUTED_VALUE"""),"#N/A")</f>
        <v>#N/A</v>
      </c>
      <c r="B1029" s="451" t="str">
        <f>IFERROR(__xludf.DUMMYFUNCTION("""COMPUTED_VALUE"""),"#N/A")</f>
        <v>#N/A</v>
      </c>
    </row>
    <row r="1030">
      <c r="A1030" t="str">
        <f>IFERROR(__xludf.DUMMYFUNCTION("""COMPUTED_VALUE"""),"#N/A")</f>
        <v>#N/A</v>
      </c>
      <c r="B1030" s="451" t="str">
        <f>IFERROR(__xludf.DUMMYFUNCTION("""COMPUTED_VALUE"""),"#N/A")</f>
        <v>#N/A</v>
      </c>
    </row>
    <row r="1031">
      <c r="A1031" t="str">
        <f>IFERROR(__xludf.DUMMYFUNCTION("""COMPUTED_VALUE"""),"#N/A")</f>
        <v>#N/A</v>
      </c>
      <c r="B1031" s="451" t="str">
        <f>IFERROR(__xludf.DUMMYFUNCTION("""COMPUTED_VALUE"""),"#N/A")</f>
        <v>#N/A</v>
      </c>
    </row>
    <row r="1032">
      <c r="A1032" t="str">
        <f>IFERROR(__xludf.DUMMYFUNCTION("""COMPUTED_VALUE"""),"#N/A")</f>
        <v>#N/A</v>
      </c>
      <c r="B1032" s="451" t="str">
        <f>IFERROR(__xludf.DUMMYFUNCTION("""COMPUTED_VALUE"""),"#N/A")</f>
        <v>#N/A</v>
      </c>
    </row>
    <row r="1033">
      <c r="A1033" t="str">
        <f>IFERROR(__xludf.DUMMYFUNCTION("""COMPUTED_VALUE"""),"#N/A")</f>
        <v>#N/A</v>
      </c>
      <c r="B1033" s="451" t="str">
        <f>IFERROR(__xludf.DUMMYFUNCTION("""COMPUTED_VALUE"""),"#N/A")</f>
        <v>#N/A</v>
      </c>
    </row>
    <row r="1034">
      <c r="A1034" t="str">
        <f>IFERROR(__xludf.DUMMYFUNCTION("""COMPUTED_VALUE"""),"#N/A")</f>
        <v>#N/A</v>
      </c>
      <c r="B1034" s="451" t="str">
        <f>IFERROR(__xludf.DUMMYFUNCTION("""COMPUTED_VALUE"""),"#N/A")</f>
        <v>#N/A</v>
      </c>
    </row>
    <row r="1035">
      <c r="A1035" t="str">
        <f>IFERROR(__xludf.DUMMYFUNCTION("""COMPUTED_VALUE"""),"#N/A")</f>
        <v>#N/A</v>
      </c>
      <c r="B1035" s="451" t="str">
        <f>IFERROR(__xludf.DUMMYFUNCTION("""COMPUTED_VALUE"""),"#N/A")</f>
        <v>#N/A</v>
      </c>
    </row>
    <row r="1036">
      <c r="A1036" t="str">
        <f>IFERROR(__xludf.DUMMYFUNCTION("""COMPUTED_VALUE"""),"#N/A")</f>
        <v>#N/A</v>
      </c>
      <c r="B1036" s="451" t="str">
        <f>IFERROR(__xludf.DUMMYFUNCTION("""COMPUTED_VALUE"""),"#N/A")</f>
        <v>#N/A</v>
      </c>
    </row>
    <row r="1037">
      <c r="A1037" t="str">
        <f>IFERROR(__xludf.DUMMYFUNCTION("""COMPUTED_VALUE"""),"#N/A")</f>
        <v>#N/A</v>
      </c>
      <c r="B1037" s="451" t="str">
        <f>IFERROR(__xludf.DUMMYFUNCTION("""COMPUTED_VALUE"""),"#N/A")</f>
        <v>#N/A</v>
      </c>
    </row>
    <row r="1038">
      <c r="A1038" t="str">
        <f>IFERROR(__xludf.DUMMYFUNCTION("""COMPUTED_VALUE"""),"#N/A")</f>
        <v>#N/A</v>
      </c>
      <c r="B1038" s="451" t="str">
        <f>IFERROR(__xludf.DUMMYFUNCTION("""COMPUTED_VALUE"""),"#N/A")</f>
        <v>#N/A</v>
      </c>
    </row>
    <row r="1039">
      <c r="A1039" t="str">
        <f>IFERROR(__xludf.DUMMYFUNCTION("""COMPUTED_VALUE"""),"#N/A")</f>
        <v>#N/A</v>
      </c>
      <c r="B1039" s="451" t="str">
        <f>IFERROR(__xludf.DUMMYFUNCTION("""COMPUTED_VALUE"""),"#N/A")</f>
        <v>#N/A</v>
      </c>
    </row>
    <row r="1040">
      <c r="A1040" t="str">
        <f>IFERROR(__xludf.DUMMYFUNCTION("""COMPUTED_VALUE"""),"#N/A")</f>
        <v>#N/A</v>
      </c>
      <c r="B1040" s="451" t="str">
        <f>IFERROR(__xludf.DUMMYFUNCTION("""COMPUTED_VALUE"""),"#N/A")</f>
        <v>#N/A</v>
      </c>
    </row>
    <row r="1041">
      <c r="A1041" t="str">
        <f>IFERROR(__xludf.DUMMYFUNCTION("""COMPUTED_VALUE"""),"#N/A")</f>
        <v>#N/A</v>
      </c>
      <c r="B1041" s="451" t="str">
        <f>IFERROR(__xludf.DUMMYFUNCTION("""COMPUTED_VALUE"""),"#N/A")</f>
        <v>#N/A</v>
      </c>
    </row>
    <row r="1042">
      <c r="A1042" t="str">
        <f>IFERROR(__xludf.DUMMYFUNCTION("""COMPUTED_VALUE"""),"#N/A")</f>
        <v>#N/A</v>
      </c>
      <c r="B1042" s="451" t="str">
        <f>IFERROR(__xludf.DUMMYFUNCTION("""COMPUTED_VALUE"""),"#N/A")</f>
        <v>#N/A</v>
      </c>
    </row>
    <row r="1043">
      <c r="A1043" t="str">
        <f>IFERROR(__xludf.DUMMYFUNCTION("""COMPUTED_VALUE"""),"#N/A")</f>
        <v>#N/A</v>
      </c>
      <c r="B1043" s="451" t="str">
        <f>IFERROR(__xludf.DUMMYFUNCTION("""COMPUTED_VALUE"""),"#N/A")</f>
        <v>#N/A</v>
      </c>
    </row>
    <row r="1044">
      <c r="A1044" t="str">
        <f>IFERROR(__xludf.DUMMYFUNCTION("""COMPUTED_VALUE"""),"#N/A")</f>
        <v>#N/A</v>
      </c>
      <c r="B1044" s="451" t="str">
        <f>IFERROR(__xludf.DUMMYFUNCTION("""COMPUTED_VALUE"""),"#N/A")</f>
        <v>#N/A</v>
      </c>
    </row>
    <row r="1045">
      <c r="A1045" t="str">
        <f>IFERROR(__xludf.DUMMYFUNCTION("""COMPUTED_VALUE"""),"#N/A")</f>
        <v>#N/A</v>
      </c>
      <c r="B1045" s="451" t="str">
        <f>IFERROR(__xludf.DUMMYFUNCTION("""COMPUTED_VALUE"""),"#N/A")</f>
        <v>#N/A</v>
      </c>
    </row>
    <row r="1046">
      <c r="A1046" t="str">
        <f>IFERROR(__xludf.DUMMYFUNCTION("""COMPUTED_VALUE"""),"#N/A")</f>
        <v>#N/A</v>
      </c>
      <c r="B1046" s="451" t="str">
        <f>IFERROR(__xludf.DUMMYFUNCTION("""COMPUTED_VALUE"""),"#N/A")</f>
        <v>#N/A</v>
      </c>
    </row>
    <row r="1047">
      <c r="A1047" t="str">
        <f>IFERROR(__xludf.DUMMYFUNCTION("""COMPUTED_VALUE"""),"#N/A")</f>
        <v>#N/A</v>
      </c>
      <c r="B1047" s="451" t="str">
        <f>IFERROR(__xludf.DUMMYFUNCTION("""COMPUTED_VALUE"""),"#N/A")</f>
        <v>#N/A</v>
      </c>
    </row>
    <row r="1048">
      <c r="A1048" t="str">
        <f>IFERROR(__xludf.DUMMYFUNCTION("""COMPUTED_VALUE"""),"#N/A")</f>
        <v>#N/A</v>
      </c>
      <c r="B1048" s="451" t="str">
        <f>IFERROR(__xludf.DUMMYFUNCTION("""COMPUTED_VALUE"""),"#N/A")</f>
        <v>#N/A</v>
      </c>
    </row>
    <row r="1049">
      <c r="A1049" t="str">
        <f>IFERROR(__xludf.DUMMYFUNCTION("""COMPUTED_VALUE"""),"#N/A")</f>
        <v>#N/A</v>
      </c>
      <c r="B1049" s="451" t="str">
        <f>IFERROR(__xludf.DUMMYFUNCTION("""COMPUTED_VALUE"""),"#N/A")</f>
        <v>#N/A</v>
      </c>
    </row>
    <row r="1050">
      <c r="A1050" t="str">
        <f>IFERROR(__xludf.DUMMYFUNCTION("""COMPUTED_VALUE"""),"#N/A")</f>
        <v>#N/A</v>
      </c>
      <c r="B1050" s="451" t="str">
        <f>IFERROR(__xludf.DUMMYFUNCTION("""COMPUTED_VALUE"""),"#N/A")</f>
        <v>#N/A</v>
      </c>
    </row>
    <row r="1051">
      <c r="A1051" t="str">
        <f>IFERROR(__xludf.DUMMYFUNCTION("""COMPUTED_VALUE"""),"#N/A")</f>
        <v>#N/A</v>
      </c>
      <c r="B1051" s="451" t="str">
        <f>IFERROR(__xludf.DUMMYFUNCTION("""COMPUTED_VALUE"""),"#N/A")</f>
        <v>#N/A</v>
      </c>
    </row>
    <row r="1052">
      <c r="A1052" t="str">
        <f>IFERROR(__xludf.DUMMYFUNCTION("""COMPUTED_VALUE"""),"#N/A")</f>
        <v>#N/A</v>
      </c>
      <c r="B1052" s="451" t="str">
        <f>IFERROR(__xludf.DUMMYFUNCTION("""COMPUTED_VALUE"""),"#N/A")</f>
        <v>#N/A</v>
      </c>
    </row>
    <row r="1053">
      <c r="A1053" t="str">
        <f>IFERROR(__xludf.DUMMYFUNCTION("""COMPUTED_VALUE"""),"#N/A")</f>
        <v>#N/A</v>
      </c>
      <c r="B1053" s="451" t="str">
        <f>IFERROR(__xludf.DUMMYFUNCTION("""COMPUTED_VALUE"""),"#N/A")</f>
        <v>#N/A</v>
      </c>
    </row>
    <row r="1054">
      <c r="A1054" t="str">
        <f>IFERROR(__xludf.DUMMYFUNCTION("""COMPUTED_VALUE"""),"#N/A")</f>
        <v>#N/A</v>
      </c>
      <c r="B1054" s="451" t="str">
        <f>IFERROR(__xludf.DUMMYFUNCTION("""COMPUTED_VALUE"""),"#N/A")</f>
        <v>#N/A</v>
      </c>
    </row>
    <row r="1055">
      <c r="A1055" t="str">
        <f>IFERROR(__xludf.DUMMYFUNCTION("""COMPUTED_VALUE"""),"#N/A")</f>
        <v>#N/A</v>
      </c>
      <c r="B1055" s="451" t="str">
        <f>IFERROR(__xludf.DUMMYFUNCTION("""COMPUTED_VALUE"""),"#N/A")</f>
        <v>#N/A</v>
      </c>
    </row>
    <row r="1056">
      <c r="A1056" t="str">
        <f>IFERROR(__xludf.DUMMYFUNCTION("""COMPUTED_VALUE"""),"#N/A")</f>
        <v>#N/A</v>
      </c>
      <c r="B1056" s="451" t="str">
        <f>IFERROR(__xludf.DUMMYFUNCTION("""COMPUTED_VALUE"""),"#N/A")</f>
        <v>#N/A</v>
      </c>
    </row>
    <row r="1057">
      <c r="A1057" t="str">
        <f>IFERROR(__xludf.DUMMYFUNCTION("""COMPUTED_VALUE"""),"#N/A")</f>
        <v>#N/A</v>
      </c>
      <c r="B1057" s="451" t="str">
        <f>IFERROR(__xludf.DUMMYFUNCTION("""COMPUTED_VALUE"""),"#N/A")</f>
        <v>#N/A</v>
      </c>
    </row>
    <row r="1058">
      <c r="A1058" t="str">
        <f>IFERROR(__xludf.DUMMYFUNCTION("""COMPUTED_VALUE"""),"#N/A")</f>
        <v>#N/A</v>
      </c>
      <c r="B1058" s="451" t="str">
        <f>IFERROR(__xludf.DUMMYFUNCTION("""COMPUTED_VALUE"""),"#N/A")</f>
        <v>#N/A</v>
      </c>
    </row>
    <row r="1059">
      <c r="A1059" t="str">
        <f>IFERROR(__xludf.DUMMYFUNCTION("""COMPUTED_VALUE"""),"#N/A")</f>
        <v>#N/A</v>
      </c>
      <c r="B1059" s="451" t="str">
        <f>IFERROR(__xludf.DUMMYFUNCTION("""COMPUTED_VALUE"""),"#N/A")</f>
        <v>#N/A</v>
      </c>
    </row>
    <row r="1060">
      <c r="A1060" t="str">
        <f>IFERROR(__xludf.DUMMYFUNCTION("""COMPUTED_VALUE"""),"#N/A")</f>
        <v>#N/A</v>
      </c>
      <c r="B1060" s="451" t="str">
        <f>IFERROR(__xludf.DUMMYFUNCTION("""COMPUTED_VALUE"""),"#N/A")</f>
        <v>#N/A</v>
      </c>
    </row>
    <row r="1061">
      <c r="A1061" t="str">
        <f>IFERROR(__xludf.DUMMYFUNCTION("""COMPUTED_VALUE"""),"#N/A")</f>
        <v>#N/A</v>
      </c>
      <c r="B1061" s="451" t="str">
        <f>IFERROR(__xludf.DUMMYFUNCTION("""COMPUTED_VALUE"""),"#N/A")</f>
        <v>#N/A</v>
      </c>
    </row>
    <row r="1062">
      <c r="A1062" t="str">
        <f>IFERROR(__xludf.DUMMYFUNCTION("""COMPUTED_VALUE"""),"#N/A")</f>
        <v>#N/A</v>
      </c>
      <c r="B1062" s="451" t="str">
        <f>IFERROR(__xludf.DUMMYFUNCTION("""COMPUTED_VALUE"""),"#N/A")</f>
        <v>#N/A</v>
      </c>
    </row>
    <row r="1063">
      <c r="A1063" t="str">
        <f>IFERROR(__xludf.DUMMYFUNCTION("""COMPUTED_VALUE"""),"#N/A")</f>
        <v>#N/A</v>
      </c>
      <c r="B1063" s="451" t="str">
        <f>IFERROR(__xludf.DUMMYFUNCTION("""COMPUTED_VALUE"""),"#N/A")</f>
        <v>#N/A</v>
      </c>
    </row>
    <row r="1064">
      <c r="A1064" t="str">
        <f>IFERROR(__xludf.DUMMYFUNCTION("""COMPUTED_VALUE"""),"#N/A")</f>
        <v>#N/A</v>
      </c>
      <c r="B1064" s="451" t="str">
        <f>IFERROR(__xludf.DUMMYFUNCTION("""COMPUTED_VALUE"""),"#N/A")</f>
        <v>#N/A</v>
      </c>
    </row>
    <row r="1065">
      <c r="A1065" t="str">
        <f>IFERROR(__xludf.DUMMYFUNCTION("""COMPUTED_VALUE"""),"#N/A")</f>
        <v>#N/A</v>
      </c>
      <c r="B1065" s="451" t="str">
        <f>IFERROR(__xludf.DUMMYFUNCTION("""COMPUTED_VALUE"""),"#N/A")</f>
        <v>#N/A</v>
      </c>
    </row>
    <row r="1066">
      <c r="A1066" t="str">
        <f>IFERROR(__xludf.DUMMYFUNCTION("""COMPUTED_VALUE"""),"#N/A")</f>
        <v>#N/A</v>
      </c>
      <c r="B1066" s="451" t="str">
        <f>IFERROR(__xludf.DUMMYFUNCTION("""COMPUTED_VALUE"""),"#N/A")</f>
        <v>#N/A</v>
      </c>
    </row>
    <row r="1067">
      <c r="A1067" t="str">
        <f>IFERROR(__xludf.DUMMYFUNCTION("""COMPUTED_VALUE"""),"#N/A")</f>
        <v>#N/A</v>
      </c>
      <c r="B1067" s="451" t="str">
        <f>IFERROR(__xludf.DUMMYFUNCTION("""COMPUTED_VALUE"""),"#N/A")</f>
        <v>#N/A</v>
      </c>
    </row>
    <row r="1068">
      <c r="A1068" t="str">
        <f>IFERROR(__xludf.DUMMYFUNCTION("""COMPUTED_VALUE"""),"#N/A")</f>
        <v>#N/A</v>
      </c>
      <c r="B1068" s="451" t="str">
        <f>IFERROR(__xludf.DUMMYFUNCTION("""COMPUTED_VALUE"""),"#N/A")</f>
        <v>#N/A</v>
      </c>
    </row>
    <row r="1069">
      <c r="A1069" t="str">
        <f>IFERROR(__xludf.DUMMYFUNCTION("""COMPUTED_VALUE"""),"#N/A")</f>
        <v>#N/A</v>
      </c>
      <c r="B1069" s="451" t="str">
        <f>IFERROR(__xludf.DUMMYFUNCTION("""COMPUTED_VALUE"""),"#N/A")</f>
        <v>#N/A</v>
      </c>
    </row>
    <row r="1070">
      <c r="A1070" t="str">
        <f>IFERROR(__xludf.DUMMYFUNCTION("""COMPUTED_VALUE"""),"#N/A")</f>
        <v>#N/A</v>
      </c>
      <c r="B1070" s="451" t="str">
        <f>IFERROR(__xludf.DUMMYFUNCTION("""COMPUTED_VALUE"""),"#N/A")</f>
        <v>#N/A</v>
      </c>
    </row>
    <row r="1071">
      <c r="A1071" t="str">
        <f>IFERROR(__xludf.DUMMYFUNCTION("""COMPUTED_VALUE"""),"#N/A")</f>
        <v>#N/A</v>
      </c>
      <c r="B1071" s="451" t="str">
        <f>IFERROR(__xludf.DUMMYFUNCTION("""COMPUTED_VALUE"""),"#N/A")</f>
        <v>#N/A</v>
      </c>
    </row>
    <row r="1072">
      <c r="A1072" t="str">
        <f>IFERROR(__xludf.DUMMYFUNCTION("""COMPUTED_VALUE"""),"#N/A")</f>
        <v>#N/A</v>
      </c>
      <c r="B1072" s="451" t="str">
        <f>IFERROR(__xludf.DUMMYFUNCTION("""COMPUTED_VALUE"""),"#N/A")</f>
        <v>#N/A</v>
      </c>
    </row>
    <row r="1073">
      <c r="A1073" t="str">
        <f>IFERROR(__xludf.DUMMYFUNCTION("""COMPUTED_VALUE"""),"#N/A")</f>
        <v>#N/A</v>
      </c>
      <c r="B1073" s="451" t="str">
        <f>IFERROR(__xludf.DUMMYFUNCTION("""COMPUTED_VALUE"""),"#N/A")</f>
        <v>#N/A</v>
      </c>
    </row>
    <row r="1074">
      <c r="A1074" t="str">
        <f>IFERROR(__xludf.DUMMYFUNCTION("""COMPUTED_VALUE"""),"#N/A")</f>
        <v>#N/A</v>
      </c>
      <c r="B1074" s="451" t="str">
        <f>IFERROR(__xludf.DUMMYFUNCTION("""COMPUTED_VALUE"""),"#N/A")</f>
        <v>#N/A</v>
      </c>
    </row>
    <row r="1075">
      <c r="A1075" t="str">
        <f>IFERROR(__xludf.DUMMYFUNCTION("""COMPUTED_VALUE"""),"#N/A")</f>
        <v>#N/A</v>
      </c>
      <c r="B1075" s="451" t="str">
        <f>IFERROR(__xludf.DUMMYFUNCTION("""COMPUTED_VALUE"""),"#N/A")</f>
        <v>#N/A</v>
      </c>
    </row>
    <row r="1076">
      <c r="A1076" t="str">
        <f>IFERROR(__xludf.DUMMYFUNCTION("""COMPUTED_VALUE"""),"#N/A")</f>
        <v>#N/A</v>
      </c>
      <c r="B1076" s="451" t="str">
        <f>IFERROR(__xludf.DUMMYFUNCTION("""COMPUTED_VALUE"""),"#N/A")</f>
        <v>#N/A</v>
      </c>
    </row>
    <row r="1077">
      <c r="A1077" t="str">
        <f>IFERROR(__xludf.DUMMYFUNCTION("""COMPUTED_VALUE"""),"#N/A")</f>
        <v>#N/A</v>
      </c>
      <c r="B1077" s="451" t="str">
        <f>IFERROR(__xludf.DUMMYFUNCTION("""COMPUTED_VALUE"""),"#N/A")</f>
        <v>#N/A</v>
      </c>
    </row>
    <row r="1078">
      <c r="A1078" t="str">
        <f>IFERROR(__xludf.DUMMYFUNCTION("""COMPUTED_VALUE"""),"#N/A")</f>
        <v>#N/A</v>
      </c>
      <c r="B1078" s="451" t="str">
        <f>IFERROR(__xludf.DUMMYFUNCTION("""COMPUTED_VALUE"""),"#N/A")</f>
        <v>#N/A</v>
      </c>
    </row>
    <row r="1079">
      <c r="A1079" t="str">
        <f>IFERROR(__xludf.DUMMYFUNCTION("""COMPUTED_VALUE"""),"#N/A")</f>
        <v>#N/A</v>
      </c>
      <c r="B1079" s="451" t="str">
        <f>IFERROR(__xludf.DUMMYFUNCTION("""COMPUTED_VALUE"""),"#N/A")</f>
        <v>#N/A</v>
      </c>
    </row>
    <row r="1080">
      <c r="A1080" t="str">
        <f>IFERROR(__xludf.DUMMYFUNCTION("""COMPUTED_VALUE"""),"#N/A")</f>
        <v>#N/A</v>
      </c>
      <c r="B1080" s="451" t="str">
        <f>IFERROR(__xludf.DUMMYFUNCTION("""COMPUTED_VALUE"""),"#N/A")</f>
        <v>#N/A</v>
      </c>
    </row>
    <row r="1081">
      <c r="A1081" t="str">
        <f>IFERROR(__xludf.DUMMYFUNCTION("""COMPUTED_VALUE"""),"#N/A")</f>
        <v>#N/A</v>
      </c>
      <c r="B1081" s="451" t="str">
        <f>IFERROR(__xludf.DUMMYFUNCTION("""COMPUTED_VALUE"""),"#N/A")</f>
        <v>#N/A</v>
      </c>
    </row>
    <row r="1082">
      <c r="A1082" t="str">
        <f>IFERROR(__xludf.DUMMYFUNCTION("""COMPUTED_VALUE"""),"#N/A")</f>
        <v>#N/A</v>
      </c>
      <c r="B1082" s="451" t="str">
        <f>IFERROR(__xludf.DUMMYFUNCTION("""COMPUTED_VALUE"""),"#N/A")</f>
        <v>#N/A</v>
      </c>
    </row>
    <row r="1083">
      <c r="A1083" t="str">
        <f>IFERROR(__xludf.DUMMYFUNCTION("""COMPUTED_VALUE"""),"#N/A")</f>
        <v>#N/A</v>
      </c>
      <c r="B1083" s="451" t="str">
        <f>IFERROR(__xludf.DUMMYFUNCTION("""COMPUTED_VALUE"""),"#N/A")</f>
        <v>#N/A</v>
      </c>
    </row>
    <row r="1084">
      <c r="A1084" t="str">
        <f>IFERROR(__xludf.DUMMYFUNCTION("""COMPUTED_VALUE"""),"#N/A")</f>
        <v>#N/A</v>
      </c>
      <c r="B1084" s="451" t="str">
        <f>IFERROR(__xludf.DUMMYFUNCTION("""COMPUTED_VALUE"""),"#N/A")</f>
        <v>#N/A</v>
      </c>
    </row>
    <row r="1085">
      <c r="A1085" t="str">
        <f>IFERROR(__xludf.DUMMYFUNCTION("""COMPUTED_VALUE"""),"#N/A")</f>
        <v>#N/A</v>
      </c>
      <c r="B1085" s="451" t="str">
        <f>IFERROR(__xludf.DUMMYFUNCTION("""COMPUTED_VALUE"""),"#N/A")</f>
        <v>#N/A</v>
      </c>
    </row>
    <row r="1086">
      <c r="A1086" t="str">
        <f>IFERROR(__xludf.DUMMYFUNCTION("""COMPUTED_VALUE"""),"#N/A")</f>
        <v>#N/A</v>
      </c>
      <c r="B1086" s="451" t="str">
        <f>IFERROR(__xludf.DUMMYFUNCTION("""COMPUTED_VALUE"""),"#N/A")</f>
        <v>#N/A</v>
      </c>
    </row>
    <row r="1087">
      <c r="A1087" t="str">
        <f>IFERROR(__xludf.DUMMYFUNCTION("""COMPUTED_VALUE"""),"#N/A")</f>
        <v>#N/A</v>
      </c>
      <c r="B1087" s="451" t="str">
        <f>IFERROR(__xludf.DUMMYFUNCTION("""COMPUTED_VALUE"""),"#N/A")</f>
        <v>#N/A</v>
      </c>
    </row>
    <row r="1088">
      <c r="A1088" t="str">
        <f>IFERROR(__xludf.DUMMYFUNCTION("""COMPUTED_VALUE"""),"#N/A")</f>
        <v>#N/A</v>
      </c>
      <c r="B1088" s="451" t="str">
        <f>IFERROR(__xludf.DUMMYFUNCTION("""COMPUTED_VALUE"""),"#N/A")</f>
        <v>#N/A</v>
      </c>
    </row>
    <row r="1089">
      <c r="A1089" t="str">
        <f>IFERROR(__xludf.DUMMYFUNCTION("""COMPUTED_VALUE"""),"#N/A")</f>
        <v>#N/A</v>
      </c>
      <c r="B1089" s="451" t="str">
        <f>IFERROR(__xludf.DUMMYFUNCTION("""COMPUTED_VALUE"""),"#N/A")</f>
        <v>#N/A</v>
      </c>
    </row>
    <row r="1090">
      <c r="A1090" t="str">
        <f>IFERROR(__xludf.DUMMYFUNCTION("""COMPUTED_VALUE"""),"#N/A")</f>
        <v>#N/A</v>
      </c>
      <c r="B1090" s="451" t="str">
        <f>IFERROR(__xludf.DUMMYFUNCTION("""COMPUTED_VALUE"""),"#N/A")</f>
        <v>#N/A</v>
      </c>
    </row>
    <row r="1091">
      <c r="A1091" t="str">
        <f>IFERROR(__xludf.DUMMYFUNCTION("""COMPUTED_VALUE"""),"#N/A")</f>
        <v>#N/A</v>
      </c>
      <c r="B1091" s="451" t="str">
        <f>IFERROR(__xludf.DUMMYFUNCTION("""COMPUTED_VALUE"""),"#N/A")</f>
        <v>#N/A</v>
      </c>
    </row>
    <row r="1092">
      <c r="A1092" t="str">
        <f>IFERROR(__xludf.DUMMYFUNCTION("""COMPUTED_VALUE"""),"#N/A")</f>
        <v>#N/A</v>
      </c>
      <c r="B1092" s="451" t="str">
        <f>IFERROR(__xludf.DUMMYFUNCTION("""COMPUTED_VALUE"""),"#N/A")</f>
        <v>#N/A</v>
      </c>
    </row>
    <row r="1093">
      <c r="A1093" t="str">
        <f>IFERROR(__xludf.DUMMYFUNCTION("""COMPUTED_VALUE"""),"#N/A")</f>
        <v>#N/A</v>
      </c>
      <c r="B1093" s="451" t="str">
        <f>IFERROR(__xludf.DUMMYFUNCTION("""COMPUTED_VALUE"""),"#N/A")</f>
        <v>#N/A</v>
      </c>
    </row>
    <row r="1094">
      <c r="A1094" t="str">
        <f>IFERROR(__xludf.DUMMYFUNCTION("""COMPUTED_VALUE"""),"#N/A")</f>
        <v>#N/A</v>
      </c>
      <c r="B1094" s="451" t="str">
        <f>IFERROR(__xludf.DUMMYFUNCTION("""COMPUTED_VALUE"""),"#N/A")</f>
        <v>#N/A</v>
      </c>
    </row>
    <row r="1095">
      <c r="A1095" t="str">
        <f>IFERROR(__xludf.DUMMYFUNCTION("""COMPUTED_VALUE"""),"#N/A")</f>
        <v>#N/A</v>
      </c>
      <c r="B1095" s="451" t="str">
        <f>IFERROR(__xludf.DUMMYFUNCTION("""COMPUTED_VALUE"""),"#N/A")</f>
        <v>#N/A</v>
      </c>
    </row>
    <row r="1096">
      <c r="A1096" t="str">
        <f>IFERROR(__xludf.DUMMYFUNCTION("""COMPUTED_VALUE"""),"#N/A")</f>
        <v>#N/A</v>
      </c>
      <c r="B1096" s="451" t="str">
        <f>IFERROR(__xludf.DUMMYFUNCTION("""COMPUTED_VALUE"""),"#N/A")</f>
        <v>#N/A</v>
      </c>
    </row>
    <row r="1097">
      <c r="A1097" t="str">
        <f>IFERROR(__xludf.DUMMYFUNCTION("""COMPUTED_VALUE"""),"#N/A")</f>
        <v>#N/A</v>
      </c>
      <c r="B1097" s="451" t="str">
        <f>IFERROR(__xludf.DUMMYFUNCTION("""COMPUTED_VALUE"""),"#N/A")</f>
        <v>#N/A</v>
      </c>
    </row>
    <row r="1098">
      <c r="A1098" t="str">
        <f>IFERROR(__xludf.DUMMYFUNCTION("""COMPUTED_VALUE"""),"#N/A")</f>
        <v>#N/A</v>
      </c>
      <c r="B1098" s="451" t="str">
        <f>IFERROR(__xludf.DUMMYFUNCTION("""COMPUTED_VALUE"""),"#N/A")</f>
        <v>#N/A</v>
      </c>
    </row>
    <row r="1099">
      <c r="A1099" t="str">
        <f>IFERROR(__xludf.DUMMYFUNCTION("""COMPUTED_VALUE"""),"#N/A")</f>
        <v>#N/A</v>
      </c>
      <c r="B1099" s="451" t="str">
        <f>IFERROR(__xludf.DUMMYFUNCTION("""COMPUTED_VALUE"""),"#N/A")</f>
        <v>#N/A</v>
      </c>
    </row>
    <row r="1100">
      <c r="A1100" t="str">
        <f>IFERROR(__xludf.DUMMYFUNCTION("""COMPUTED_VALUE"""),"#N/A")</f>
        <v>#N/A</v>
      </c>
      <c r="B1100" s="451" t="str">
        <f>IFERROR(__xludf.DUMMYFUNCTION("""COMPUTED_VALUE"""),"#N/A")</f>
        <v>#N/A</v>
      </c>
    </row>
    <row r="1101">
      <c r="A1101" t="str">
        <f>IFERROR(__xludf.DUMMYFUNCTION("""COMPUTED_VALUE"""),"#N/A")</f>
        <v>#N/A</v>
      </c>
      <c r="B1101" s="451" t="str">
        <f>IFERROR(__xludf.DUMMYFUNCTION("""COMPUTED_VALUE"""),"#N/A")</f>
        <v>#N/A</v>
      </c>
    </row>
    <row r="1102">
      <c r="A1102" t="str">
        <f>IFERROR(__xludf.DUMMYFUNCTION("""COMPUTED_VALUE"""),"#N/A")</f>
        <v>#N/A</v>
      </c>
      <c r="B1102" s="451" t="str">
        <f>IFERROR(__xludf.DUMMYFUNCTION("""COMPUTED_VALUE"""),"#N/A")</f>
        <v>#N/A</v>
      </c>
    </row>
    <row r="1103">
      <c r="A1103" t="str">
        <f>IFERROR(__xludf.DUMMYFUNCTION("""COMPUTED_VALUE"""),"#N/A")</f>
        <v>#N/A</v>
      </c>
      <c r="B1103" s="451" t="str">
        <f>IFERROR(__xludf.DUMMYFUNCTION("""COMPUTED_VALUE"""),"#N/A")</f>
        <v>#N/A</v>
      </c>
    </row>
    <row r="1104">
      <c r="A1104" t="str">
        <f>IFERROR(__xludf.DUMMYFUNCTION("""COMPUTED_VALUE"""),"#N/A")</f>
        <v>#N/A</v>
      </c>
      <c r="B1104" s="451" t="str">
        <f>IFERROR(__xludf.DUMMYFUNCTION("""COMPUTED_VALUE"""),"#N/A")</f>
        <v>#N/A</v>
      </c>
    </row>
    <row r="1105">
      <c r="A1105" t="str">
        <f>IFERROR(__xludf.DUMMYFUNCTION("""COMPUTED_VALUE"""),"#N/A")</f>
        <v>#N/A</v>
      </c>
      <c r="B1105" s="451" t="str">
        <f>IFERROR(__xludf.DUMMYFUNCTION("""COMPUTED_VALUE"""),"#N/A")</f>
        <v>#N/A</v>
      </c>
    </row>
    <row r="1106">
      <c r="A1106" t="str">
        <f>IFERROR(__xludf.DUMMYFUNCTION("""COMPUTED_VALUE"""),"#N/A")</f>
        <v>#N/A</v>
      </c>
      <c r="B1106" s="451" t="str">
        <f>IFERROR(__xludf.DUMMYFUNCTION("""COMPUTED_VALUE"""),"#N/A")</f>
        <v>#N/A</v>
      </c>
    </row>
    <row r="1107">
      <c r="A1107" t="str">
        <f>IFERROR(__xludf.DUMMYFUNCTION("""COMPUTED_VALUE"""),"#N/A")</f>
        <v>#N/A</v>
      </c>
      <c r="B1107" s="451" t="str">
        <f>IFERROR(__xludf.DUMMYFUNCTION("""COMPUTED_VALUE"""),"#N/A")</f>
        <v>#N/A</v>
      </c>
    </row>
    <row r="1108">
      <c r="A1108" t="str">
        <f>IFERROR(__xludf.DUMMYFUNCTION("""COMPUTED_VALUE"""),"#N/A")</f>
        <v>#N/A</v>
      </c>
      <c r="B1108" s="451" t="str">
        <f>IFERROR(__xludf.DUMMYFUNCTION("""COMPUTED_VALUE"""),"#N/A")</f>
        <v>#N/A</v>
      </c>
    </row>
    <row r="1109">
      <c r="A1109" t="str">
        <f>IFERROR(__xludf.DUMMYFUNCTION("""COMPUTED_VALUE"""),"#N/A")</f>
        <v>#N/A</v>
      </c>
      <c r="B1109" s="451" t="str">
        <f>IFERROR(__xludf.DUMMYFUNCTION("""COMPUTED_VALUE"""),"#N/A")</f>
        <v>#N/A</v>
      </c>
    </row>
    <row r="1110">
      <c r="A1110" t="str">
        <f>IFERROR(__xludf.DUMMYFUNCTION("""COMPUTED_VALUE"""),"#N/A")</f>
        <v>#N/A</v>
      </c>
      <c r="B1110" s="451" t="str">
        <f>IFERROR(__xludf.DUMMYFUNCTION("""COMPUTED_VALUE"""),"#N/A")</f>
        <v>#N/A</v>
      </c>
    </row>
    <row r="1111">
      <c r="A1111" t="str">
        <f>IFERROR(__xludf.DUMMYFUNCTION("""COMPUTED_VALUE"""),"#N/A")</f>
        <v>#N/A</v>
      </c>
      <c r="B1111" s="451" t="str">
        <f>IFERROR(__xludf.DUMMYFUNCTION("""COMPUTED_VALUE"""),"#N/A")</f>
        <v>#N/A</v>
      </c>
    </row>
    <row r="1112">
      <c r="A1112" t="str">
        <f>IFERROR(__xludf.DUMMYFUNCTION("""COMPUTED_VALUE"""),"#N/A")</f>
        <v>#N/A</v>
      </c>
      <c r="B1112" s="451" t="str">
        <f>IFERROR(__xludf.DUMMYFUNCTION("""COMPUTED_VALUE"""),"#N/A")</f>
        <v>#N/A</v>
      </c>
    </row>
    <row r="1113">
      <c r="A1113" t="str">
        <f>IFERROR(__xludf.DUMMYFUNCTION("""COMPUTED_VALUE"""),"#N/A")</f>
        <v>#N/A</v>
      </c>
      <c r="B1113" s="451" t="str">
        <f>IFERROR(__xludf.DUMMYFUNCTION("""COMPUTED_VALUE"""),"#N/A")</f>
        <v>#N/A</v>
      </c>
    </row>
    <row r="1114">
      <c r="A1114" t="str">
        <f>IFERROR(__xludf.DUMMYFUNCTION("""COMPUTED_VALUE"""),"#N/A")</f>
        <v>#N/A</v>
      </c>
      <c r="B1114" s="451" t="str">
        <f>IFERROR(__xludf.DUMMYFUNCTION("""COMPUTED_VALUE"""),"#N/A")</f>
        <v>#N/A</v>
      </c>
    </row>
    <row r="1115">
      <c r="A1115" t="str">
        <f>IFERROR(__xludf.DUMMYFUNCTION("""COMPUTED_VALUE"""),"#N/A")</f>
        <v>#N/A</v>
      </c>
      <c r="B1115" s="451" t="str">
        <f>IFERROR(__xludf.DUMMYFUNCTION("""COMPUTED_VALUE"""),"#N/A")</f>
        <v>#N/A</v>
      </c>
    </row>
    <row r="1116">
      <c r="A1116" t="str">
        <f>IFERROR(__xludf.DUMMYFUNCTION("""COMPUTED_VALUE"""),"#N/A")</f>
        <v>#N/A</v>
      </c>
      <c r="B1116" s="451" t="str">
        <f>IFERROR(__xludf.DUMMYFUNCTION("""COMPUTED_VALUE"""),"#N/A")</f>
        <v>#N/A</v>
      </c>
    </row>
    <row r="1117">
      <c r="A1117" t="str">
        <f>IFERROR(__xludf.DUMMYFUNCTION("""COMPUTED_VALUE"""),"#N/A")</f>
        <v>#N/A</v>
      </c>
      <c r="B1117" s="451" t="str">
        <f>IFERROR(__xludf.DUMMYFUNCTION("""COMPUTED_VALUE"""),"#N/A")</f>
        <v>#N/A</v>
      </c>
    </row>
    <row r="1118">
      <c r="A1118" t="str">
        <f>IFERROR(__xludf.DUMMYFUNCTION("""COMPUTED_VALUE"""),"#N/A")</f>
        <v>#N/A</v>
      </c>
      <c r="B1118" s="451" t="str">
        <f>IFERROR(__xludf.DUMMYFUNCTION("""COMPUTED_VALUE"""),"#N/A")</f>
        <v>#N/A</v>
      </c>
    </row>
    <row r="1119">
      <c r="A1119" t="str">
        <f>IFERROR(__xludf.DUMMYFUNCTION("""COMPUTED_VALUE"""),"#N/A")</f>
        <v>#N/A</v>
      </c>
      <c r="B1119" s="451" t="str">
        <f>IFERROR(__xludf.DUMMYFUNCTION("""COMPUTED_VALUE"""),"#N/A")</f>
        <v>#N/A</v>
      </c>
    </row>
    <row r="1120">
      <c r="A1120" t="str">
        <f>IFERROR(__xludf.DUMMYFUNCTION("""COMPUTED_VALUE"""),"#N/A")</f>
        <v>#N/A</v>
      </c>
      <c r="B1120" s="451" t="str">
        <f>IFERROR(__xludf.DUMMYFUNCTION("""COMPUTED_VALUE"""),"#N/A")</f>
        <v>#N/A</v>
      </c>
    </row>
    <row r="1121">
      <c r="A1121" t="str">
        <f>IFERROR(__xludf.DUMMYFUNCTION("""COMPUTED_VALUE"""),"#N/A")</f>
        <v>#N/A</v>
      </c>
      <c r="B1121" s="451" t="str">
        <f>IFERROR(__xludf.DUMMYFUNCTION("""COMPUTED_VALUE"""),"#N/A")</f>
        <v>#N/A</v>
      </c>
    </row>
    <row r="1122">
      <c r="A1122" t="str">
        <f>IFERROR(__xludf.DUMMYFUNCTION("""COMPUTED_VALUE"""),"#N/A")</f>
        <v>#N/A</v>
      </c>
      <c r="B1122" s="451" t="str">
        <f>IFERROR(__xludf.DUMMYFUNCTION("""COMPUTED_VALUE"""),"#N/A")</f>
        <v>#N/A</v>
      </c>
    </row>
    <row r="1123">
      <c r="A1123" t="str">
        <f>IFERROR(__xludf.DUMMYFUNCTION("""COMPUTED_VALUE"""),"#N/A")</f>
        <v>#N/A</v>
      </c>
      <c r="B1123" s="451" t="str">
        <f>IFERROR(__xludf.DUMMYFUNCTION("""COMPUTED_VALUE"""),"#N/A")</f>
        <v>#N/A</v>
      </c>
    </row>
    <row r="1124">
      <c r="A1124" t="str">
        <f>IFERROR(__xludf.DUMMYFUNCTION("""COMPUTED_VALUE"""),"#N/A")</f>
        <v>#N/A</v>
      </c>
      <c r="B1124" s="451" t="str">
        <f>IFERROR(__xludf.DUMMYFUNCTION("""COMPUTED_VALUE"""),"#N/A")</f>
        <v>#N/A</v>
      </c>
    </row>
    <row r="1125">
      <c r="A1125" t="str">
        <f>IFERROR(__xludf.DUMMYFUNCTION("""COMPUTED_VALUE"""),"#N/A")</f>
        <v>#N/A</v>
      </c>
      <c r="B1125" s="451" t="str">
        <f>IFERROR(__xludf.DUMMYFUNCTION("""COMPUTED_VALUE"""),"#N/A")</f>
        <v>#N/A</v>
      </c>
    </row>
    <row r="1126">
      <c r="A1126" t="str">
        <f>IFERROR(__xludf.DUMMYFUNCTION("""COMPUTED_VALUE"""),"#N/A")</f>
        <v>#N/A</v>
      </c>
      <c r="B1126" s="451" t="str">
        <f>IFERROR(__xludf.DUMMYFUNCTION("""COMPUTED_VALUE"""),"#N/A")</f>
        <v>#N/A</v>
      </c>
    </row>
    <row r="1127">
      <c r="A1127" t="str">
        <f>IFERROR(__xludf.DUMMYFUNCTION("""COMPUTED_VALUE"""),"#N/A")</f>
        <v>#N/A</v>
      </c>
      <c r="B1127" s="451" t="str">
        <f>IFERROR(__xludf.DUMMYFUNCTION("""COMPUTED_VALUE"""),"#N/A")</f>
        <v>#N/A</v>
      </c>
    </row>
    <row r="1128">
      <c r="A1128" t="str">
        <f>IFERROR(__xludf.DUMMYFUNCTION("""COMPUTED_VALUE"""),"#N/A")</f>
        <v>#N/A</v>
      </c>
      <c r="B1128" s="451" t="str">
        <f>IFERROR(__xludf.DUMMYFUNCTION("""COMPUTED_VALUE"""),"#N/A")</f>
        <v>#N/A</v>
      </c>
    </row>
    <row r="1129">
      <c r="A1129" t="str">
        <f>IFERROR(__xludf.DUMMYFUNCTION("""COMPUTED_VALUE"""),"#N/A")</f>
        <v>#N/A</v>
      </c>
      <c r="B1129" s="451" t="str">
        <f>IFERROR(__xludf.DUMMYFUNCTION("""COMPUTED_VALUE"""),"#N/A")</f>
        <v>#N/A</v>
      </c>
    </row>
    <row r="1130">
      <c r="A1130" t="str">
        <f>IFERROR(__xludf.DUMMYFUNCTION("""COMPUTED_VALUE"""),"#N/A")</f>
        <v>#N/A</v>
      </c>
      <c r="B1130" s="451" t="str">
        <f>IFERROR(__xludf.DUMMYFUNCTION("""COMPUTED_VALUE"""),"#N/A")</f>
        <v>#N/A</v>
      </c>
    </row>
    <row r="1131">
      <c r="A1131" t="str">
        <f>IFERROR(__xludf.DUMMYFUNCTION("""COMPUTED_VALUE"""),"#N/A")</f>
        <v>#N/A</v>
      </c>
      <c r="B1131" s="451" t="str">
        <f>IFERROR(__xludf.DUMMYFUNCTION("""COMPUTED_VALUE"""),"#N/A")</f>
        <v>#N/A</v>
      </c>
    </row>
    <row r="1132">
      <c r="A1132" t="str">
        <f>IFERROR(__xludf.DUMMYFUNCTION("""COMPUTED_VALUE"""),"#N/A")</f>
        <v>#N/A</v>
      </c>
      <c r="B1132" s="451" t="str">
        <f>IFERROR(__xludf.DUMMYFUNCTION("""COMPUTED_VALUE"""),"#N/A")</f>
        <v>#N/A</v>
      </c>
    </row>
    <row r="1133">
      <c r="A1133" t="str">
        <f>IFERROR(__xludf.DUMMYFUNCTION("""COMPUTED_VALUE"""),"#N/A")</f>
        <v>#N/A</v>
      </c>
      <c r="B1133" s="451" t="str">
        <f>IFERROR(__xludf.DUMMYFUNCTION("""COMPUTED_VALUE"""),"#N/A")</f>
        <v>#N/A</v>
      </c>
    </row>
    <row r="1134">
      <c r="A1134" t="str">
        <f>IFERROR(__xludf.DUMMYFUNCTION("""COMPUTED_VALUE"""),"#N/A")</f>
        <v>#N/A</v>
      </c>
      <c r="B1134" s="451" t="str">
        <f>IFERROR(__xludf.DUMMYFUNCTION("""COMPUTED_VALUE"""),"#N/A")</f>
        <v>#N/A</v>
      </c>
    </row>
    <row r="1135">
      <c r="A1135" t="str">
        <f>IFERROR(__xludf.DUMMYFUNCTION("""COMPUTED_VALUE"""),"#N/A")</f>
        <v>#N/A</v>
      </c>
      <c r="B1135" s="451" t="str">
        <f>IFERROR(__xludf.DUMMYFUNCTION("""COMPUTED_VALUE"""),"#N/A")</f>
        <v>#N/A</v>
      </c>
    </row>
    <row r="1136">
      <c r="A1136" t="str">
        <f>IFERROR(__xludf.DUMMYFUNCTION("""COMPUTED_VALUE"""),"#N/A")</f>
        <v>#N/A</v>
      </c>
      <c r="B1136" s="451" t="str">
        <f>IFERROR(__xludf.DUMMYFUNCTION("""COMPUTED_VALUE"""),"#N/A")</f>
        <v>#N/A</v>
      </c>
    </row>
    <row r="1137">
      <c r="A1137" t="str">
        <f>IFERROR(__xludf.DUMMYFUNCTION("""COMPUTED_VALUE"""),"#N/A")</f>
        <v>#N/A</v>
      </c>
      <c r="B1137" s="451" t="str">
        <f>IFERROR(__xludf.DUMMYFUNCTION("""COMPUTED_VALUE"""),"#N/A")</f>
        <v>#N/A</v>
      </c>
    </row>
    <row r="1138">
      <c r="A1138" t="str">
        <f>IFERROR(__xludf.DUMMYFUNCTION("""COMPUTED_VALUE"""),"#N/A")</f>
        <v>#N/A</v>
      </c>
      <c r="B1138" s="451" t="str">
        <f>IFERROR(__xludf.DUMMYFUNCTION("""COMPUTED_VALUE"""),"#N/A")</f>
        <v>#N/A</v>
      </c>
    </row>
    <row r="1139">
      <c r="A1139" t="str">
        <f>IFERROR(__xludf.DUMMYFUNCTION("""COMPUTED_VALUE"""),"#N/A")</f>
        <v>#N/A</v>
      </c>
      <c r="B1139" s="451" t="str">
        <f>IFERROR(__xludf.DUMMYFUNCTION("""COMPUTED_VALUE"""),"#N/A")</f>
        <v>#N/A</v>
      </c>
    </row>
    <row r="1140">
      <c r="A1140" t="str">
        <f>IFERROR(__xludf.DUMMYFUNCTION("""COMPUTED_VALUE"""),"#N/A")</f>
        <v>#N/A</v>
      </c>
      <c r="B1140" s="451" t="str">
        <f>IFERROR(__xludf.DUMMYFUNCTION("""COMPUTED_VALUE"""),"#N/A")</f>
        <v>#N/A</v>
      </c>
    </row>
    <row r="1141">
      <c r="A1141" t="str">
        <f>IFERROR(__xludf.DUMMYFUNCTION("""COMPUTED_VALUE"""),"#N/A")</f>
        <v>#N/A</v>
      </c>
      <c r="B1141" s="451" t="str">
        <f>IFERROR(__xludf.DUMMYFUNCTION("""COMPUTED_VALUE"""),"#N/A")</f>
        <v>#N/A</v>
      </c>
    </row>
    <row r="1142">
      <c r="A1142" t="str">
        <f>IFERROR(__xludf.DUMMYFUNCTION("""COMPUTED_VALUE"""),"#N/A")</f>
        <v>#N/A</v>
      </c>
      <c r="B1142" s="451" t="str">
        <f>IFERROR(__xludf.DUMMYFUNCTION("""COMPUTED_VALUE"""),"#N/A")</f>
        <v>#N/A</v>
      </c>
    </row>
    <row r="1143">
      <c r="A1143" t="str">
        <f>IFERROR(__xludf.DUMMYFUNCTION("""COMPUTED_VALUE"""),"#N/A")</f>
        <v>#N/A</v>
      </c>
      <c r="B1143" s="451" t="str">
        <f>IFERROR(__xludf.DUMMYFUNCTION("""COMPUTED_VALUE"""),"#N/A")</f>
        <v>#N/A</v>
      </c>
    </row>
    <row r="1144">
      <c r="A1144" t="str">
        <f>IFERROR(__xludf.DUMMYFUNCTION("""COMPUTED_VALUE"""),"#N/A")</f>
        <v>#N/A</v>
      </c>
      <c r="B1144" s="451" t="str">
        <f>IFERROR(__xludf.DUMMYFUNCTION("""COMPUTED_VALUE"""),"#N/A")</f>
        <v>#N/A</v>
      </c>
    </row>
    <row r="1145">
      <c r="A1145" t="str">
        <f>IFERROR(__xludf.DUMMYFUNCTION("""COMPUTED_VALUE"""),"#N/A")</f>
        <v>#N/A</v>
      </c>
      <c r="B1145" s="451" t="str">
        <f>IFERROR(__xludf.DUMMYFUNCTION("""COMPUTED_VALUE"""),"#N/A")</f>
        <v>#N/A</v>
      </c>
    </row>
    <row r="1146">
      <c r="A1146" t="str">
        <f>IFERROR(__xludf.DUMMYFUNCTION("""COMPUTED_VALUE"""),"#N/A")</f>
        <v>#N/A</v>
      </c>
      <c r="B1146" s="451" t="str">
        <f>IFERROR(__xludf.DUMMYFUNCTION("""COMPUTED_VALUE"""),"#N/A")</f>
        <v>#N/A</v>
      </c>
    </row>
    <row r="1147">
      <c r="A1147" t="str">
        <f>IFERROR(__xludf.DUMMYFUNCTION("""COMPUTED_VALUE"""),"#N/A")</f>
        <v>#N/A</v>
      </c>
      <c r="B1147" s="451" t="str">
        <f>IFERROR(__xludf.DUMMYFUNCTION("""COMPUTED_VALUE"""),"#N/A")</f>
        <v>#N/A</v>
      </c>
    </row>
    <row r="1148">
      <c r="A1148" t="str">
        <f>IFERROR(__xludf.DUMMYFUNCTION("""COMPUTED_VALUE"""),"#N/A")</f>
        <v>#N/A</v>
      </c>
      <c r="B1148" s="451" t="str">
        <f>IFERROR(__xludf.DUMMYFUNCTION("""COMPUTED_VALUE"""),"#N/A")</f>
        <v>#N/A</v>
      </c>
    </row>
    <row r="1149">
      <c r="A1149" t="str">
        <f>IFERROR(__xludf.DUMMYFUNCTION("""COMPUTED_VALUE"""),"#N/A")</f>
        <v>#N/A</v>
      </c>
      <c r="B1149" s="451" t="str">
        <f>IFERROR(__xludf.DUMMYFUNCTION("""COMPUTED_VALUE"""),"#N/A")</f>
        <v>#N/A</v>
      </c>
    </row>
    <row r="1150">
      <c r="A1150" t="str">
        <f>IFERROR(__xludf.DUMMYFUNCTION("""COMPUTED_VALUE"""),"#N/A")</f>
        <v>#N/A</v>
      </c>
      <c r="B1150" s="451" t="str">
        <f>IFERROR(__xludf.DUMMYFUNCTION("""COMPUTED_VALUE"""),"#N/A")</f>
        <v>#N/A</v>
      </c>
    </row>
    <row r="1151">
      <c r="A1151" t="str">
        <f>IFERROR(__xludf.DUMMYFUNCTION("""COMPUTED_VALUE"""),"#N/A")</f>
        <v>#N/A</v>
      </c>
      <c r="B1151" s="451" t="str">
        <f>IFERROR(__xludf.DUMMYFUNCTION("""COMPUTED_VALUE"""),"#N/A")</f>
        <v>#N/A</v>
      </c>
    </row>
    <row r="1152">
      <c r="A1152" t="str">
        <f>IFERROR(__xludf.DUMMYFUNCTION("""COMPUTED_VALUE"""),"#N/A")</f>
        <v>#N/A</v>
      </c>
      <c r="B1152" s="451" t="str">
        <f>IFERROR(__xludf.DUMMYFUNCTION("""COMPUTED_VALUE"""),"#N/A")</f>
        <v>#N/A</v>
      </c>
    </row>
    <row r="1153">
      <c r="A1153" t="str">
        <f>IFERROR(__xludf.DUMMYFUNCTION("""COMPUTED_VALUE"""),"#N/A")</f>
        <v>#N/A</v>
      </c>
      <c r="B1153" s="451" t="str">
        <f>IFERROR(__xludf.DUMMYFUNCTION("""COMPUTED_VALUE"""),"#N/A")</f>
        <v>#N/A</v>
      </c>
    </row>
    <row r="1154">
      <c r="A1154" t="str">
        <f>IFERROR(__xludf.DUMMYFUNCTION("""COMPUTED_VALUE"""),"#N/A")</f>
        <v>#N/A</v>
      </c>
      <c r="B1154" s="451" t="str">
        <f>IFERROR(__xludf.DUMMYFUNCTION("""COMPUTED_VALUE"""),"#N/A")</f>
        <v>#N/A</v>
      </c>
    </row>
    <row r="1155">
      <c r="A1155" t="str">
        <f>IFERROR(__xludf.DUMMYFUNCTION("""COMPUTED_VALUE"""),"#N/A")</f>
        <v>#N/A</v>
      </c>
      <c r="B1155" s="451" t="str">
        <f>IFERROR(__xludf.DUMMYFUNCTION("""COMPUTED_VALUE"""),"#N/A")</f>
        <v>#N/A</v>
      </c>
    </row>
    <row r="1156">
      <c r="A1156" t="str">
        <f>IFERROR(__xludf.DUMMYFUNCTION("""COMPUTED_VALUE"""),"#N/A")</f>
        <v>#N/A</v>
      </c>
      <c r="B1156" s="451" t="str">
        <f>IFERROR(__xludf.DUMMYFUNCTION("""COMPUTED_VALUE"""),"#N/A")</f>
        <v>#N/A</v>
      </c>
    </row>
    <row r="1157">
      <c r="A1157" t="str">
        <f>IFERROR(__xludf.DUMMYFUNCTION("""COMPUTED_VALUE"""),"#N/A")</f>
        <v>#N/A</v>
      </c>
      <c r="B1157" s="451" t="str">
        <f>IFERROR(__xludf.DUMMYFUNCTION("""COMPUTED_VALUE"""),"#N/A")</f>
        <v>#N/A</v>
      </c>
    </row>
    <row r="1158">
      <c r="A1158" t="str">
        <f>IFERROR(__xludf.DUMMYFUNCTION("""COMPUTED_VALUE"""),"#N/A")</f>
        <v>#N/A</v>
      </c>
      <c r="B1158" s="451" t="str">
        <f>IFERROR(__xludf.DUMMYFUNCTION("""COMPUTED_VALUE"""),"#N/A")</f>
        <v>#N/A</v>
      </c>
    </row>
    <row r="1159">
      <c r="A1159" t="str">
        <f>IFERROR(__xludf.DUMMYFUNCTION("""COMPUTED_VALUE"""),"#N/A")</f>
        <v>#N/A</v>
      </c>
      <c r="B1159" s="451" t="str">
        <f>IFERROR(__xludf.DUMMYFUNCTION("""COMPUTED_VALUE"""),"#N/A")</f>
        <v>#N/A</v>
      </c>
    </row>
    <row r="1160">
      <c r="A1160" t="str">
        <f>IFERROR(__xludf.DUMMYFUNCTION("""COMPUTED_VALUE"""),"#N/A")</f>
        <v>#N/A</v>
      </c>
      <c r="B1160" s="451" t="str">
        <f>IFERROR(__xludf.DUMMYFUNCTION("""COMPUTED_VALUE"""),"#N/A")</f>
        <v>#N/A</v>
      </c>
    </row>
    <row r="1161">
      <c r="A1161" t="str">
        <f>IFERROR(__xludf.DUMMYFUNCTION("""COMPUTED_VALUE"""),"#N/A")</f>
        <v>#N/A</v>
      </c>
      <c r="B1161" s="451" t="str">
        <f>IFERROR(__xludf.DUMMYFUNCTION("""COMPUTED_VALUE"""),"#N/A")</f>
        <v>#N/A</v>
      </c>
    </row>
    <row r="1162">
      <c r="A1162" t="str">
        <f>IFERROR(__xludf.DUMMYFUNCTION("""COMPUTED_VALUE"""),"#N/A")</f>
        <v>#N/A</v>
      </c>
      <c r="B1162" s="451" t="str">
        <f>IFERROR(__xludf.DUMMYFUNCTION("""COMPUTED_VALUE"""),"#N/A")</f>
        <v>#N/A</v>
      </c>
    </row>
    <row r="1163">
      <c r="A1163" t="str">
        <f>IFERROR(__xludf.DUMMYFUNCTION("""COMPUTED_VALUE"""),"#N/A")</f>
        <v>#N/A</v>
      </c>
      <c r="B1163" s="451" t="str">
        <f>IFERROR(__xludf.DUMMYFUNCTION("""COMPUTED_VALUE"""),"#N/A")</f>
        <v>#N/A</v>
      </c>
    </row>
    <row r="1164">
      <c r="A1164" t="str">
        <f>IFERROR(__xludf.DUMMYFUNCTION("""COMPUTED_VALUE"""),"#N/A")</f>
        <v>#N/A</v>
      </c>
      <c r="B1164" s="451" t="str">
        <f>IFERROR(__xludf.DUMMYFUNCTION("""COMPUTED_VALUE"""),"#N/A")</f>
        <v>#N/A</v>
      </c>
    </row>
    <row r="1165">
      <c r="A1165" t="str">
        <f>IFERROR(__xludf.DUMMYFUNCTION("""COMPUTED_VALUE"""),"#N/A")</f>
        <v>#N/A</v>
      </c>
      <c r="B1165" s="451" t="str">
        <f>IFERROR(__xludf.DUMMYFUNCTION("""COMPUTED_VALUE"""),"#N/A")</f>
        <v>#N/A</v>
      </c>
    </row>
    <row r="1166">
      <c r="A1166" t="str">
        <f>IFERROR(__xludf.DUMMYFUNCTION("""COMPUTED_VALUE"""),"#N/A")</f>
        <v>#N/A</v>
      </c>
      <c r="B1166" s="451" t="str">
        <f>IFERROR(__xludf.DUMMYFUNCTION("""COMPUTED_VALUE"""),"#N/A")</f>
        <v>#N/A</v>
      </c>
    </row>
    <row r="1167">
      <c r="A1167" t="str">
        <f>IFERROR(__xludf.DUMMYFUNCTION("""COMPUTED_VALUE"""),"#N/A")</f>
        <v>#N/A</v>
      </c>
      <c r="B1167" s="451" t="str">
        <f>IFERROR(__xludf.DUMMYFUNCTION("""COMPUTED_VALUE"""),"#N/A")</f>
        <v>#N/A</v>
      </c>
    </row>
    <row r="1168">
      <c r="A1168" t="str">
        <f>IFERROR(__xludf.DUMMYFUNCTION("""COMPUTED_VALUE"""),"#N/A")</f>
        <v>#N/A</v>
      </c>
      <c r="B1168" s="451" t="str">
        <f>IFERROR(__xludf.DUMMYFUNCTION("""COMPUTED_VALUE"""),"#N/A")</f>
        <v>#N/A</v>
      </c>
    </row>
    <row r="1169">
      <c r="A1169" t="str">
        <f>IFERROR(__xludf.DUMMYFUNCTION("""COMPUTED_VALUE"""),"#N/A")</f>
        <v>#N/A</v>
      </c>
      <c r="B1169" s="451" t="str">
        <f>IFERROR(__xludf.DUMMYFUNCTION("""COMPUTED_VALUE"""),"#N/A")</f>
        <v>#N/A</v>
      </c>
    </row>
    <row r="1170">
      <c r="A1170" t="str">
        <f>IFERROR(__xludf.DUMMYFUNCTION("""COMPUTED_VALUE"""),"#N/A")</f>
        <v>#N/A</v>
      </c>
      <c r="B1170" s="451" t="str">
        <f>IFERROR(__xludf.DUMMYFUNCTION("""COMPUTED_VALUE"""),"#N/A")</f>
        <v>#N/A</v>
      </c>
    </row>
    <row r="1171">
      <c r="A1171" t="str">
        <f>IFERROR(__xludf.DUMMYFUNCTION("""COMPUTED_VALUE"""),"#N/A")</f>
        <v>#N/A</v>
      </c>
      <c r="B1171" s="451" t="str">
        <f>IFERROR(__xludf.DUMMYFUNCTION("""COMPUTED_VALUE"""),"#N/A")</f>
        <v>#N/A</v>
      </c>
    </row>
    <row r="1172">
      <c r="A1172" t="str">
        <f>IFERROR(__xludf.DUMMYFUNCTION("""COMPUTED_VALUE"""),"#N/A")</f>
        <v>#N/A</v>
      </c>
      <c r="B1172" s="451" t="str">
        <f>IFERROR(__xludf.DUMMYFUNCTION("""COMPUTED_VALUE"""),"#N/A")</f>
        <v>#N/A</v>
      </c>
    </row>
    <row r="1173">
      <c r="A1173" t="str">
        <f>IFERROR(__xludf.DUMMYFUNCTION("""COMPUTED_VALUE"""),"#N/A")</f>
        <v>#N/A</v>
      </c>
      <c r="B1173" s="451" t="str">
        <f>IFERROR(__xludf.DUMMYFUNCTION("""COMPUTED_VALUE"""),"#N/A")</f>
        <v>#N/A</v>
      </c>
    </row>
    <row r="1174">
      <c r="A1174" t="str">
        <f>IFERROR(__xludf.DUMMYFUNCTION("""COMPUTED_VALUE"""),"#N/A")</f>
        <v>#N/A</v>
      </c>
      <c r="B1174" s="451" t="str">
        <f>IFERROR(__xludf.DUMMYFUNCTION("""COMPUTED_VALUE"""),"#N/A")</f>
        <v>#N/A</v>
      </c>
    </row>
    <row r="1175">
      <c r="A1175" t="str">
        <f>IFERROR(__xludf.DUMMYFUNCTION("""COMPUTED_VALUE"""),"#N/A")</f>
        <v>#N/A</v>
      </c>
      <c r="B1175" s="451" t="str">
        <f>IFERROR(__xludf.DUMMYFUNCTION("""COMPUTED_VALUE"""),"#N/A")</f>
        <v>#N/A</v>
      </c>
    </row>
    <row r="1176">
      <c r="A1176" t="str">
        <f>IFERROR(__xludf.DUMMYFUNCTION("""COMPUTED_VALUE"""),"#N/A")</f>
        <v>#N/A</v>
      </c>
      <c r="B1176" s="451" t="str">
        <f>IFERROR(__xludf.DUMMYFUNCTION("""COMPUTED_VALUE"""),"#N/A")</f>
        <v>#N/A</v>
      </c>
    </row>
    <row r="1177">
      <c r="A1177" t="str">
        <f>IFERROR(__xludf.DUMMYFUNCTION("""COMPUTED_VALUE"""),"#N/A")</f>
        <v>#N/A</v>
      </c>
      <c r="B1177" s="451" t="str">
        <f>IFERROR(__xludf.DUMMYFUNCTION("""COMPUTED_VALUE"""),"#N/A")</f>
        <v>#N/A</v>
      </c>
    </row>
    <row r="1178">
      <c r="A1178" t="str">
        <f>IFERROR(__xludf.DUMMYFUNCTION("""COMPUTED_VALUE"""),"#N/A")</f>
        <v>#N/A</v>
      </c>
      <c r="B1178" s="451" t="str">
        <f>IFERROR(__xludf.DUMMYFUNCTION("""COMPUTED_VALUE"""),"#N/A")</f>
        <v>#N/A</v>
      </c>
    </row>
    <row r="1179">
      <c r="A1179" t="str">
        <f>IFERROR(__xludf.DUMMYFUNCTION("""COMPUTED_VALUE"""),"#N/A")</f>
        <v>#N/A</v>
      </c>
      <c r="B1179" s="451" t="str">
        <f>IFERROR(__xludf.DUMMYFUNCTION("""COMPUTED_VALUE"""),"#N/A")</f>
        <v>#N/A</v>
      </c>
    </row>
    <row r="1180">
      <c r="A1180" t="str">
        <f>IFERROR(__xludf.DUMMYFUNCTION("""COMPUTED_VALUE"""),"#N/A")</f>
        <v>#N/A</v>
      </c>
      <c r="B1180" s="451" t="str">
        <f>IFERROR(__xludf.DUMMYFUNCTION("""COMPUTED_VALUE"""),"#N/A")</f>
        <v>#N/A</v>
      </c>
    </row>
    <row r="1181">
      <c r="A1181" t="str">
        <f>IFERROR(__xludf.DUMMYFUNCTION("""COMPUTED_VALUE"""),"#N/A")</f>
        <v>#N/A</v>
      </c>
      <c r="B1181" s="451" t="str">
        <f>IFERROR(__xludf.DUMMYFUNCTION("""COMPUTED_VALUE"""),"#N/A")</f>
        <v>#N/A</v>
      </c>
    </row>
    <row r="1182">
      <c r="A1182" t="str">
        <f>IFERROR(__xludf.DUMMYFUNCTION("""COMPUTED_VALUE"""),"#N/A")</f>
        <v>#N/A</v>
      </c>
      <c r="B1182" s="451" t="str">
        <f>IFERROR(__xludf.DUMMYFUNCTION("""COMPUTED_VALUE"""),"#N/A")</f>
        <v>#N/A</v>
      </c>
    </row>
    <row r="1183">
      <c r="A1183" t="str">
        <f>IFERROR(__xludf.DUMMYFUNCTION("""COMPUTED_VALUE"""),"#N/A")</f>
        <v>#N/A</v>
      </c>
      <c r="B1183" s="451" t="str">
        <f>IFERROR(__xludf.DUMMYFUNCTION("""COMPUTED_VALUE"""),"#N/A")</f>
        <v>#N/A</v>
      </c>
    </row>
    <row r="1184">
      <c r="A1184" t="str">
        <f>IFERROR(__xludf.DUMMYFUNCTION("""COMPUTED_VALUE"""),"#N/A")</f>
        <v>#N/A</v>
      </c>
      <c r="B1184" s="451" t="str">
        <f>IFERROR(__xludf.DUMMYFUNCTION("""COMPUTED_VALUE"""),"#N/A")</f>
        <v>#N/A</v>
      </c>
    </row>
    <row r="1185">
      <c r="A1185" t="str">
        <f>IFERROR(__xludf.DUMMYFUNCTION("""COMPUTED_VALUE"""),"#N/A")</f>
        <v>#N/A</v>
      </c>
      <c r="B1185" s="451" t="str">
        <f>IFERROR(__xludf.DUMMYFUNCTION("""COMPUTED_VALUE"""),"#N/A")</f>
        <v>#N/A</v>
      </c>
    </row>
    <row r="1186">
      <c r="A1186" t="str">
        <f>IFERROR(__xludf.DUMMYFUNCTION("""COMPUTED_VALUE"""),"#N/A")</f>
        <v>#N/A</v>
      </c>
      <c r="B1186" s="451" t="str">
        <f>IFERROR(__xludf.DUMMYFUNCTION("""COMPUTED_VALUE"""),"#N/A")</f>
        <v>#N/A</v>
      </c>
    </row>
    <row r="1187">
      <c r="A1187" t="str">
        <f>IFERROR(__xludf.DUMMYFUNCTION("""COMPUTED_VALUE"""),"#N/A")</f>
        <v>#N/A</v>
      </c>
      <c r="B1187" s="451" t="str">
        <f>IFERROR(__xludf.DUMMYFUNCTION("""COMPUTED_VALUE"""),"#N/A")</f>
        <v>#N/A</v>
      </c>
    </row>
    <row r="1188">
      <c r="A1188" t="str">
        <f>IFERROR(__xludf.DUMMYFUNCTION("""COMPUTED_VALUE"""),"#N/A")</f>
        <v>#N/A</v>
      </c>
      <c r="B1188" s="451" t="str">
        <f>IFERROR(__xludf.DUMMYFUNCTION("""COMPUTED_VALUE"""),"#N/A")</f>
        <v>#N/A</v>
      </c>
    </row>
    <row r="1189">
      <c r="A1189" t="str">
        <f>IFERROR(__xludf.DUMMYFUNCTION("""COMPUTED_VALUE"""),"#N/A")</f>
        <v>#N/A</v>
      </c>
      <c r="B1189" s="451" t="str">
        <f>IFERROR(__xludf.DUMMYFUNCTION("""COMPUTED_VALUE"""),"#N/A")</f>
        <v>#N/A</v>
      </c>
    </row>
    <row r="1190">
      <c r="A1190" t="str">
        <f>IFERROR(__xludf.DUMMYFUNCTION("""COMPUTED_VALUE"""),"#N/A")</f>
        <v>#N/A</v>
      </c>
      <c r="B1190" s="451" t="str">
        <f>IFERROR(__xludf.DUMMYFUNCTION("""COMPUTED_VALUE"""),"#N/A")</f>
        <v>#N/A</v>
      </c>
    </row>
    <row r="1191">
      <c r="A1191" t="str">
        <f>IFERROR(__xludf.DUMMYFUNCTION("""COMPUTED_VALUE"""),"#N/A")</f>
        <v>#N/A</v>
      </c>
      <c r="B1191" s="451" t="str">
        <f>IFERROR(__xludf.DUMMYFUNCTION("""COMPUTED_VALUE"""),"#N/A")</f>
        <v>#N/A</v>
      </c>
    </row>
    <row r="1192">
      <c r="A1192" t="str">
        <f>IFERROR(__xludf.DUMMYFUNCTION("""COMPUTED_VALUE"""),"#N/A")</f>
        <v>#N/A</v>
      </c>
      <c r="B1192" s="451" t="str">
        <f>IFERROR(__xludf.DUMMYFUNCTION("""COMPUTED_VALUE"""),"#N/A")</f>
        <v>#N/A</v>
      </c>
    </row>
    <row r="1193">
      <c r="A1193" t="str">
        <f>IFERROR(__xludf.DUMMYFUNCTION("""COMPUTED_VALUE"""),"#N/A")</f>
        <v>#N/A</v>
      </c>
      <c r="B1193" s="451" t="str">
        <f>IFERROR(__xludf.DUMMYFUNCTION("""COMPUTED_VALUE"""),"#N/A")</f>
        <v>#N/A</v>
      </c>
    </row>
    <row r="1194">
      <c r="A1194" t="str">
        <f>IFERROR(__xludf.DUMMYFUNCTION("""COMPUTED_VALUE"""),"#N/A")</f>
        <v>#N/A</v>
      </c>
      <c r="B1194" s="451" t="str">
        <f>IFERROR(__xludf.DUMMYFUNCTION("""COMPUTED_VALUE"""),"#N/A")</f>
        <v>#N/A</v>
      </c>
    </row>
    <row r="1195">
      <c r="A1195" t="str">
        <f>IFERROR(__xludf.DUMMYFUNCTION("""COMPUTED_VALUE"""),"#N/A")</f>
        <v>#N/A</v>
      </c>
      <c r="B1195" s="451" t="str">
        <f>IFERROR(__xludf.DUMMYFUNCTION("""COMPUTED_VALUE"""),"#N/A")</f>
        <v>#N/A</v>
      </c>
    </row>
    <row r="1196">
      <c r="A1196" t="str">
        <f>IFERROR(__xludf.DUMMYFUNCTION("""COMPUTED_VALUE"""),"#N/A")</f>
        <v>#N/A</v>
      </c>
      <c r="B1196" s="451" t="str">
        <f>IFERROR(__xludf.DUMMYFUNCTION("""COMPUTED_VALUE"""),"#N/A")</f>
        <v>#N/A</v>
      </c>
    </row>
    <row r="1197">
      <c r="A1197" t="str">
        <f>IFERROR(__xludf.DUMMYFUNCTION("""COMPUTED_VALUE"""),"#N/A")</f>
        <v>#N/A</v>
      </c>
      <c r="B1197" s="451" t="str">
        <f>IFERROR(__xludf.DUMMYFUNCTION("""COMPUTED_VALUE"""),"#N/A")</f>
        <v>#N/A</v>
      </c>
    </row>
    <row r="1198">
      <c r="A1198" t="str">
        <f>IFERROR(__xludf.DUMMYFUNCTION("""COMPUTED_VALUE"""),"#N/A")</f>
        <v>#N/A</v>
      </c>
      <c r="B1198" s="451" t="str">
        <f>IFERROR(__xludf.DUMMYFUNCTION("""COMPUTED_VALUE"""),"#N/A")</f>
        <v>#N/A</v>
      </c>
    </row>
    <row r="1199">
      <c r="A1199" t="str">
        <f>IFERROR(__xludf.DUMMYFUNCTION("""COMPUTED_VALUE"""),"#N/A")</f>
        <v>#N/A</v>
      </c>
      <c r="B1199" s="451" t="str">
        <f>IFERROR(__xludf.DUMMYFUNCTION("""COMPUTED_VALUE"""),"#N/A")</f>
        <v>#N/A</v>
      </c>
    </row>
    <row r="1200">
      <c r="A1200" t="str">
        <f>IFERROR(__xludf.DUMMYFUNCTION("""COMPUTED_VALUE"""),"#N/A")</f>
        <v>#N/A</v>
      </c>
      <c r="B1200" s="451" t="str">
        <f>IFERROR(__xludf.DUMMYFUNCTION("""COMPUTED_VALUE"""),"#N/A")</f>
        <v>#N/A</v>
      </c>
    </row>
    <row r="1201">
      <c r="A1201" t="str">
        <f>IFERROR(__xludf.DUMMYFUNCTION("""COMPUTED_VALUE"""),"#N/A")</f>
        <v>#N/A</v>
      </c>
      <c r="B1201" s="451" t="str">
        <f>IFERROR(__xludf.DUMMYFUNCTION("""COMPUTED_VALUE"""),"#N/A")</f>
        <v>#N/A</v>
      </c>
    </row>
    <row r="1202">
      <c r="A1202" t="str">
        <f>IFERROR(__xludf.DUMMYFUNCTION("""COMPUTED_VALUE"""),"#N/A")</f>
        <v>#N/A</v>
      </c>
      <c r="B1202" s="451" t="str">
        <f>IFERROR(__xludf.DUMMYFUNCTION("""COMPUTED_VALUE"""),"#N/A")</f>
        <v>#N/A</v>
      </c>
    </row>
    <row r="1203">
      <c r="A1203" t="str">
        <f>IFERROR(__xludf.DUMMYFUNCTION("""COMPUTED_VALUE"""),"#N/A")</f>
        <v>#N/A</v>
      </c>
      <c r="B1203" s="451" t="str">
        <f>IFERROR(__xludf.DUMMYFUNCTION("""COMPUTED_VALUE"""),"#N/A")</f>
        <v>#N/A</v>
      </c>
    </row>
    <row r="1204">
      <c r="A1204" t="str">
        <f>IFERROR(__xludf.DUMMYFUNCTION("""COMPUTED_VALUE"""),"#N/A")</f>
        <v>#N/A</v>
      </c>
      <c r="B1204" s="451" t="str">
        <f>IFERROR(__xludf.DUMMYFUNCTION("""COMPUTED_VALUE"""),"#N/A")</f>
        <v>#N/A</v>
      </c>
    </row>
    <row r="1205">
      <c r="A1205" t="str">
        <f>IFERROR(__xludf.DUMMYFUNCTION("""COMPUTED_VALUE"""),"#N/A")</f>
        <v>#N/A</v>
      </c>
      <c r="B1205" s="451" t="str">
        <f>IFERROR(__xludf.DUMMYFUNCTION("""COMPUTED_VALUE"""),"#N/A")</f>
        <v>#N/A</v>
      </c>
    </row>
    <row r="1206">
      <c r="A1206" t="str">
        <f>IFERROR(__xludf.DUMMYFUNCTION("""COMPUTED_VALUE"""),"#N/A")</f>
        <v>#N/A</v>
      </c>
      <c r="B1206" s="451" t="str">
        <f>IFERROR(__xludf.DUMMYFUNCTION("""COMPUTED_VALUE"""),"#N/A")</f>
        <v>#N/A</v>
      </c>
    </row>
    <row r="1207">
      <c r="A1207" t="str">
        <f>IFERROR(__xludf.DUMMYFUNCTION("""COMPUTED_VALUE"""),"#N/A")</f>
        <v>#N/A</v>
      </c>
      <c r="B1207" s="451" t="str">
        <f>IFERROR(__xludf.DUMMYFUNCTION("""COMPUTED_VALUE"""),"#N/A")</f>
        <v>#N/A</v>
      </c>
    </row>
    <row r="1208">
      <c r="A1208" t="str">
        <f>IFERROR(__xludf.DUMMYFUNCTION("""COMPUTED_VALUE"""),"#N/A")</f>
        <v>#N/A</v>
      </c>
      <c r="B1208" s="451" t="str">
        <f>IFERROR(__xludf.DUMMYFUNCTION("""COMPUTED_VALUE"""),"#N/A")</f>
        <v>#N/A</v>
      </c>
    </row>
    <row r="1209">
      <c r="A1209" t="str">
        <f>IFERROR(__xludf.DUMMYFUNCTION("""COMPUTED_VALUE"""),"#N/A")</f>
        <v>#N/A</v>
      </c>
      <c r="B1209" s="451" t="str">
        <f>IFERROR(__xludf.DUMMYFUNCTION("""COMPUTED_VALUE"""),"#N/A")</f>
        <v>#N/A</v>
      </c>
    </row>
    <row r="1210">
      <c r="A1210" t="str">
        <f>IFERROR(__xludf.DUMMYFUNCTION("""COMPUTED_VALUE"""),"#N/A")</f>
        <v>#N/A</v>
      </c>
      <c r="B1210" s="451" t="str">
        <f>IFERROR(__xludf.DUMMYFUNCTION("""COMPUTED_VALUE"""),"#N/A")</f>
        <v>#N/A</v>
      </c>
    </row>
    <row r="1211">
      <c r="A1211" t="str">
        <f>IFERROR(__xludf.DUMMYFUNCTION("""COMPUTED_VALUE"""),"#N/A")</f>
        <v>#N/A</v>
      </c>
      <c r="B1211" s="451" t="str">
        <f>IFERROR(__xludf.DUMMYFUNCTION("""COMPUTED_VALUE"""),"#N/A")</f>
        <v>#N/A</v>
      </c>
    </row>
    <row r="1212">
      <c r="A1212" t="str">
        <f>IFERROR(__xludf.DUMMYFUNCTION("""COMPUTED_VALUE"""),"#N/A")</f>
        <v>#N/A</v>
      </c>
      <c r="B1212" s="451" t="str">
        <f>IFERROR(__xludf.DUMMYFUNCTION("""COMPUTED_VALUE"""),"#N/A")</f>
        <v>#N/A</v>
      </c>
    </row>
    <row r="1213">
      <c r="A1213" t="str">
        <f>IFERROR(__xludf.DUMMYFUNCTION("""COMPUTED_VALUE"""),"#N/A")</f>
        <v>#N/A</v>
      </c>
      <c r="B1213" s="451" t="str">
        <f>IFERROR(__xludf.DUMMYFUNCTION("""COMPUTED_VALUE"""),"#N/A")</f>
        <v>#N/A</v>
      </c>
    </row>
    <row r="1214">
      <c r="A1214" t="str">
        <f>IFERROR(__xludf.DUMMYFUNCTION("""COMPUTED_VALUE"""),"#N/A")</f>
        <v>#N/A</v>
      </c>
      <c r="B1214" s="451" t="str">
        <f>IFERROR(__xludf.DUMMYFUNCTION("""COMPUTED_VALUE"""),"#N/A")</f>
        <v>#N/A</v>
      </c>
    </row>
    <row r="1215">
      <c r="A1215" t="str">
        <f>IFERROR(__xludf.DUMMYFUNCTION("""COMPUTED_VALUE"""),"#N/A")</f>
        <v>#N/A</v>
      </c>
      <c r="B1215" s="451" t="str">
        <f>IFERROR(__xludf.DUMMYFUNCTION("""COMPUTED_VALUE"""),"#N/A")</f>
        <v>#N/A</v>
      </c>
    </row>
    <row r="1216">
      <c r="A1216" t="str">
        <f>IFERROR(__xludf.DUMMYFUNCTION("""COMPUTED_VALUE"""),"#N/A")</f>
        <v>#N/A</v>
      </c>
      <c r="B1216" s="451" t="str">
        <f>IFERROR(__xludf.DUMMYFUNCTION("""COMPUTED_VALUE"""),"#N/A")</f>
        <v>#N/A</v>
      </c>
    </row>
    <row r="1217">
      <c r="A1217" t="str">
        <f>IFERROR(__xludf.DUMMYFUNCTION("""COMPUTED_VALUE"""),"#N/A")</f>
        <v>#N/A</v>
      </c>
      <c r="B1217" s="451" t="str">
        <f>IFERROR(__xludf.DUMMYFUNCTION("""COMPUTED_VALUE"""),"#N/A")</f>
        <v>#N/A</v>
      </c>
    </row>
    <row r="1218">
      <c r="A1218" t="str">
        <f>IFERROR(__xludf.DUMMYFUNCTION("""COMPUTED_VALUE"""),"#N/A")</f>
        <v>#N/A</v>
      </c>
      <c r="B1218" s="451" t="str">
        <f>IFERROR(__xludf.DUMMYFUNCTION("""COMPUTED_VALUE"""),"#N/A")</f>
        <v>#N/A</v>
      </c>
    </row>
    <row r="1219">
      <c r="A1219" t="str">
        <f>IFERROR(__xludf.DUMMYFUNCTION("""COMPUTED_VALUE"""),"#N/A")</f>
        <v>#N/A</v>
      </c>
      <c r="B1219" s="451" t="str">
        <f>IFERROR(__xludf.DUMMYFUNCTION("""COMPUTED_VALUE"""),"#N/A")</f>
        <v>#N/A</v>
      </c>
    </row>
    <row r="1220">
      <c r="A1220" t="str">
        <f>IFERROR(__xludf.DUMMYFUNCTION("""COMPUTED_VALUE"""),"#N/A")</f>
        <v>#N/A</v>
      </c>
      <c r="B1220" s="451" t="str">
        <f>IFERROR(__xludf.DUMMYFUNCTION("""COMPUTED_VALUE"""),"#N/A")</f>
        <v>#N/A</v>
      </c>
    </row>
    <row r="1221">
      <c r="A1221" t="str">
        <f>IFERROR(__xludf.DUMMYFUNCTION("""COMPUTED_VALUE"""),"#N/A")</f>
        <v>#N/A</v>
      </c>
      <c r="B1221" s="451" t="str">
        <f>IFERROR(__xludf.DUMMYFUNCTION("""COMPUTED_VALUE"""),"#N/A")</f>
        <v>#N/A</v>
      </c>
    </row>
    <row r="1222">
      <c r="A1222" t="str">
        <f>IFERROR(__xludf.DUMMYFUNCTION("""COMPUTED_VALUE"""),"#N/A")</f>
        <v>#N/A</v>
      </c>
      <c r="B1222" s="451" t="str">
        <f>IFERROR(__xludf.DUMMYFUNCTION("""COMPUTED_VALUE"""),"#N/A")</f>
        <v>#N/A</v>
      </c>
    </row>
    <row r="1223">
      <c r="A1223" t="str">
        <f>IFERROR(__xludf.DUMMYFUNCTION("""COMPUTED_VALUE"""),"#N/A")</f>
        <v>#N/A</v>
      </c>
      <c r="B1223" s="451" t="str">
        <f>IFERROR(__xludf.DUMMYFUNCTION("""COMPUTED_VALUE"""),"#N/A")</f>
        <v>#N/A</v>
      </c>
    </row>
    <row r="1224">
      <c r="A1224" t="str">
        <f>IFERROR(__xludf.DUMMYFUNCTION("""COMPUTED_VALUE"""),"#N/A")</f>
        <v>#N/A</v>
      </c>
      <c r="B1224" s="451" t="str">
        <f>IFERROR(__xludf.DUMMYFUNCTION("""COMPUTED_VALUE"""),"#N/A")</f>
        <v>#N/A</v>
      </c>
    </row>
    <row r="1225">
      <c r="A1225" t="str">
        <f>IFERROR(__xludf.DUMMYFUNCTION("""COMPUTED_VALUE"""),"#N/A")</f>
        <v>#N/A</v>
      </c>
      <c r="B1225" s="451" t="str">
        <f>IFERROR(__xludf.DUMMYFUNCTION("""COMPUTED_VALUE"""),"#N/A")</f>
        <v>#N/A</v>
      </c>
    </row>
    <row r="1226">
      <c r="A1226" t="str">
        <f>IFERROR(__xludf.DUMMYFUNCTION("""COMPUTED_VALUE"""),"#N/A")</f>
        <v>#N/A</v>
      </c>
      <c r="B1226" s="451" t="str">
        <f>IFERROR(__xludf.DUMMYFUNCTION("""COMPUTED_VALUE"""),"#N/A")</f>
        <v>#N/A</v>
      </c>
    </row>
    <row r="1227">
      <c r="A1227" t="str">
        <f>IFERROR(__xludf.DUMMYFUNCTION("""COMPUTED_VALUE"""),"#N/A")</f>
        <v>#N/A</v>
      </c>
      <c r="B1227" s="451" t="str">
        <f>IFERROR(__xludf.DUMMYFUNCTION("""COMPUTED_VALUE"""),"#N/A")</f>
        <v>#N/A</v>
      </c>
    </row>
    <row r="1228">
      <c r="A1228" t="str">
        <f>IFERROR(__xludf.DUMMYFUNCTION("""COMPUTED_VALUE"""),"#N/A")</f>
        <v>#N/A</v>
      </c>
      <c r="B1228" s="451" t="str">
        <f>IFERROR(__xludf.DUMMYFUNCTION("""COMPUTED_VALUE"""),"#N/A")</f>
        <v>#N/A</v>
      </c>
    </row>
    <row r="1229">
      <c r="A1229" t="str">
        <f>IFERROR(__xludf.DUMMYFUNCTION("""COMPUTED_VALUE"""),"#N/A")</f>
        <v>#N/A</v>
      </c>
      <c r="B1229" s="451" t="str">
        <f>IFERROR(__xludf.DUMMYFUNCTION("""COMPUTED_VALUE"""),"#N/A")</f>
        <v>#N/A</v>
      </c>
    </row>
    <row r="1230">
      <c r="A1230" t="str">
        <f>IFERROR(__xludf.DUMMYFUNCTION("""COMPUTED_VALUE"""),"#N/A")</f>
        <v>#N/A</v>
      </c>
      <c r="B1230" s="451" t="str">
        <f>IFERROR(__xludf.DUMMYFUNCTION("""COMPUTED_VALUE"""),"#N/A")</f>
        <v>#N/A</v>
      </c>
    </row>
    <row r="1231">
      <c r="A1231" t="str">
        <f>IFERROR(__xludf.DUMMYFUNCTION("""COMPUTED_VALUE"""),"#N/A")</f>
        <v>#N/A</v>
      </c>
      <c r="B1231" s="451" t="str">
        <f>IFERROR(__xludf.DUMMYFUNCTION("""COMPUTED_VALUE"""),"#N/A")</f>
        <v>#N/A</v>
      </c>
    </row>
    <row r="1232">
      <c r="A1232" t="str">
        <f>IFERROR(__xludf.DUMMYFUNCTION("""COMPUTED_VALUE"""),"#N/A")</f>
        <v>#N/A</v>
      </c>
      <c r="B1232" s="451" t="str">
        <f>IFERROR(__xludf.DUMMYFUNCTION("""COMPUTED_VALUE"""),"#N/A")</f>
        <v>#N/A</v>
      </c>
    </row>
    <row r="1233">
      <c r="A1233" t="str">
        <f>IFERROR(__xludf.DUMMYFUNCTION("""COMPUTED_VALUE"""),"#N/A")</f>
        <v>#N/A</v>
      </c>
      <c r="B1233" s="451" t="str">
        <f>IFERROR(__xludf.DUMMYFUNCTION("""COMPUTED_VALUE"""),"#N/A")</f>
        <v>#N/A</v>
      </c>
    </row>
    <row r="1234">
      <c r="A1234" t="str">
        <f>IFERROR(__xludf.DUMMYFUNCTION("""COMPUTED_VALUE"""),"#N/A")</f>
        <v>#N/A</v>
      </c>
      <c r="B1234" s="451" t="str">
        <f>IFERROR(__xludf.DUMMYFUNCTION("""COMPUTED_VALUE"""),"#N/A")</f>
        <v>#N/A</v>
      </c>
    </row>
    <row r="1235">
      <c r="A1235" t="str">
        <f>IFERROR(__xludf.DUMMYFUNCTION("""COMPUTED_VALUE"""),"#N/A")</f>
        <v>#N/A</v>
      </c>
      <c r="B1235" s="451" t="str">
        <f>IFERROR(__xludf.DUMMYFUNCTION("""COMPUTED_VALUE"""),"#N/A")</f>
        <v>#N/A</v>
      </c>
    </row>
    <row r="1236">
      <c r="A1236" t="str">
        <f>IFERROR(__xludf.DUMMYFUNCTION("""COMPUTED_VALUE"""),"#N/A")</f>
        <v>#N/A</v>
      </c>
      <c r="B1236" s="451" t="str">
        <f>IFERROR(__xludf.DUMMYFUNCTION("""COMPUTED_VALUE"""),"#N/A")</f>
        <v>#N/A</v>
      </c>
    </row>
    <row r="1237">
      <c r="A1237" t="str">
        <f>IFERROR(__xludf.DUMMYFUNCTION("""COMPUTED_VALUE"""),"#N/A")</f>
        <v>#N/A</v>
      </c>
      <c r="B1237" s="451" t="str">
        <f>IFERROR(__xludf.DUMMYFUNCTION("""COMPUTED_VALUE"""),"#N/A")</f>
        <v>#N/A</v>
      </c>
    </row>
    <row r="1238">
      <c r="A1238" t="str">
        <f>IFERROR(__xludf.DUMMYFUNCTION("""COMPUTED_VALUE"""),"#N/A")</f>
        <v>#N/A</v>
      </c>
      <c r="B1238" s="451" t="str">
        <f>IFERROR(__xludf.DUMMYFUNCTION("""COMPUTED_VALUE"""),"#N/A")</f>
        <v>#N/A</v>
      </c>
    </row>
    <row r="1239">
      <c r="A1239" t="str">
        <f>IFERROR(__xludf.DUMMYFUNCTION("""COMPUTED_VALUE"""),"#N/A")</f>
        <v>#N/A</v>
      </c>
      <c r="B1239" s="451" t="str">
        <f>IFERROR(__xludf.DUMMYFUNCTION("""COMPUTED_VALUE"""),"#N/A")</f>
        <v>#N/A</v>
      </c>
    </row>
    <row r="1240">
      <c r="A1240" t="str">
        <f>IFERROR(__xludf.DUMMYFUNCTION("""COMPUTED_VALUE"""),"#N/A")</f>
        <v>#N/A</v>
      </c>
      <c r="B1240" s="451" t="str">
        <f>IFERROR(__xludf.DUMMYFUNCTION("""COMPUTED_VALUE"""),"#N/A")</f>
        <v>#N/A</v>
      </c>
    </row>
    <row r="1241">
      <c r="A1241" t="str">
        <f>IFERROR(__xludf.DUMMYFUNCTION("""COMPUTED_VALUE"""),"#N/A")</f>
        <v>#N/A</v>
      </c>
      <c r="B1241" s="451" t="str">
        <f>IFERROR(__xludf.DUMMYFUNCTION("""COMPUTED_VALUE"""),"#N/A")</f>
        <v>#N/A</v>
      </c>
    </row>
    <row r="1242">
      <c r="A1242" t="str">
        <f>IFERROR(__xludf.DUMMYFUNCTION("""COMPUTED_VALUE"""),"#N/A")</f>
        <v>#N/A</v>
      </c>
      <c r="B1242" s="451" t="str">
        <f>IFERROR(__xludf.DUMMYFUNCTION("""COMPUTED_VALUE"""),"#N/A")</f>
        <v>#N/A</v>
      </c>
    </row>
    <row r="1243">
      <c r="A1243" t="str">
        <f>IFERROR(__xludf.DUMMYFUNCTION("""COMPUTED_VALUE"""),"#N/A")</f>
        <v>#N/A</v>
      </c>
      <c r="B1243" s="451" t="str">
        <f>IFERROR(__xludf.DUMMYFUNCTION("""COMPUTED_VALUE"""),"#N/A")</f>
        <v>#N/A</v>
      </c>
    </row>
    <row r="1244">
      <c r="A1244" t="str">
        <f>IFERROR(__xludf.DUMMYFUNCTION("""COMPUTED_VALUE"""),"#N/A")</f>
        <v>#N/A</v>
      </c>
      <c r="B1244" s="451" t="str">
        <f>IFERROR(__xludf.DUMMYFUNCTION("""COMPUTED_VALUE"""),"#N/A")</f>
        <v>#N/A</v>
      </c>
    </row>
    <row r="1245">
      <c r="A1245" t="str">
        <f>IFERROR(__xludf.DUMMYFUNCTION("""COMPUTED_VALUE"""),"#N/A")</f>
        <v>#N/A</v>
      </c>
      <c r="B1245" s="451" t="str">
        <f>IFERROR(__xludf.DUMMYFUNCTION("""COMPUTED_VALUE"""),"#N/A")</f>
        <v>#N/A</v>
      </c>
    </row>
    <row r="1246">
      <c r="A1246" t="str">
        <f>IFERROR(__xludf.DUMMYFUNCTION("""COMPUTED_VALUE"""),"#N/A")</f>
        <v>#N/A</v>
      </c>
      <c r="B1246" s="451" t="str">
        <f>IFERROR(__xludf.DUMMYFUNCTION("""COMPUTED_VALUE"""),"#N/A")</f>
        <v>#N/A</v>
      </c>
    </row>
    <row r="1247">
      <c r="A1247" t="str">
        <f>IFERROR(__xludf.DUMMYFUNCTION("""COMPUTED_VALUE"""),"#N/A")</f>
        <v>#N/A</v>
      </c>
      <c r="B1247" s="451" t="str">
        <f>IFERROR(__xludf.DUMMYFUNCTION("""COMPUTED_VALUE"""),"#N/A")</f>
        <v>#N/A</v>
      </c>
    </row>
    <row r="1248">
      <c r="A1248" t="str">
        <f>IFERROR(__xludf.DUMMYFUNCTION("""COMPUTED_VALUE"""),"#N/A")</f>
        <v>#N/A</v>
      </c>
      <c r="B1248" s="451" t="str">
        <f>IFERROR(__xludf.DUMMYFUNCTION("""COMPUTED_VALUE"""),"#N/A")</f>
        <v>#N/A</v>
      </c>
    </row>
    <row r="1249">
      <c r="A1249" t="str">
        <f>IFERROR(__xludf.DUMMYFUNCTION("""COMPUTED_VALUE"""),"#N/A")</f>
        <v>#N/A</v>
      </c>
      <c r="B1249" s="451" t="str">
        <f>IFERROR(__xludf.DUMMYFUNCTION("""COMPUTED_VALUE"""),"#N/A")</f>
        <v>#N/A</v>
      </c>
    </row>
    <row r="1250">
      <c r="A1250" t="str">
        <f>IFERROR(__xludf.DUMMYFUNCTION("""COMPUTED_VALUE"""),"#N/A")</f>
        <v>#N/A</v>
      </c>
      <c r="B1250" s="451" t="str">
        <f>IFERROR(__xludf.DUMMYFUNCTION("""COMPUTED_VALUE"""),"#N/A")</f>
        <v>#N/A</v>
      </c>
    </row>
    <row r="1251">
      <c r="A1251" t="str">
        <f>IFERROR(__xludf.DUMMYFUNCTION("""COMPUTED_VALUE"""),"#N/A")</f>
        <v>#N/A</v>
      </c>
      <c r="B1251" s="451" t="str">
        <f>IFERROR(__xludf.DUMMYFUNCTION("""COMPUTED_VALUE"""),"#N/A")</f>
        <v>#N/A</v>
      </c>
    </row>
    <row r="1252">
      <c r="A1252" t="str">
        <f>IFERROR(__xludf.DUMMYFUNCTION("""COMPUTED_VALUE"""),"#N/A")</f>
        <v>#N/A</v>
      </c>
      <c r="B1252" s="451" t="str">
        <f>IFERROR(__xludf.DUMMYFUNCTION("""COMPUTED_VALUE"""),"#N/A")</f>
        <v>#N/A</v>
      </c>
    </row>
    <row r="1253">
      <c r="A1253" t="str">
        <f>IFERROR(__xludf.DUMMYFUNCTION("""COMPUTED_VALUE"""),"#N/A")</f>
        <v>#N/A</v>
      </c>
      <c r="B1253" s="451" t="str">
        <f>IFERROR(__xludf.DUMMYFUNCTION("""COMPUTED_VALUE"""),"#N/A")</f>
        <v>#N/A</v>
      </c>
    </row>
    <row r="1254">
      <c r="A1254" t="str">
        <f>IFERROR(__xludf.DUMMYFUNCTION("""COMPUTED_VALUE"""),"#N/A")</f>
        <v>#N/A</v>
      </c>
      <c r="B1254" s="451" t="str">
        <f>IFERROR(__xludf.DUMMYFUNCTION("""COMPUTED_VALUE"""),"#N/A")</f>
        <v>#N/A</v>
      </c>
    </row>
    <row r="1255">
      <c r="A1255" t="str">
        <f>IFERROR(__xludf.DUMMYFUNCTION("""COMPUTED_VALUE"""),"#N/A")</f>
        <v>#N/A</v>
      </c>
      <c r="B1255" s="451" t="str">
        <f>IFERROR(__xludf.DUMMYFUNCTION("""COMPUTED_VALUE"""),"#N/A")</f>
        <v>#N/A</v>
      </c>
    </row>
    <row r="1256">
      <c r="A1256" t="str">
        <f>IFERROR(__xludf.DUMMYFUNCTION("""COMPUTED_VALUE"""),"#N/A")</f>
        <v>#N/A</v>
      </c>
      <c r="B1256" s="451" t="str">
        <f>IFERROR(__xludf.DUMMYFUNCTION("""COMPUTED_VALUE"""),"#N/A")</f>
        <v>#N/A</v>
      </c>
    </row>
    <row r="1257">
      <c r="A1257" t="str">
        <f>IFERROR(__xludf.DUMMYFUNCTION("""COMPUTED_VALUE"""),"#N/A")</f>
        <v>#N/A</v>
      </c>
      <c r="B1257" s="451" t="str">
        <f>IFERROR(__xludf.DUMMYFUNCTION("""COMPUTED_VALUE"""),"#N/A")</f>
        <v>#N/A</v>
      </c>
    </row>
    <row r="1258">
      <c r="A1258" t="str">
        <f>IFERROR(__xludf.DUMMYFUNCTION("""COMPUTED_VALUE"""),"#N/A")</f>
        <v>#N/A</v>
      </c>
      <c r="B1258" s="451" t="str">
        <f>IFERROR(__xludf.DUMMYFUNCTION("""COMPUTED_VALUE"""),"#N/A")</f>
        <v>#N/A</v>
      </c>
    </row>
    <row r="1259">
      <c r="A1259" t="str">
        <f>IFERROR(__xludf.DUMMYFUNCTION("""COMPUTED_VALUE"""),"#N/A")</f>
        <v>#N/A</v>
      </c>
      <c r="B1259" s="451" t="str">
        <f>IFERROR(__xludf.DUMMYFUNCTION("""COMPUTED_VALUE"""),"#N/A")</f>
        <v>#N/A</v>
      </c>
    </row>
    <row r="1260">
      <c r="A1260" t="str">
        <f>IFERROR(__xludf.DUMMYFUNCTION("""COMPUTED_VALUE"""),"#N/A")</f>
        <v>#N/A</v>
      </c>
      <c r="B1260" s="451" t="str">
        <f>IFERROR(__xludf.DUMMYFUNCTION("""COMPUTED_VALUE"""),"#N/A")</f>
        <v>#N/A</v>
      </c>
    </row>
    <row r="1261">
      <c r="A1261" t="str">
        <f>IFERROR(__xludf.DUMMYFUNCTION("""COMPUTED_VALUE"""),"#N/A")</f>
        <v>#N/A</v>
      </c>
      <c r="B1261" s="451" t="str">
        <f>IFERROR(__xludf.DUMMYFUNCTION("""COMPUTED_VALUE"""),"#N/A")</f>
        <v>#N/A</v>
      </c>
    </row>
    <row r="1262">
      <c r="A1262" t="str">
        <f>IFERROR(__xludf.DUMMYFUNCTION("""COMPUTED_VALUE"""),"#N/A")</f>
        <v>#N/A</v>
      </c>
      <c r="B1262" s="451" t="str">
        <f>IFERROR(__xludf.DUMMYFUNCTION("""COMPUTED_VALUE"""),"#N/A")</f>
        <v>#N/A</v>
      </c>
    </row>
    <row r="1263">
      <c r="A1263" t="str">
        <f>IFERROR(__xludf.DUMMYFUNCTION("""COMPUTED_VALUE"""),"#N/A")</f>
        <v>#N/A</v>
      </c>
      <c r="B1263" s="451" t="str">
        <f>IFERROR(__xludf.DUMMYFUNCTION("""COMPUTED_VALUE"""),"#N/A")</f>
        <v>#N/A</v>
      </c>
    </row>
    <row r="1264">
      <c r="A1264" t="str">
        <f>IFERROR(__xludf.DUMMYFUNCTION("""COMPUTED_VALUE"""),"#N/A")</f>
        <v>#N/A</v>
      </c>
      <c r="B1264" s="451" t="str">
        <f>IFERROR(__xludf.DUMMYFUNCTION("""COMPUTED_VALUE"""),"#N/A")</f>
        <v>#N/A</v>
      </c>
    </row>
    <row r="1265">
      <c r="A1265" t="str">
        <f>IFERROR(__xludf.DUMMYFUNCTION("""COMPUTED_VALUE"""),"#N/A")</f>
        <v>#N/A</v>
      </c>
      <c r="B1265" s="451" t="str">
        <f>IFERROR(__xludf.DUMMYFUNCTION("""COMPUTED_VALUE"""),"#N/A")</f>
        <v>#N/A</v>
      </c>
    </row>
    <row r="1266">
      <c r="A1266" t="str">
        <f>IFERROR(__xludf.DUMMYFUNCTION("""COMPUTED_VALUE"""),"#N/A")</f>
        <v>#N/A</v>
      </c>
      <c r="B1266" s="451" t="str">
        <f>IFERROR(__xludf.DUMMYFUNCTION("""COMPUTED_VALUE"""),"#N/A")</f>
        <v>#N/A</v>
      </c>
    </row>
    <row r="1267">
      <c r="A1267" t="str">
        <f>IFERROR(__xludf.DUMMYFUNCTION("""COMPUTED_VALUE"""),"#N/A")</f>
        <v>#N/A</v>
      </c>
      <c r="B1267" s="451" t="str">
        <f>IFERROR(__xludf.DUMMYFUNCTION("""COMPUTED_VALUE"""),"#N/A")</f>
        <v>#N/A</v>
      </c>
    </row>
    <row r="1268">
      <c r="A1268" t="str">
        <f>IFERROR(__xludf.DUMMYFUNCTION("""COMPUTED_VALUE"""),"#N/A")</f>
        <v>#N/A</v>
      </c>
      <c r="B1268" s="451" t="str">
        <f>IFERROR(__xludf.DUMMYFUNCTION("""COMPUTED_VALUE"""),"#N/A")</f>
        <v>#N/A</v>
      </c>
    </row>
    <row r="1269">
      <c r="A1269" t="str">
        <f>IFERROR(__xludf.DUMMYFUNCTION("""COMPUTED_VALUE"""),"#N/A")</f>
        <v>#N/A</v>
      </c>
      <c r="B1269" s="451" t="str">
        <f>IFERROR(__xludf.DUMMYFUNCTION("""COMPUTED_VALUE"""),"#N/A")</f>
        <v>#N/A</v>
      </c>
    </row>
    <row r="1270">
      <c r="A1270" t="str">
        <f>IFERROR(__xludf.DUMMYFUNCTION("""COMPUTED_VALUE"""),"#N/A")</f>
        <v>#N/A</v>
      </c>
      <c r="B1270" s="451" t="str">
        <f>IFERROR(__xludf.DUMMYFUNCTION("""COMPUTED_VALUE"""),"#N/A")</f>
        <v>#N/A</v>
      </c>
    </row>
    <row r="1271">
      <c r="A1271" t="str">
        <f>IFERROR(__xludf.DUMMYFUNCTION("""COMPUTED_VALUE"""),"#N/A")</f>
        <v>#N/A</v>
      </c>
      <c r="B1271" s="451" t="str">
        <f>IFERROR(__xludf.DUMMYFUNCTION("""COMPUTED_VALUE"""),"#N/A")</f>
        <v>#N/A</v>
      </c>
    </row>
    <row r="1272">
      <c r="A1272" t="str">
        <f>IFERROR(__xludf.DUMMYFUNCTION("""COMPUTED_VALUE"""),"#N/A")</f>
        <v>#N/A</v>
      </c>
      <c r="B1272" s="451" t="str">
        <f>IFERROR(__xludf.DUMMYFUNCTION("""COMPUTED_VALUE"""),"#N/A")</f>
        <v>#N/A</v>
      </c>
    </row>
    <row r="1273">
      <c r="A1273" t="str">
        <f>IFERROR(__xludf.DUMMYFUNCTION("""COMPUTED_VALUE"""),"#N/A")</f>
        <v>#N/A</v>
      </c>
      <c r="B1273" s="451" t="str">
        <f>IFERROR(__xludf.DUMMYFUNCTION("""COMPUTED_VALUE"""),"#N/A")</f>
        <v>#N/A</v>
      </c>
    </row>
    <row r="1274">
      <c r="A1274" t="str">
        <f>IFERROR(__xludf.DUMMYFUNCTION("""COMPUTED_VALUE"""),"#N/A")</f>
        <v>#N/A</v>
      </c>
      <c r="B1274" s="451" t="str">
        <f>IFERROR(__xludf.DUMMYFUNCTION("""COMPUTED_VALUE"""),"#N/A")</f>
        <v>#N/A</v>
      </c>
    </row>
    <row r="1275">
      <c r="A1275" t="str">
        <f>IFERROR(__xludf.DUMMYFUNCTION("""COMPUTED_VALUE"""),"#N/A")</f>
        <v>#N/A</v>
      </c>
      <c r="B1275" s="451" t="str">
        <f>IFERROR(__xludf.DUMMYFUNCTION("""COMPUTED_VALUE"""),"#N/A")</f>
        <v>#N/A</v>
      </c>
    </row>
    <row r="1276">
      <c r="A1276" t="str">
        <f>IFERROR(__xludf.DUMMYFUNCTION("""COMPUTED_VALUE"""),"#N/A")</f>
        <v>#N/A</v>
      </c>
      <c r="B1276" s="451" t="str">
        <f>IFERROR(__xludf.DUMMYFUNCTION("""COMPUTED_VALUE"""),"#N/A")</f>
        <v>#N/A</v>
      </c>
    </row>
    <row r="1277">
      <c r="A1277" t="str">
        <f>IFERROR(__xludf.DUMMYFUNCTION("""COMPUTED_VALUE"""),"#N/A")</f>
        <v>#N/A</v>
      </c>
      <c r="B1277" s="451" t="str">
        <f>IFERROR(__xludf.DUMMYFUNCTION("""COMPUTED_VALUE"""),"#N/A")</f>
        <v>#N/A</v>
      </c>
    </row>
    <row r="1278">
      <c r="A1278" t="str">
        <f>IFERROR(__xludf.DUMMYFUNCTION("""COMPUTED_VALUE"""),"#N/A")</f>
        <v>#N/A</v>
      </c>
      <c r="B1278" s="451" t="str">
        <f>IFERROR(__xludf.DUMMYFUNCTION("""COMPUTED_VALUE"""),"#N/A")</f>
        <v>#N/A</v>
      </c>
    </row>
    <row r="1279">
      <c r="A1279" t="str">
        <f>IFERROR(__xludf.DUMMYFUNCTION("""COMPUTED_VALUE"""),"#N/A")</f>
        <v>#N/A</v>
      </c>
      <c r="B1279" s="451" t="str">
        <f>IFERROR(__xludf.DUMMYFUNCTION("""COMPUTED_VALUE"""),"#N/A")</f>
        <v>#N/A</v>
      </c>
    </row>
    <row r="1280">
      <c r="A1280" t="str">
        <f>IFERROR(__xludf.DUMMYFUNCTION("""COMPUTED_VALUE"""),"#N/A")</f>
        <v>#N/A</v>
      </c>
      <c r="B1280" s="451" t="str">
        <f>IFERROR(__xludf.DUMMYFUNCTION("""COMPUTED_VALUE"""),"#N/A")</f>
        <v>#N/A</v>
      </c>
    </row>
    <row r="1281">
      <c r="A1281" t="str">
        <f>IFERROR(__xludf.DUMMYFUNCTION("""COMPUTED_VALUE"""),"#N/A")</f>
        <v>#N/A</v>
      </c>
      <c r="B1281" s="451" t="str">
        <f>IFERROR(__xludf.DUMMYFUNCTION("""COMPUTED_VALUE"""),"#N/A")</f>
        <v>#N/A</v>
      </c>
    </row>
    <row r="1282">
      <c r="A1282" t="str">
        <f>IFERROR(__xludf.DUMMYFUNCTION("""COMPUTED_VALUE"""),"#N/A")</f>
        <v>#N/A</v>
      </c>
      <c r="B1282" s="451" t="str">
        <f>IFERROR(__xludf.DUMMYFUNCTION("""COMPUTED_VALUE"""),"#N/A")</f>
        <v>#N/A</v>
      </c>
    </row>
    <row r="1283">
      <c r="A1283" t="str">
        <f>IFERROR(__xludf.DUMMYFUNCTION("""COMPUTED_VALUE"""),"#N/A")</f>
        <v>#N/A</v>
      </c>
      <c r="B1283" s="451" t="str">
        <f>IFERROR(__xludf.DUMMYFUNCTION("""COMPUTED_VALUE"""),"#N/A")</f>
        <v>#N/A</v>
      </c>
    </row>
    <row r="1284">
      <c r="A1284" t="str">
        <f>IFERROR(__xludf.DUMMYFUNCTION("""COMPUTED_VALUE"""),"#N/A")</f>
        <v>#N/A</v>
      </c>
      <c r="B1284" s="451" t="str">
        <f>IFERROR(__xludf.DUMMYFUNCTION("""COMPUTED_VALUE"""),"#N/A")</f>
        <v>#N/A</v>
      </c>
    </row>
    <row r="1285">
      <c r="A1285" t="str">
        <f>IFERROR(__xludf.DUMMYFUNCTION("""COMPUTED_VALUE"""),"#N/A")</f>
        <v>#N/A</v>
      </c>
      <c r="B1285" s="451" t="str">
        <f>IFERROR(__xludf.DUMMYFUNCTION("""COMPUTED_VALUE"""),"#N/A")</f>
        <v>#N/A</v>
      </c>
    </row>
    <row r="1286">
      <c r="A1286" t="str">
        <f>IFERROR(__xludf.DUMMYFUNCTION("""COMPUTED_VALUE"""),"#N/A")</f>
        <v>#N/A</v>
      </c>
      <c r="B1286" s="451" t="str">
        <f>IFERROR(__xludf.DUMMYFUNCTION("""COMPUTED_VALUE"""),"#N/A")</f>
        <v>#N/A</v>
      </c>
    </row>
    <row r="1287">
      <c r="A1287" t="str">
        <f>IFERROR(__xludf.DUMMYFUNCTION("""COMPUTED_VALUE"""),"#N/A")</f>
        <v>#N/A</v>
      </c>
      <c r="B1287" s="451" t="str">
        <f>IFERROR(__xludf.DUMMYFUNCTION("""COMPUTED_VALUE"""),"#N/A")</f>
        <v>#N/A</v>
      </c>
    </row>
    <row r="1288">
      <c r="A1288" t="str">
        <f>IFERROR(__xludf.DUMMYFUNCTION("""COMPUTED_VALUE"""),"#N/A")</f>
        <v>#N/A</v>
      </c>
      <c r="B1288" s="451" t="str">
        <f>IFERROR(__xludf.DUMMYFUNCTION("""COMPUTED_VALUE"""),"#N/A")</f>
        <v>#N/A</v>
      </c>
    </row>
    <row r="1289">
      <c r="A1289" t="str">
        <f>IFERROR(__xludf.DUMMYFUNCTION("""COMPUTED_VALUE"""),"#N/A")</f>
        <v>#N/A</v>
      </c>
      <c r="B1289" s="451" t="str">
        <f>IFERROR(__xludf.DUMMYFUNCTION("""COMPUTED_VALUE"""),"#N/A")</f>
        <v>#N/A</v>
      </c>
    </row>
    <row r="1290">
      <c r="A1290" t="str">
        <f>IFERROR(__xludf.DUMMYFUNCTION("""COMPUTED_VALUE"""),"#N/A")</f>
        <v>#N/A</v>
      </c>
      <c r="B1290" s="451" t="str">
        <f>IFERROR(__xludf.DUMMYFUNCTION("""COMPUTED_VALUE"""),"#N/A")</f>
        <v>#N/A</v>
      </c>
    </row>
    <row r="1291">
      <c r="A1291" t="str">
        <f>IFERROR(__xludf.DUMMYFUNCTION("""COMPUTED_VALUE"""),"#N/A")</f>
        <v>#N/A</v>
      </c>
      <c r="B1291" s="451" t="str">
        <f>IFERROR(__xludf.DUMMYFUNCTION("""COMPUTED_VALUE"""),"#N/A")</f>
        <v>#N/A</v>
      </c>
    </row>
    <row r="1292">
      <c r="A1292" t="str">
        <f>IFERROR(__xludf.DUMMYFUNCTION("""COMPUTED_VALUE"""),"#N/A")</f>
        <v>#N/A</v>
      </c>
      <c r="B1292" s="451" t="str">
        <f>IFERROR(__xludf.DUMMYFUNCTION("""COMPUTED_VALUE"""),"#N/A")</f>
        <v>#N/A</v>
      </c>
    </row>
    <row r="1293">
      <c r="A1293" t="str">
        <f>IFERROR(__xludf.DUMMYFUNCTION("""COMPUTED_VALUE"""),"#N/A")</f>
        <v>#N/A</v>
      </c>
      <c r="B1293" s="451" t="str">
        <f>IFERROR(__xludf.DUMMYFUNCTION("""COMPUTED_VALUE"""),"#N/A")</f>
        <v>#N/A</v>
      </c>
    </row>
    <row r="1294">
      <c r="A1294" t="str">
        <f>IFERROR(__xludf.DUMMYFUNCTION("""COMPUTED_VALUE"""),"#N/A")</f>
        <v>#N/A</v>
      </c>
      <c r="B1294" s="451" t="str">
        <f>IFERROR(__xludf.DUMMYFUNCTION("""COMPUTED_VALUE"""),"#N/A")</f>
        <v>#N/A</v>
      </c>
    </row>
    <row r="1295">
      <c r="A1295" t="str">
        <f>IFERROR(__xludf.DUMMYFUNCTION("""COMPUTED_VALUE"""),"#N/A")</f>
        <v>#N/A</v>
      </c>
      <c r="B1295" s="451" t="str">
        <f>IFERROR(__xludf.DUMMYFUNCTION("""COMPUTED_VALUE"""),"#N/A")</f>
        <v>#N/A</v>
      </c>
    </row>
    <row r="1296">
      <c r="A1296" t="str">
        <f>IFERROR(__xludf.DUMMYFUNCTION("""COMPUTED_VALUE"""),"#N/A")</f>
        <v>#N/A</v>
      </c>
      <c r="B1296" s="451" t="str">
        <f>IFERROR(__xludf.DUMMYFUNCTION("""COMPUTED_VALUE"""),"#N/A")</f>
        <v>#N/A</v>
      </c>
    </row>
    <row r="1297">
      <c r="A1297" t="str">
        <f>IFERROR(__xludf.DUMMYFUNCTION("""COMPUTED_VALUE"""),"#N/A")</f>
        <v>#N/A</v>
      </c>
      <c r="B1297" s="451" t="str">
        <f>IFERROR(__xludf.DUMMYFUNCTION("""COMPUTED_VALUE"""),"#N/A")</f>
        <v>#N/A</v>
      </c>
    </row>
    <row r="1298">
      <c r="A1298" t="str">
        <f>IFERROR(__xludf.DUMMYFUNCTION("""COMPUTED_VALUE"""),"#N/A")</f>
        <v>#N/A</v>
      </c>
      <c r="B1298" s="451" t="str">
        <f>IFERROR(__xludf.DUMMYFUNCTION("""COMPUTED_VALUE"""),"#N/A")</f>
        <v>#N/A</v>
      </c>
    </row>
    <row r="1299">
      <c r="A1299" t="str">
        <f>IFERROR(__xludf.DUMMYFUNCTION("""COMPUTED_VALUE"""),"#N/A")</f>
        <v>#N/A</v>
      </c>
      <c r="B1299" s="451" t="str">
        <f>IFERROR(__xludf.DUMMYFUNCTION("""COMPUTED_VALUE"""),"#N/A")</f>
        <v>#N/A</v>
      </c>
    </row>
    <row r="1300">
      <c r="A1300" t="str">
        <f>IFERROR(__xludf.DUMMYFUNCTION("""COMPUTED_VALUE"""),"#N/A")</f>
        <v>#N/A</v>
      </c>
      <c r="B1300" s="451" t="str">
        <f>IFERROR(__xludf.DUMMYFUNCTION("""COMPUTED_VALUE"""),"#N/A")</f>
        <v>#N/A</v>
      </c>
    </row>
    <row r="1301">
      <c r="A1301" t="str">
        <f>IFERROR(__xludf.DUMMYFUNCTION("""COMPUTED_VALUE"""),"#N/A")</f>
        <v>#N/A</v>
      </c>
      <c r="B1301" s="451" t="str">
        <f>IFERROR(__xludf.DUMMYFUNCTION("""COMPUTED_VALUE"""),"#N/A")</f>
        <v>#N/A</v>
      </c>
    </row>
    <row r="1302">
      <c r="A1302" t="str">
        <f>IFERROR(__xludf.DUMMYFUNCTION("""COMPUTED_VALUE"""),"#N/A")</f>
        <v>#N/A</v>
      </c>
      <c r="B1302" s="451" t="str">
        <f>IFERROR(__xludf.DUMMYFUNCTION("""COMPUTED_VALUE"""),"#N/A")</f>
        <v>#N/A</v>
      </c>
    </row>
    <row r="1303">
      <c r="A1303" t="str">
        <f>IFERROR(__xludf.DUMMYFUNCTION("""COMPUTED_VALUE"""),"#N/A")</f>
        <v>#N/A</v>
      </c>
      <c r="B1303" s="451" t="str">
        <f>IFERROR(__xludf.DUMMYFUNCTION("""COMPUTED_VALUE"""),"#N/A")</f>
        <v>#N/A</v>
      </c>
    </row>
    <row r="1304">
      <c r="A1304" t="str">
        <f>IFERROR(__xludf.DUMMYFUNCTION("""COMPUTED_VALUE"""),"#N/A")</f>
        <v>#N/A</v>
      </c>
      <c r="B1304" s="451" t="str">
        <f>IFERROR(__xludf.DUMMYFUNCTION("""COMPUTED_VALUE"""),"#N/A")</f>
        <v>#N/A</v>
      </c>
    </row>
    <row r="1305">
      <c r="A1305" t="str">
        <f>IFERROR(__xludf.DUMMYFUNCTION("""COMPUTED_VALUE"""),"#N/A")</f>
        <v>#N/A</v>
      </c>
      <c r="B1305" s="451" t="str">
        <f>IFERROR(__xludf.DUMMYFUNCTION("""COMPUTED_VALUE"""),"#N/A")</f>
        <v>#N/A</v>
      </c>
    </row>
    <row r="1306">
      <c r="A1306" t="str">
        <f>IFERROR(__xludf.DUMMYFUNCTION("""COMPUTED_VALUE"""),"#N/A")</f>
        <v>#N/A</v>
      </c>
      <c r="B1306" s="451" t="str">
        <f>IFERROR(__xludf.DUMMYFUNCTION("""COMPUTED_VALUE"""),"#N/A")</f>
        <v>#N/A</v>
      </c>
    </row>
    <row r="1307">
      <c r="A1307" t="str">
        <f>IFERROR(__xludf.DUMMYFUNCTION("""COMPUTED_VALUE"""),"#N/A")</f>
        <v>#N/A</v>
      </c>
      <c r="B1307" s="451" t="str">
        <f>IFERROR(__xludf.DUMMYFUNCTION("""COMPUTED_VALUE"""),"#N/A")</f>
        <v>#N/A</v>
      </c>
    </row>
    <row r="1308">
      <c r="A1308" t="str">
        <f>IFERROR(__xludf.DUMMYFUNCTION("""COMPUTED_VALUE"""),"#N/A")</f>
        <v>#N/A</v>
      </c>
      <c r="B1308" s="451" t="str">
        <f>IFERROR(__xludf.DUMMYFUNCTION("""COMPUTED_VALUE"""),"#N/A")</f>
        <v>#N/A</v>
      </c>
    </row>
    <row r="1309">
      <c r="A1309" t="str">
        <f>IFERROR(__xludf.DUMMYFUNCTION("""COMPUTED_VALUE"""),"#N/A")</f>
        <v>#N/A</v>
      </c>
      <c r="B1309" s="451" t="str">
        <f>IFERROR(__xludf.DUMMYFUNCTION("""COMPUTED_VALUE"""),"#N/A")</f>
        <v>#N/A</v>
      </c>
    </row>
    <row r="1310">
      <c r="A1310" t="str">
        <f>IFERROR(__xludf.DUMMYFUNCTION("""COMPUTED_VALUE"""),"#N/A")</f>
        <v>#N/A</v>
      </c>
      <c r="B1310" s="451" t="str">
        <f>IFERROR(__xludf.DUMMYFUNCTION("""COMPUTED_VALUE"""),"#N/A")</f>
        <v>#N/A</v>
      </c>
    </row>
    <row r="1311">
      <c r="A1311" t="str">
        <f>IFERROR(__xludf.DUMMYFUNCTION("""COMPUTED_VALUE"""),"#N/A")</f>
        <v>#N/A</v>
      </c>
      <c r="B1311" s="451" t="str">
        <f>IFERROR(__xludf.DUMMYFUNCTION("""COMPUTED_VALUE"""),"#N/A")</f>
        <v>#N/A</v>
      </c>
    </row>
    <row r="1312">
      <c r="A1312" t="str">
        <f>IFERROR(__xludf.DUMMYFUNCTION("""COMPUTED_VALUE"""),"#N/A")</f>
        <v>#N/A</v>
      </c>
      <c r="B1312" s="451" t="str">
        <f>IFERROR(__xludf.DUMMYFUNCTION("""COMPUTED_VALUE"""),"#N/A")</f>
        <v>#N/A</v>
      </c>
    </row>
    <row r="1313">
      <c r="A1313" t="str">
        <f>IFERROR(__xludf.DUMMYFUNCTION("""COMPUTED_VALUE"""),"#N/A")</f>
        <v>#N/A</v>
      </c>
      <c r="B1313" s="451" t="str">
        <f>IFERROR(__xludf.DUMMYFUNCTION("""COMPUTED_VALUE"""),"#N/A")</f>
        <v>#N/A</v>
      </c>
    </row>
    <row r="1314">
      <c r="A1314" t="str">
        <f>IFERROR(__xludf.DUMMYFUNCTION("""COMPUTED_VALUE"""),"#N/A")</f>
        <v>#N/A</v>
      </c>
      <c r="B1314" s="451" t="str">
        <f>IFERROR(__xludf.DUMMYFUNCTION("""COMPUTED_VALUE"""),"#N/A")</f>
        <v>#N/A</v>
      </c>
    </row>
    <row r="1315">
      <c r="A1315" t="str">
        <f>IFERROR(__xludf.DUMMYFUNCTION("""COMPUTED_VALUE"""),"#N/A")</f>
        <v>#N/A</v>
      </c>
      <c r="B1315" s="451" t="str">
        <f>IFERROR(__xludf.DUMMYFUNCTION("""COMPUTED_VALUE"""),"#N/A")</f>
        <v>#N/A</v>
      </c>
    </row>
    <row r="1316">
      <c r="A1316" t="str">
        <f>IFERROR(__xludf.DUMMYFUNCTION("""COMPUTED_VALUE"""),"#N/A")</f>
        <v>#N/A</v>
      </c>
      <c r="B1316" s="451" t="str">
        <f>IFERROR(__xludf.DUMMYFUNCTION("""COMPUTED_VALUE"""),"#N/A")</f>
        <v>#N/A</v>
      </c>
    </row>
    <row r="1317">
      <c r="A1317" t="str">
        <f>IFERROR(__xludf.DUMMYFUNCTION("""COMPUTED_VALUE"""),"#N/A")</f>
        <v>#N/A</v>
      </c>
      <c r="B1317" s="451" t="str">
        <f>IFERROR(__xludf.DUMMYFUNCTION("""COMPUTED_VALUE"""),"#N/A")</f>
        <v>#N/A</v>
      </c>
    </row>
    <row r="1318">
      <c r="A1318" t="str">
        <f>IFERROR(__xludf.DUMMYFUNCTION("""COMPUTED_VALUE"""),"#N/A")</f>
        <v>#N/A</v>
      </c>
      <c r="B1318" s="451" t="str">
        <f>IFERROR(__xludf.DUMMYFUNCTION("""COMPUTED_VALUE"""),"#N/A")</f>
        <v>#N/A</v>
      </c>
    </row>
    <row r="1319">
      <c r="A1319" t="str">
        <f>IFERROR(__xludf.DUMMYFUNCTION("""COMPUTED_VALUE"""),"#N/A")</f>
        <v>#N/A</v>
      </c>
      <c r="B1319" s="451" t="str">
        <f>IFERROR(__xludf.DUMMYFUNCTION("""COMPUTED_VALUE"""),"#N/A")</f>
        <v>#N/A</v>
      </c>
    </row>
    <row r="1320">
      <c r="A1320" t="str">
        <f>IFERROR(__xludf.DUMMYFUNCTION("""COMPUTED_VALUE"""),"#N/A")</f>
        <v>#N/A</v>
      </c>
      <c r="B1320" s="451" t="str">
        <f>IFERROR(__xludf.DUMMYFUNCTION("""COMPUTED_VALUE"""),"#N/A")</f>
        <v>#N/A</v>
      </c>
    </row>
    <row r="1321">
      <c r="A1321" t="str">
        <f>IFERROR(__xludf.DUMMYFUNCTION("""COMPUTED_VALUE"""),"#N/A")</f>
        <v>#N/A</v>
      </c>
      <c r="B1321" s="451" t="str">
        <f>IFERROR(__xludf.DUMMYFUNCTION("""COMPUTED_VALUE"""),"#N/A")</f>
        <v>#N/A</v>
      </c>
    </row>
    <row r="1322">
      <c r="A1322" t="str">
        <f>IFERROR(__xludf.DUMMYFUNCTION("""COMPUTED_VALUE"""),"#N/A")</f>
        <v>#N/A</v>
      </c>
      <c r="B1322" s="451" t="str">
        <f>IFERROR(__xludf.DUMMYFUNCTION("""COMPUTED_VALUE"""),"#N/A")</f>
        <v>#N/A</v>
      </c>
    </row>
    <row r="1323">
      <c r="A1323" t="str">
        <f>IFERROR(__xludf.DUMMYFUNCTION("""COMPUTED_VALUE"""),"#N/A")</f>
        <v>#N/A</v>
      </c>
      <c r="B1323" s="451" t="str">
        <f>IFERROR(__xludf.DUMMYFUNCTION("""COMPUTED_VALUE"""),"#N/A")</f>
        <v>#N/A</v>
      </c>
    </row>
    <row r="1324">
      <c r="A1324" t="str">
        <f>IFERROR(__xludf.DUMMYFUNCTION("""COMPUTED_VALUE"""),"#N/A")</f>
        <v>#N/A</v>
      </c>
      <c r="B1324" s="451" t="str">
        <f>IFERROR(__xludf.DUMMYFUNCTION("""COMPUTED_VALUE"""),"#N/A")</f>
        <v>#N/A</v>
      </c>
    </row>
    <row r="1325">
      <c r="A1325" t="str">
        <f>IFERROR(__xludf.DUMMYFUNCTION("""COMPUTED_VALUE"""),"#N/A")</f>
        <v>#N/A</v>
      </c>
      <c r="B1325" s="451" t="str">
        <f>IFERROR(__xludf.DUMMYFUNCTION("""COMPUTED_VALUE"""),"#N/A")</f>
        <v>#N/A</v>
      </c>
    </row>
    <row r="1326">
      <c r="A1326" t="str">
        <f>IFERROR(__xludf.DUMMYFUNCTION("""COMPUTED_VALUE"""),"#N/A")</f>
        <v>#N/A</v>
      </c>
      <c r="B1326" s="451" t="str">
        <f>IFERROR(__xludf.DUMMYFUNCTION("""COMPUTED_VALUE"""),"#N/A")</f>
        <v>#N/A</v>
      </c>
    </row>
    <row r="1327">
      <c r="A1327" t="str">
        <f>IFERROR(__xludf.DUMMYFUNCTION("""COMPUTED_VALUE"""),"#N/A")</f>
        <v>#N/A</v>
      </c>
      <c r="B1327" s="451" t="str">
        <f>IFERROR(__xludf.DUMMYFUNCTION("""COMPUTED_VALUE"""),"#N/A")</f>
        <v>#N/A</v>
      </c>
    </row>
    <row r="1328">
      <c r="A1328" t="str">
        <f>IFERROR(__xludf.DUMMYFUNCTION("""COMPUTED_VALUE"""),"#N/A")</f>
        <v>#N/A</v>
      </c>
      <c r="B1328" s="451" t="str">
        <f>IFERROR(__xludf.DUMMYFUNCTION("""COMPUTED_VALUE"""),"#N/A")</f>
        <v>#N/A</v>
      </c>
    </row>
    <row r="1329">
      <c r="A1329" t="str">
        <f>IFERROR(__xludf.DUMMYFUNCTION("""COMPUTED_VALUE"""),"#N/A")</f>
        <v>#N/A</v>
      </c>
      <c r="B1329" s="451" t="str">
        <f>IFERROR(__xludf.DUMMYFUNCTION("""COMPUTED_VALUE"""),"#N/A")</f>
        <v>#N/A</v>
      </c>
    </row>
    <row r="1330">
      <c r="A1330" t="str">
        <f>IFERROR(__xludf.DUMMYFUNCTION("""COMPUTED_VALUE"""),"#N/A")</f>
        <v>#N/A</v>
      </c>
      <c r="B1330" s="451" t="str">
        <f>IFERROR(__xludf.DUMMYFUNCTION("""COMPUTED_VALUE"""),"#N/A")</f>
        <v>#N/A</v>
      </c>
    </row>
    <row r="1331">
      <c r="A1331" t="str">
        <f>IFERROR(__xludf.DUMMYFUNCTION("""COMPUTED_VALUE"""),"#N/A")</f>
        <v>#N/A</v>
      </c>
      <c r="B1331" s="451" t="str">
        <f>IFERROR(__xludf.DUMMYFUNCTION("""COMPUTED_VALUE"""),"#N/A")</f>
        <v>#N/A</v>
      </c>
    </row>
    <row r="1332">
      <c r="A1332" t="str">
        <f>IFERROR(__xludf.DUMMYFUNCTION("""COMPUTED_VALUE"""),"#N/A")</f>
        <v>#N/A</v>
      </c>
      <c r="B1332" s="451" t="str">
        <f>IFERROR(__xludf.DUMMYFUNCTION("""COMPUTED_VALUE"""),"#N/A")</f>
        <v>#N/A</v>
      </c>
    </row>
    <row r="1333">
      <c r="A1333" t="str">
        <f>IFERROR(__xludf.DUMMYFUNCTION("""COMPUTED_VALUE"""),"#N/A")</f>
        <v>#N/A</v>
      </c>
      <c r="B1333" s="451" t="str">
        <f>IFERROR(__xludf.DUMMYFUNCTION("""COMPUTED_VALUE"""),"#N/A")</f>
        <v>#N/A</v>
      </c>
    </row>
    <row r="1334">
      <c r="A1334" t="str">
        <f>IFERROR(__xludf.DUMMYFUNCTION("""COMPUTED_VALUE"""),"#N/A")</f>
        <v>#N/A</v>
      </c>
      <c r="B1334" s="451" t="str">
        <f>IFERROR(__xludf.DUMMYFUNCTION("""COMPUTED_VALUE"""),"#N/A")</f>
        <v>#N/A</v>
      </c>
    </row>
    <row r="1335">
      <c r="A1335" t="str">
        <f>IFERROR(__xludf.DUMMYFUNCTION("""COMPUTED_VALUE"""),"#N/A")</f>
        <v>#N/A</v>
      </c>
      <c r="B1335" s="451" t="str">
        <f>IFERROR(__xludf.DUMMYFUNCTION("""COMPUTED_VALUE"""),"#N/A")</f>
        <v>#N/A</v>
      </c>
    </row>
    <row r="1336">
      <c r="A1336" t="str">
        <f>IFERROR(__xludf.DUMMYFUNCTION("""COMPUTED_VALUE"""),"#N/A")</f>
        <v>#N/A</v>
      </c>
      <c r="B1336" s="451" t="str">
        <f>IFERROR(__xludf.DUMMYFUNCTION("""COMPUTED_VALUE"""),"#N/A")</f>
        <v>#N/A</v>
      </c>
    </row>
    <row r="1337">
      <c r="A1337" t="str">
        <f>IFERROR(__xludf.DUMMYFUNCTION("""COMPUTED_VALUE"""),"#N/A")</f>
        <v>#N/A</v>
      </c>
      <c r="B1337" s="451" t="str">
        <f>IFERROR(__xludf.DUMMYFUNCTION("""COMPUTED_VALUE"""),"#N/A")</f>
        <v>#N/A</v>
      </c>
    </row>
    <row r="1338">
      <c r="A1338" t="str">
        <f>IFERROR(__xludf.DUMMYFUNCTION("""COMPUTED_VALUE"""),"#N/A")</f>
        <v>#N/A</v>
      </c>
      <c r="B1338" s="451" t="str">
        <f>IFERROR(__xludf.DUMMYFUNCTION("""COMPUTED_VALUE"""),"#N/A")</f>
        <v>#N/A</v>
      </c>
    </row>
    <row r="1339">
      <c r="A1339" t="str">
        <f>IFERROR(__xludf.DUMMYFUNCTION("""COMPUTED_VALUE"""),"#N/A")</f>
        <v>#N/A</v>
      </c>
      <c r="B1339" s="451" t="str">
        <f>IFERROR(__xludf.DUMMYFUNCTION("""COMPUTED_VALUE"""),"#N/A")</f>
        <v>#N/A</v>
      </c>
    </row>
    <row r="1340">
      <c r="A1340" t="str">
        <f>IFERROR(__xludf.DUMMYFUNCTION("""COMPUTED_VALUE"""),"#N/A")</f>
        <v>#N/A</v>
      </c>
      <c r="B1340" s="451" t="str">
        <f>IFERROR(__xludf.DUMMYFUNCTION("""COMPUTED_VALUE"""),"#N/A")</f>
        <v>#N/A</v>
      </c>
    </row>
    <row r="1341">
      <c r="A1341" t="str">
        <f>IFERROR(__xludf.DUMMYFUNCTION("""COMPUTED_VALUE"""),"#N/A")</f>
        <v>#N/A</v>
      </c>
      <c r="B1341" s="451" t="str">
        <f>IFERROR(__xludf.DUMMYFUNCTION("""COMPUTED_VALUE"""),"#N/A")</f>
        <v>#N/A</v>
      </c>
    </row>
    <row r="1342">
      <c r="A1342" t="str">
        <f>IFERROR(__xludf.DUMMYFUNCTION("""COMPUTED_VALUE"""),"#N/A")</f>
        <v>#N/A</v>
      </c>
      <c r="B1342" s="451" t="str">
        <f>IFERROR(__xludf.DUMMYFUNCTION("""COMPUTED_VALUE"""),"#N/A")</f>
        <v>#N/A</v>
      </c>
    </row>
    <row r="1343">
      <c r="A1343" t="str">
        <f>IFERROR(__xludf.DUMMYFUNCTION("""COMPUTED_VALUE"""),"#N/A")</f>
        <v>#N/A</v>
      </c>
      <c r="B1343" s="451" t="str">
        <f>IFERROR(__xludf.DUMMYFUNCTION("""COMPUTED_VALUE"""),"#N/A")</f>
        <v>#N/A</v>
      </c>
    </row>
    <row r="1344">
      <c r="A1344" t="str">
        <f>IFERROR(__xludf.DUMMYFUNCTION("""COMPUTED_VALUE"""),"#N/A")</f>
        <v>#N/A</v>
      </c>
      <c r="B1344" s="451" t="str">
        <f>IFERROR(__xludf.DUMMYFUNCTION("""COMPUTED_VALUE"""),"#N/A")</f>
        <v>#N/A</v>
      </c>
    </row>
    <row r="1345">
      <c r="A1345" t="str">
        <f>IFERROR(__xludf.DUMMYFUNCTION("""COMPUTED_VALUE"""),"#N/A")</f>
        <v>#N/A</v>
      </c>
      <c r="B1345" s="451" t="str">
        <f>IFERROR(__xludf.DUMMYFUNCTION("""COMPUTED_VALUE"""),"#N/A")</f>
        <v>#N/A</v>
      </c>
    </row>
    <row r="1346">
      <c r="A1346" t="str">
        <f>IFERROR(__xludf.DUMMYFUNCTION("""COMPUTED_VALUE"""),"#N/A")</f>
        <v>#N/A</v>
      </c>
      <c r="B1346" s="451" t="str">
        <f>IFERROR(__xludf.DUMMYFUNCTION("""COMPUTED_VALUE"""),"#N/A")</f>
        <v>#N/A</v>
      </c>
    </row>
    <row r="1347">
      <c r="A1347" t="str">
        <f>IFERROR(__xludf.DUMMYFUNCTION("""COMPUTED_VALUE"""),"#N/A")</f>
        <v>#N/A</v>
      </c>
      <c r="B1347" s="451" t="str">
        <f>IFERROR(__xludf.DUMMYFUNCTION("""COMPUTED_VALUE"""),"#N/A")</f>
        <v>#N/A</v>
      </c>
    </row>
    <row r="1348">
      <c r="A1348" t="str">
        <f>IFERROR(__xludf.DUMMYFUNCTION("""COMPUTED_VALUE"""),"#N/A")</f>
        <v>#N/A</v>
      </c>
      <c r="B1348" s="451" t="str">
        <f>IFERROR(__xludf.DUMMYFUNCTION("""COMPUTED_VALUE"""),"#N/A")</f>
        <v>#N/A</v>
      </c>
    </row>
    <row r="1349">
      <c r="A1349" t="str">
        <f>IFERROR(__xludf.DUMMYFUNCTION("""COMPUTED_VALUE"""),"#N/A")</f>
        <v>#N/A</v>
      </c>
      <c r="B1349" s="451" t="str">
        <f>IFERROR(__xludf.DUMMYFUNCTION("""COMPUTED_VALUE"""),"#N/A")</f>
        <v>#N/A</v>
      </c>
    </row>
    <row r="1350">
      <c r="A1350" t="str">
        <f>IFERROR(__xludf.DUMMYFUNCTION("""COMPUTED_VALUE"""),"#N/A")</f>
        <v>#N/A</v>
      </c>
      <c r="B1350" s="451" t="str">
        <f>IFERROR(__xludf.DUMMYFUNCTION("""COMPUTED_VALUE"""),"#N/A")</f>
        <v>#N/A</v>
      </c>
    </row>
    <row r="1351">
      <c r="A1351" t="str">
        <f>IFERROR(__xludf.DUMMYFUNCTION("""COMPUTED_VALUE"""),"#N/A")</f>
        <v>#N/A</v>
      </c>
      <c r="B1351" s="451" t="str">
        <f>IFERROR(__xludf.DUMMYFUNCTION("""COMPUTED_VALUE"""),"#N/A")</f>
        <v>#N/A</v>
      </c>
    </row>
    <row r="1352">
      <c r="A1352" t="str">
        <f>IFERROR(__xludf.DUMMYFUNCTION("""COMPUTED_VALUE"""),"#N/A")</f>
        <v>#N/A</v>
      </c>
      <c r="B1352" s="451" t="str">
        <f>IFERROR(__xludf.DUMMYFUNCTION("""COMPUTED_VALUE"""),"#N/A")</f>
        <v>#N/A</v>
      </c>
    </row>
    <row r="1353">
      <c r="A1353" t="str">
        <f>IFERROR(__xludf.DUMMYFUNCTION("""COMPUTED_VALUE"""),"#N/A")</f>
        <v>#N/A</v>
      </c>
      <c r="B1353" s="451" t="str">
        <f>IFERROR(__xludf.DUMMYFUNCTION("""COMPUTED_VALUE"""),"#N/A")</f>
        <v>#N/A</v>
      </c>
    </row>
    <row r="1354">
      <c r="A1354" t="str">
        <f>IFERROR(__xludf.DUMMYFUNCTION("""COMPUTED_VALUE"""),"#N/A")</f>
        <v>#N/A</v>
      </c>
      <c r="B1354" s="451" t="str">
        <f>IFERROR(__xludf.DUMMYFUNCTION("""COMPUTED_VALUE"""),"#N/A")</f>
        <v>#N/A</v>
      </c>
    </row>
    <row r="1355">
      <c r="A1355" t="str">
        <f>IFERROR(__xludf.DUMMYFUNCTION("""COMPUTED_VALUE"""),"#N/A")</f>
        <v>#N/A</v>
      </c>
      <c r="B1355" s="451" t="str">
        <f>IFERROR(__xludf.DUMMYFUNCTION("""COMPUTED_VALUE"""),"#N/A")</f>
        <v>#N/A</v>
      </c>
    </row>
    <row r="1356">
      <c r="A1356" t="str">
        <f>IFERROR(__xludf.DUMMYFUNCTION("""COMPUTED_VALUE"""),"#N/A")</f>
        <v>#N/A</v>
      </c>
      <c r="B1356" s="451" t="str">
        <f>IFERROR(__xludf.DUMMYFUNCTION("""COMPUTED_VALUE"""),"#N/A")</f>
        <v>#N/A</v>
      </c>
    </row>
    <row r="1357">
      <c r="A1357" t="str">
        <f>IFERROR(__xludf.DUMMYFUNCTION("""COMPUTED_VALUE"""),"#N/A")</f>
        <v>#N/A</v>
      </c>
      <c r="B1357" s="451" t="str">
        <f>IFERROR(__xludf.DUMMYFUNCTION("""COMPUTED_VALUE"""),"#N/A")</f>
        <v>#N/A</v>
      </c>
    </row>
    <row r="1358">
      <c r="A1358" t="str">
        <f>IFERROR(__xludf.DUMMYFUNCTION("""COMPUTED_VALUE"""),"#N/A")</f>
        <v>#N/A</v>
      </c>
      <c r="B1358" s="451" t="str">
        <f>IFERROR(__xludf.DUMMYFUNCTION("""COMPUTED_VALUE"""),"#N/A")</f>
        <v>#N/A</v>
      </c>
    </row>
    <row r="1359">
      <c r="A1359" t="str">
        <f>IFERROR(__xludf.DUMMYFUNCTION("""COMPUTED_VALUE"""),"#N/A")</f>
        <v>#N/A</v>
      </c>
      <c r="B1359" s="451" t="str">
        <f>IFERROR(__xludf.DUMMYFUNCTION("""COMPUTED_VALUE"""),"#N/A")</f>
        <v>#N/A</v>
      </c>
    </row>
    <row r="1360">
      <c r="A1360" t="str">
        <f>IFERROR(__xludf.DUMMYFUNCTION("""COMPUTED_VALUE"""),"#N/A")</f>
        <v>#N/A</v>
      </c>
      <c r="B1360" s="451" t="str">
        <f>IFERROR(__xludf.DUMMYFUNCTION("""COMPUTED_VALUE"""),"#N/A")</f>
        <v>#N/A</v>
      </c>
    </row>
    <row r="1361">
      <c r="A1361" t="str">
        <f>IFERROR(__xludf.DUMMYFUNCTION("""COMPUTED_VALUE"""),"#N/A")</f>
        <v>#N/A</v>
      </c>
      <c r="B1361" s="451" t="str">
        <f>IFERROR(__xludf.DUMMYFUNCTION("""COMPUTED_VALUE"""),"#N/A")</f>
        <v>#N/A</v>
      </c>
    </row>
    <row r="1362">
      <c r="A1362" t="str">
        <f>IFERROR(__xludf.DUMMYFUNCTION("""COMPUTED_VALUE"""),"#N/A")</f>
        <v>#N/A</v>
      </c>
      <c r="B1362" s="451" t="str">
        <f>IFERROR(__xludf.DUMMYFUNCTION("""COMPUTED_VALUE"""),"#N/A")</f>
        <v>#N/A</v>
      </c>
    </row>
    <row r="1363">
      <c r="A1363" t="str">
        <f>IFERROR(__xludf.DUMMYFUNCTION("""COMPUTED_VALUE"""),"#N/A")</f>
        <v>#N/A</v>
      </c>
      <c r="B1363" s="451" t="str">
        <f>IFERROR(__xludf.DUMMYFUNCTION("""COMPUTED_VALUE"""),"#N/A")</f>
        <v>#N/A</v>
      </c>
    </row>
    <row r="1364">
      <c r="A1364" t="str">
        <f>IFERROR(__xludf.DUMMYFUNCTION("""COMPUTED_VALUE"""),"#N/A")</f>
        <v>#N/A</v>
      </c>
      <c r="B1364" s="451" t="str">
        <f>IFERROR(__xludf.DUMMYFUNCTION("""COMPUTED_VALUE"""),"#N/A")</f>
        <v>#N/A</v>
      </c>
    </row>
    <row r="1365">
      <c r="A1365" t="str">
        <f>IFERROR(__xludf.DUMMYFUNCTION("""COMPUTED_VALUE"""),"#N/A")</f>
        <v>#N/A</v>
      </c>
      <c r="B1365" s="451" t="str">
        <f>IFERROR(__xludf.DUMMYFUNCTION("""COMPUTED_VALUE"""),"#N/A")</f>
        <v>#N/A</v>
      </c>
    </row>
    <row r="1366">
      <c r="A1366" t="str">
        <f>IFERROR(__xludf.DUMMYFUNCTION("""COMPUTED_VALUE"""),"#N/A")</f>
        <v>#N/A</v>
      </c>
      <c r="B1366" s="451" t="str">
        <f>IFERROR(__xludf.DUMMYFUNCTION("""COMPUTED_VALUE"""),"#N/A")</f>
        <v>#N/A</v>
      </c>
    </row>
    <row r="1367">
      <c r="A1367" t="str">
        <f>IFERROR(__xludf.DUMMYFUNCTION("""COMPUTED_VALUE"""),"#N/A")</f>
        <v>#N/A</v>
      </c>
      <c r="B1367" s="451" t="str">
        <f>IFERROR(__xludf.DUMMYFUNCTION("""COMPUTED_VALUE"""),"#N/A")</f>
        <v>#N/A</v>
      </c>
    </row>
    <row r="1368">
      <c r="A1368" t="str">
        <f>IFERROR(__xludf.DUMMYFUNCTION("""COMPUTED_VALUE"""),"#N/A")</f>
        <v>#N/A</v>
      </c>
      <c r="B1368" s="451" t="str">
        <f>IFERROR(__xludf.DUMMYFUNCTION("""COMPUTED_VALUE"""),"#N/A")</f>
        <v>#N/A</v>
      </c>
    </row>
    <row r="1369">
      <c r="A1369" t="str">
        <f>IFERROR(__xludf.DUMMYFUNCTION("""COMPUTED_VALUE"""),"#N/A")</f>
        <v>#N/A</v>
      </c>
      <c r="B1369" s="451" t="str">
        <f>IFERROR(__xludf.DUMMYFUNCTION("""COMPUTED_VALUE"""),"#N/A")</f>
        <v>#N/A</v>
      </c>
    </row>
    <row r="1370">
      <c r="A1370" t="str">
        <f>IFERROR(__xludf.DUMMYFUNCTION("""COMPUTED_VALUE"""),"#N/A")</f>
        <v>#N/A</v>
      </c>
      <c r="B1370" s="451" t="str">
        <f>IFERROR(__xludf.DUMMYFUNCTION("""COMPUTED_VALUE"""),"#N/A")</f>
        <v>#N/A</v>
      </c>
    </row>
    <row r="1371">
      <c r="A1371" t="str">
        <f>IFERROR(__xludf.DUMMYFUNCTION("""COMPUTED_VALUE"""),"#N/A")</f>
        <v>#N/A</v>
      </c>
      <c r="B1371" s="451" t="str">
        <f>IFERROR(__xludf.DUMMYFUNCTION("""COMPUTED_VALUE"""),"#N/A")</f>
        <v>#N/A</v>
      </c>
    </row>
    <row r="1372">
      <c r="A1372" t="str">
        <f>IFERROR(__xludf.DUMMYFUNCTION("""COMPUTED_VALUE"""),"#N/A")</f>
        <v>#N/A</v>
      </c>
      <c r="B1372" s="451" t="str">
        <f>IFERROR(__xludf.DUMMYFUNCTION("""COMPUTED_VALUE"""),"#N/A")</f>
        <v>#N/A</v>
      </c>
    </row>
    <row r="1373">
      <c r="A1373" t="str">
        <f>IFERROR(__xludf.DUMMYFUNCTION("""COMPUTED_VALUE"""),"#N/A")</f>
        <v>#N/A</v>
      </c>
      <c r="B1373" s="451" t="str">
        <f>IFERROR(__xludf.DUMMYFUNCTION("""COMPUTED_VALUE"""),"#N/A")</f>
        <v>#N/A</v>
      </c>
    </row>
    <row r="1374">
      <c r="A1374" t="str">
        <f>IFERROR(__xludf.DUMMYFUNCTION("""COMPUTED_VALUE"""),"#N/A")</f>
        <v>#N/A</v>
      </c>
      <c r="B1374" s="451" t="str">
        <f>IFERROR(__xludf.DUMMYFUNCTION("""COMPUTED_VALUE"""),"#N/A")</f>
        <v>#N/A</v>
      </c>
    </row>
    <row r="1375">
      <c r="A1375" t="str">
        <f>IFERROR(__xludf.DUMMYFUNCTION("""COMPUTED_VALUE"""),"#N/A")</f>
        <v>#N/A</v>
      </c>
      <c r="B1375" s="451" t="str">
        <f>IFERROR(__xludf.DUMMYFUNCTION("""COMPUTED_VALUE"""),"#N/A")</f>
        <v>#N/A</v>
      </c>
    </row>
    <row r="1376">
      <c r="A1376" t="str">
        <f>IFERROR(__xludf.DUMMYFUNCTION("""COMPUTED_VALUE"""),"#N/A")</f>
        <v>#N/A</v>
      </c>
      <c r="B1376" s="451" t="str">
        <f>IFERROR(__xludf.DUMMYFUNCTION("""COMPUTED_VALUE"""),"#N/A")</f>
        <v>#N/A</v>
      </c>
    </row>
    <row r="1377">
      <c r="A1377" t="str">
        <f>IFERROR(__xludf.DUMMYFUNCTION("""COMPUTED_VALUE"""),"#N/A")</f>
        <v>#N/A</v>
      </c>
      <c r="B1377" s="451" t="str">
        <f>IFERROR(__xludf.DUMMYFUNCTION("""COMPUTED_VALUE"""),"#N/A")</f>
        <v>#N/A</v>
      </c>
    </row>
    <row r="1378">
      <c r="A1378" t="str">
        <f>IFERROR(__xludf.DUMMYFUNCTION("""COMPUTED_VALUE"""),"#N/A")</f>
        <v>#N/A</v>
      </c>
      <c r="B1378" s="451" t="str">
        <f>IFERROR(__xludf.DUMMYFUNCTION("""COMPUTED_VALUE"""),"#N/A")</f>
        <v>#N/A</v>
      </c>
    </row>
    <row r="1379">
      <c r="A1379" t="str">
        <f>IFERROR(__xludf.DUMMYFUNCTION("""COMPUTED_VALUE"""),"#N/A")</f>
        <v>#N/A</v>
      </c>
      <c r="B1379" s="451" t="str">
        <f>IFERROR(__xludf.DUMMYFUNCTION("""COMPUTED_VALUE"""),"#N/A")</f>
        <v>#N/A</v>
      </c>
    </row>
    <row r="1380">
      <c r="A1380" t="str">
        <f>IFERROR(__xludf.DUMMYFUNCTION("""COMPUTED_VALUE"""),"#N/A")</f>
        <v>#N/A</v>
      </c>
      <c r="B1380" s="451" t="str">
        <f>IFERROR(__xludf.DUMMYFUNCTION("""COMPUTED_VALUE"""),"#N/A")</f>
        <v>#N/A</v>
      </c>
    </row>
    <row r="1381">
      <c r="A1381" t="str">
        <f>IFERROR(__xludf.DUMMYFUNCTION("""COMPUTED_VALUE"""),"#N/A")</f>
        <v>#N/A</v>
      </c>
      <c r="B1381" s="451" t="str">
        <f>IFERROR(__xludf.DUMMYFUNCTION("""COMPUTED_VALUE"""),"#N/A")</f>
        <v>#N/A</v>
      </c>
    </row>
    <row r="1382">
      <c r="A1382" t="str">
        <f>IFERROR(__xludf.DUMMYFUNCTION("""COMPUTED_VALUE"""),"#N/A")</f>
        <v>#N/A</v>
      </c>
      <c r="B1382" s="451" t="str">
        <f>IFERROR(__xludf.DUMMYFUNCTION("""COMPUTED_VALUE"""),"#N/A")</f>
        <v>#N/A</v>
      </c>
    </row>
    <row r="1383">
      <c r="A1383" t="str">
        <f>IFERROR(__xludf.DUMMYFUNCTION("""COMPUTED_VALUE"""),"#N/A")</f>
        <v>#N/A</v>
      </c>
      <c r="B1383" s="451" t="str">
        <f>IFERROR(__xludf.DUMMYFUNCTION("""COMPUTED_VALUE"""),"#N/A")</f>
        <v>#N/A</v>
      </c>
    </row>
    <row r="1384">
      <c r="A1384" t="str">
        <f>IFERROR(__xludf.DUMMYFUNCTION("""COMPUTED_VALUE"""),"#N/A")</f>
        <v>#N/A</v>
      </c>
      <c r="B1384" s="451" t="str">
        <f>IFERROR(__xludf.DUMMYFUNCTION("""COMPUTED_VALUE"""),"#N/A")</f>
        <v>#N/A</v>
      </c>
    </row>
    <row r="1385">
      <c r="A1385" t="str">
        <f>IFERROR(__xludf.DUMMYFUNCTION("""COMPUTED_VALUE"""),"#N/A")</f>
        <v>#N/A</v>
      </c>
      <c r="B1385" s="451" t="str">
        <f>IFERROR(__xludf.DUMMYFUNCTION("""COMPUTED_VALUE"""),"#N/A")</f>
        <v>#N/A</v>
      </c>
    </row>
    <row r="1386">
      <c r="A1386" t="str">
        <f>IFERROR(__xludf.DUMMYFUNCTION("""COMPUTED_VALUE"""),"#N/A")</f>
        <v>#N/A</v>
      </c>
      <c r="B1386" s="451" t="str">
        <f>IFERROR(__xludf.DUMMYFUNCTION("""COMPUTED_VALUE"""),"#N/A")</f>
        <v>#N/A</v>
      </c>
    </row>
    <row r="1387">
      <c r="A1387" t="str">
        <f>IFERROR(__xludf.DUMMYFUNCTION("""COMPUTED_VALUE"""),"#N/A")</f>
        <v>#N/A</v>
      </c>
      <c r="B1387" s="451" t="str">
        <f>IFERROR(__xludf.DUMMYFUNCTION("""COMPUTED_VALUE"""),"#N/A")</f>
        <v>#N/A</v>
      </c>
    </row>
    <row r="1388">
      <c r="A1388" t="str">
        <f>IFERROR(__xludf.DUMMYFUNCTION("""COMPUTED_VALUE"""),"#N/A")</f>
        <v>#N/A</v>
      </c>
      <c r="B1388" s="451" t="str">
        <f>IFERROR(__xludf.DUMMYFUNCTION("""COMPUTED_VALUE"""),"#N/A")</f>
        <v>#N/A</v>
      </c>
    </row>
    <row r="1389">
      <c r="A1389" t="str">
        <f>IFERROR(__xludf.DUMMYFUNCTION("""COMPUTED_VALUE"""),"#N/A")</f>
        <v>#N/A</v>
      </c>
      <c r="B1389" s="451" t="str">
        <f>IFERROR(__xludf.DUMMYFUNCTION("""COMPUTED_VALUE"""),"#N/A")</f>
        <v>#N/A</v>
      </c>
    </row>
    <row r="1390">
      <c r="A1390" t="str">
        <f>IFERROR(__xludf.DUMMYFUNCTION("""COMPUTED_VALUE"""),"#N/A")</f>
        <v>#N/A</v>
      </c>
      <c r="B1390" s="451" t="str">
        <f>IFERROR(__xludf.DUMMYFUNCTION("""COMPUTED_VALUE"""),"#N/A")</f>
        <v>#N/A</v>
      </c>
    </row>
    <row r="1391">
      <c r="A1391" t="str">
        <f>IFERROR(__xludf.DUMMYFUNCTION("""COMPUTED_VALUE"""),"#N/A")</f>
        <v>#N/A</v>
      </c>
      <c r="B1391" s="451" t="str">
        <f>IFERROR(__xludf.DUMMYFUNCTION("""COMPUTED_VALUE"""),"#N/A")</f>
        <v>#N/A</v>
      </c>
    </row>
    <row r="1392">
      <c r="A1392" t="str">
        <f>IFERROR(__xludf.DUMMYFUNCTION("""COMPUTED_VALUE"""),"#N/A")</f>
        <v>#N/A</v>
      </c>
      <c r="B1392" s="451" t="str">
        <f>IFERROR(__xludf.DUMMYFUNCTION("""COMPUTED_VALUE"""),"#N/A")</f>
        <v>#N/A</v>
      </c>
    </row>
    <row r="1393">
      <c r="A1393" t="str">
        <f>IFERROR(__xludf.DUMMYFUNCTION("""COMPUTED_VALUE"""),"#N/A")</f>
        <v>#N/A</v>
      </c>
      <c r="B1393" s="451" t="str">
        <f>IFERROR(__xludf.DUMMYFUNCTION("""COMPUTED_VALUE"""),"#N/A")</f>
        <v>#N/A</v>
      </c>
    </row>
    <row r="1394">
      <c r="A1394" t="str">
        <f>IFERROR(__xludf.DUMMYFUNCTION("""COMPUTED_VALUE"""),"#N/A")</f>
        <v>#N/A</v>
      </c>
      <c r="B1394" s="451" t="str">
        <f>IFERROR(__xludf.DUMMYFUNCTION("""COMPUTED_VALUE"""),"#N/A")</f>
        <v>#N/A</v>
      </c>
    </row>
    <row r="1395">
      <c r="A1395" t="str">
        <f>IFERROR(__xludf.DUMMYFUNCTION("""COMPUTED_VALUE"""),"#N/A")</f>
        <v>#N/A</v>
      </c>
      <c r="B1395" s="451" t="str">
        <f>IFERROR(__xludf.DUMMYFUNCTION("""COMPUTED_VALUE"""),"#N/A")</f>
        <v>#N/A</v>
      </c>
    </row>
    <row r="1396">
      <c r="A1396" t="str">
        <f>IFERROR(__xludf.DUMMYFUNCTION("""COMPUTED_VALUE"""),"#N/A")</f>
        <v>#N/A</v>
      </c>
      <c r="B1396" s="451" t="str">
        <f>IFERROR(__xludf.DUMMYFUNCTION("""COMPUTED_VALUE"""),"#N/A")</f>
        <v>#N/A</v>
      </c>
    </row>
    <row r="1397">
      <c r="A1397" t="str">
        <f>IFERROR(__xludf.DUMMYFUNCTION("""COMPUTED_VALUE"""),"#N/A")</f>
        <v>#N/A</v>
      </c>
      <c r="B1397" s="451" t="str">
        <f>IFERROR(__xludf.DUMMYFUNCTION("""COMPUTED_VALUE"""),"#N/A")</f>
        <v>#N/A</v>
      </c>
    </row>
    <row r="1398">
      <c r="A1398" t="str">
        <f>IFERROR(__xludf.DUMMYFUNCTION("""COMPUTED_VALUE"""),"#N/A")</f>
        <v>#N/A</v>
      </c>
      <c r="B1398" s="451" t="str">
        <f>IFERROR(__xludf.DUMMYFUNCTION("""COMPUTED_VALUE"""),"#N/A")</f>
        <v>#N/A</v>
      </c>
    </row>
    <row r="1399">
      <c r="A1399" t="str">
        <f>IFERROR(__xludf.DUMMYFUNCTION("""COMPUTED_VALUE"""),"#N/A")</f>
        <v>#N/A</v>
      </c>
      <c r="B1399" s="451" t="str">
        <f>IFERROR(__xludf.DUMMYFUNCTION("""COMPUTED_VALUE"""),"#N/A")</f>
        <v>#N/A</v>
      </c>
    </row>
    <row r="1400">
      <c r="A1400" t="str">
        <f>IFERROR(__xludf.DUMMYFUNCTION("""COMPUTED_VALUE"""),"#N/A")</f>
        <v>#N/A</v>
      </c>
      <c r="B1400" s="451" t="str">
        <f>IFERROR(__xludf.DUMMYFUNCTION("""COMPUTED_VALUE"""),"#N/A")</f>
        <v>#N/A</v>
      </c>
    </row>
    <row r="1401">
      <c r="A1401" t="str">
        <f>IFERROR(__xludf.DUMMYFUNCTION("""COMPUTED_VALUE"""),"#N/A")</f>
        <v>#N/A</v>
      </c>
      <c r="B1401" s="451" t="str">
        <f>IFERROR(__xludf.DUMMYFUNCTION("""COMPUTED_VALUE"""),"#N/A")</f>
        <v>#N/A</v>
      </c>
    </row>
    <row r="1402">
      <c r="A1402" t="str">
        <f>IFERROR(__xludf.DUMMYFUNCTION("""COMPUTED_VALUE"""),"#N/A")</f>
        <v>#N/A</v>
      </c>
      <c r="B1402" s="451" t="str">
        <f>IFERROR(__xludf.DUMMYFUNCTION("""COMPUTED_VALUE"""),"#N/A")</f>
        <v>#N/A</v>
      </c>
    </row>
    <row r="1403">
      <c r="A1403" t="str">
        <f>IFERROR(__xludf.DUMMYFUNCTION("""COMPUTED_VALUE"""),"#N/A")</f>
        <v>#N/A</v>
      </c>
      <c r="B1403" s="451" t="str">
        <f>IFERROR(__xludf.DUMMYFUNCTION("""COMPUTED_VALUE"""),"#N/A")</f>
        <v>#N/A</v>
      </c>
    </row>
    <row r="1404">
      <c r="A1404" t="str">
        <f>IFERROR(__xludf.DUMMYFUNCTION("""COMPUTED_VALUE"""),"#N/A")</f>
        <v>#N/A</v>
      </c>
      <c r="B1404" s="451" t="str">
        <f>IFERROR(__xludf.DUMMYFUNCTION("""COMPUTED_VALUE"""),"#N/A")</f>
        <v>#N/A</v>
      </c>
    </row>
    <row r="1405">
      <c r="A1405" t="str">
        <f>IFERROR(__xludf.DUMMYFUNCTION("""COMPUTED_VALUE"""),"#N/A")</f>
        <v>#N/A</v>
      </c>
      <c r="B1405" s="451" t="str">
        <f>IFERROR(__xludf.DUMMYFUNCTION("""COMPUTED_VALUE"""),"#N/A")</f>
        <v>#N/A</v>
      </c>
    </row>
    <row r="1406">
      <c r="A1406" t="str">
        <f>IFERROR(__xludf.DUMMYFUNCTION("""COMPUTED_VALUE"""),"#N/A")</f>
        <v>#N/A</v>
      </c>
      <c r="B1406" s="451" t="str">
        <f>IFERROR(__xludf.DUMMYFUNCTION("""COMPUTED_VALUE"""),"#N/A")</f>
        <v>#N/A</v>
      </c>
    </row>
    <row r="1407">
      <c r="A1407" t="str">
        <f>IFERROR(__xludf.DUMMYFUNCTION("""COMPUTED_VALUE"""),"#N/A")</f>
        <v>#N/A</v>
      </c>
      <c r="B1407" s="451" t="str">
        <f>IFERROR(__xludf.DUMMYFUNCTION("""COMPUTED_VALUE"""),"#N/A")</f>
        <v>#N/A</v>
      </c>
    </row>
    <row r="1408">
      <c r="A1408" t="str">
        <f>IFERROR(__xludf.DUMMYFUNCTION("""COMPUTED_VALUE"""),"#N/A")</f>
        <v>#N/A</v>
      </c>
      <c r="B1408" s="451" t="str">
        <f>IFERROR(__xludf.DUMMYFUNCTION("""COMPUTED_VALUE"""),"#N/A")</f>
        <v>#N/A</v>
      </c>
    </row>
    <row r="1409">
      <c r="A1409" t="str">
        <f>IFERROR(__xludf.DUMMYFUNCTION("""COMPUTED_VALUE"""),"#N/A")</f>
        <v>#N/A</v>
      </c>
      <c r="B1409" s="451" t="str">
        <f>IFERROR(__xludf.DUMMYFUNCTION("""COMPUTED_VALUE"""),"#N/A")</f>
        <v>#N/A</v>
      </c>
    </row>
    <row r="1410">
      <c r="A1410" t="str">
        <f>IFERROR(__xludf.DUMMYFUNCTION("""COMPUTED_VALUE"""),"#N/A")</f>
        <v>#N/A</v>
      </c>
      <c r="B1410" s="451" t="str">
        <f>IFERROR(__xludf.DUMMYFUNCTION("""COMPUTED_VALUE"""),"#N/A")</f>
        <v>#N/A</v>
      </c>
    </row>
    <row r="1411">
      <c r="A1411" t="str">
        <f>IFERROR(__xludf.DUMMYFUNCTION("""COMPUTED_VALUE"""),"#N/A")</f>
        <v>#N/A</v>
      </c>
      <c r="B1411" s="451" t="str">
        <f>IFERROR(__xludf.DUMMYFUNCTION("""COMPUTED_VALUE"""),"#N/A")</f>
        <v>#N/A</v>
      </c>
    </row>
    <row r="1412">
      <c r="A1412" t="str">
        <f>IFERROR(__xludf.DUMMYFUNCTION("""COMPUTED_VALUE"""),"#N/A")</f>
        <v>#N/A</v>
      </c>
      <c r="B1412" s="451" t="str">
        <f>IFERROR(__xludf.DUMMYFUNCTION("""COMPUTED_VALUE"""),"#N/A")</f>
        <v>#N/A</v>
      </c>
    </row>
    <row r="1413">
      <c r="A1413" t="str">
        <f>IFERROR(__xludf.DUMMYFUNCTION("""COMPUTED_VALUE"""),"#N/A")</f>
        <v>#N/A</v>
      </c>
      <c r="B1413" s="451" t="str">
        <f>IFERROR(__xludf.DUMMYFUNCTION("""COMPUTED_VALUE"""),"#N/A")</f>
        <v>#N/A</v>
      </c>
    </row>
    <row r="1414">
      <c r="A1414" t="str">
        <f>IFERROR(__xludf.DUMMYFUNCTION("""COMPUTED_VALUE"""),"#N/A")</f>
        <v>#N/A</v>
      </c>
      <c r="B1414" s="451" t="str">
        <f>IFERROR(__xludf.DUMMYFUNCTION("""COMPUTED_VALUE"""),"#N/A")</f>
        <v>#N/A</v>
      </c>
    </row>
    <row r="1415">
      <c r="A1415" t="str">
        <f>IFERROR(__xludf.DUMMYFUNCTION("""COMPUTED_VALUE"""),"#N/A")</f>
        <v>#N/A</v>
      </c>
      <c r="B1415" s="451" t="str">
        <f>IFERROR(__xludf.DUMMYFUNCTION("""COMPUTED_VALUE"""),"#N/A")</f>
        <v>#N/A</v>
      </c>
    </row>
    <row r="1416">
      <c r="A1416" t="str">
        <f>IFERROR(__xludf.DUMMYFUNCTION("""COMPUTED_VALUE"""),"#N/A")</f>
        <v>#N/A</v>
      </c>
      <c r="B1416" s="451" t="str">
        <f>IFERROR(__xludf.DUMMYFUNCTION("""COMPUTED_VALUE"""),"#N/A")</f>
        <v>#N/A</v>
      </c>
    </row>
    <row r="1417">
      <c r="A1417" t="str">
        <f>IFERROR(__xludf.DUMMYFUNCTION("""COMPUTED_VALUE"""),"#N/A")</f>
        <v>#N/A</v>
      </c>
      <c r="B1417" s="451" t="str">
        <f>IFERROR(__xludf.DUMMYFUNCTION("""COMPUTED_VALUE"""),"#N/A")</f>
        <v>#N/A</v>
      </c>
    </row>
    <row r="1418">
      <c r="A1418" t="str">
        <f>IFERROR(__xludf.DUMMYFUNCTION("""COMPUTED_VALUE"""),"#N/A")</f>
        <v>#N/A</v>
      </c>
      <c r="B1418" s="451" t="str">
        <f>IFERROR(__xludf.DUMMYFUNCTION("""COMPUTED_VALUE"""),"#N/A")</f>
        <v>#N/A</v>
      </c>
    </row>
    <row r="1419">
      <c r="A1419" t="str">
        <f>IFERROR(__xludf.DUMMYFUNCTION("""COMPUTED_VALUE"""),"#N/A")</f>
        <v>#N/A</v>
      </c>
      <c r="B1419" s="451" t="str">
        <f>IFERROR(__xludf.DUMMYFUNCTION("""COMPUTED_VALUE"""),"#N/A")</f>
        <v>#N/A</v>
      </c>
    </row>
    <row r="1420">
      <c r="A1420" t="str">
        <f>IFERROR(__xludf.DUMMYFUNCTION("""COMPUTED_VALUE"""),"#N/A")</f>
        <v>#N/A</v>
      </c>
      <c r="B1420" s="451" t="str">
        <f>IFERROR(__xludf.DUMMYFUNCTION("""COMPUTED_VALUE"""),"#N/A")</f>
        <v>#N/A</v>
      </c>
    </row>
    <row r="1421">
      <c r="A1421" t="str">
        <f>IFERROR(__xludf.DUMMYFUNCTION("""COMPUTED_VALUE"""),"#N/A")</f>
        <v>#N/A</v>
      </c>
      <c r="B1421" s="451" t="str">
        <f>IFERROR(__xludf.DUMMYFUNCTION("""COMPUTED_VALUE"""),"#N/A")</f>
        <v>#N/A</v>
      </c>
    </row>
    <row r="1422">
      <c r="A1422" t="str">
        <f>IFERROR(__xludf.DUMMYFUNCTION("""COMPUTED_VALUE"""),"#N/A")</f>
        <v>#N/A</v>
      </c>
      <c r="B1422" s="451" t="str">
        <f>IFERROR(__xludf.DUMMYFUNCTION("""COMPUTED_VALUE"""),"#N/A")</f>
        <v>#N/A</v>
      </c>
    </row>
    <row r="1423">
      <c r="A1423" t="str">
        <f>IFERROR(__xludf.DUMMYFUNCTION("""COMPUTED_VALUE"""),"#N/A")</f>
        <v>#N/A</v>
      </c>
      <c r="B1423" s="451" t="str">
        <f>IFERROR(__xludf.DUMMYFUNCTION("""COMPUTED_VALUE"""),"#N/A")</f>
        <v>#N/A</v>
      </c>
    </row>
    <row r="1424">
      <c r="A1424" t="str">
        <f>IFERROR(__xludf.DUMMYFUNCTION("""COMPUTED_VALUE"""),"#N/A")</f>
        <v>#N/A</v>
      </c>
      <c r="B1424" s="451" t="str">
        <f>IFERROR(__xludf.DUMMYFUNCTION("""COMPUTED_VALUE"""),"#N/A")</f>
        <v>#N/A</v>
      </c>
    </row>
    <row r="1425">
      <c r="A1425" t="str">
        <f>IFERROR(__xludf.DUMMYFUNCTION("""COMPUTED_VALUE"""),"#N/A")</f>
        <v>#N/A</v>
      </c>
      <c r="B1425" s="451" t="str">
        <f>IFERROR(__xludf.DUMMYFUNCTION("""COMPUTED_VALUE"""),"#N/A")</f>
        <v>#N/A</v>
      </c>
    </row>
    <row r="1426">
      <c r="A1426" t="str">
        <f>IFERROR(__xludf.DUMMYFUNCTION("""COMPUTED_VALUE"""),"#N/A")</f>
        <v>#N/A</v>
      </c>
      <c r="B1426" s="451" t="str">
        <f>IFERROR(__xludf.DUMMYFUNCTION("""COMPUTED_VALUE"""),"#N/A")</f>
        <v>#N/A</v>
      </c>
    </row>
    <row r="1427">
      <c r="A1427" t="str">
        <f>IFERROR(__xludf.DUMMYFUNCTION("""COMPUTED_VALUE"""),"#N/A")</f>
        <v>#N/A</v>
      </c>
      <c r="B1427" s="451" t="str">
        <f>IFERROR(__xludf.DUMMYFUNCTION("""COMPUTED_VALUE"""),"#N/A")</f>
        <v>#N/A</v>
      </c>
    </row>
    <row r="1428">
      <c r="A1428" t="str">
        <f>IFERROR(__xludf.DUMMYFUNCTION("""COMPUTED_VALUE"""),"#N/A")</f>
        <v>#N/A</v>
      </c>
      <c r="B1428" s="451" t="str">
        <f>IFERROR(__xludf.DUMMYFUNCTION("""COMPUTED_VALUE"""),"#N/A")</f>
        <v>#N/A</v>
      </c>
    </row>
    <row r="1429">
      <c r="A1429" t="str">
        <f>IFERROR(__xludf.DUMMYFUNCTION("""COMPUTED_VALUE"""),"#N/A")</f>
        <v>#N/A</v>
      </c>
      <c r="B1429" s="451" t="str">
        <f>IFERROR(__xludf.DUMMYFUNCTION("""COMPUTED_VALUE"""),"#N/A")</f>
        <v>#N/A</v>
      </c>
    </row>
    <row r="1430">
      <c r="A1430" t="str">
        <f>IFERROR(__xludf.DUMMYFUNCTION("""COMPUTED_VALUE"""),"#N/A")</f>
        <v>#N/A</v>
      </c>
      <c r="B1430" s="451" t="str">
        <f>IFERROR(__xludf.DUMMYFUNCTION("""COMPUTED_VALUE"""),"#N/A")</f>
        <v>#N/A</v>
      </c>
    </row>
    <row r="1431">
      <c r="A1431" t="str">
        <f>IFERROR(__xludf.DUMMYFUNCTION("""COMPUTED_VALUE"""),"#N/A")</f>
        <v>#N/A</v>
      </c>
      <c r="B1431" s="451" t="str">
        <f>IFERROR(__xludf.DUMMYFUNCTION("""COMPUTED_VALUE"""),"#N/A")</f>
        <v>#N/A</v>
      </c>
    </row>
    <row r="1432">
      <c r="A1432" t="str">
        <f>IFERROR(__xludf.DUMMYFUNCTION("""COMPUTED_VALUE"""),"#N/A")</f>
        <v>#N/A</v>
      </c>
      <c r="B1432" s="451" t="str">
        <f>IFERROR(__xludf.DUMMYFUNCTION("""COMPUTED_VALUE"""),"#N/A")</f>
        <v>#N/A</v>
      </c>
    </row>
    <row r="1433">
      <c r="A1433" t="str">
        <f>IFERROR(__xludf.DUMMYFUNCTION("""COMPUTED_VALUE"""),"#N/A")</f>
        <v>#N/A</v>
      </c>
      <c r="B1433" s="451" t="str">
        <f>IFERROR(__xludf.DUMMYFUNCTION("""COMPUTED_VALUE"""),"#N/A")</f>
        <v>#N/A</v>
      </c>
    </row>
    <row r="1434">
      <c r="A1434" t="str">
        <f>IFERROR(__xludf.DUMMYFUNCTION("""COMPUTED_VALUE"""),"#N/A")</f>
        <v>#N/A</v>
      </c>
      <c r="B1434" s="451" t="str">
        <f>IFERROR(__xludf.DUMMYFUNCTION("""COMPUTED_VALUE"""),"#N/A")</f>
        <v>#N/A</v>
      </c>
    </row>
    <row r="1435">
      <c r="A1435" t="str">
        <f>IFERROR(__xludf.DUMMYFUNCTION("""COMPUTED_VALUE"""),"#N/A")</f>
        <v>#N/A</v>
      </c>
      <c r="B1435" s="451" t="str">
        <f>IFERROR(__xludf.DUMMYFUNCTION("""COMPUTED_VALUE"""),"#N/A")</f>
        <v>#N/A</v>
      </c>
    </row>
    <row r="1436">
      <c r="A1436" t="str">
        <f>IFERROR(__xludf.DUMMYFUNCTION("""COMPUTED_VALUE"""),"#N/A")</f>
        <v>#N/A</v>
      </c>
      <c r="B1436" s="451" t="str">
        <f>IFERROR(__xludf.DUMMYFUNCTION("""COMPUTED_VALUE"""),"#N/A")</f>
        <v>#N/A</v>
      </c>
    </row>
    <row r="1437">
      <c r="A1437" t="str">
        <f>IFERROR(__xludf.DUMMYFUNCTION("""COMPUTED_VALUE"""),"#N/A")</f>
        <v>#N/A</v>
      </c>
      <c r="B1437" s="451" t="str">
        <f>IFERROR(__xludf.DUMMYFUNCTION("""COMPUTED_VALUE"""),"#N/A")</f>
        <v>#N/A</v>
      </c>
    </row>
    <row r="1438">
      <c r="A1438" t="str">
        <f>IFERROR(__xludf.DUMMYFUNCTION("""COMPUTED_VALUE"""),"#N/A")</f>
        <v>#N/A</v>
      </c>
      <c r="B1438" s="451" t="str">
        <f>IFERROR(__xludf.DUMMYFUNCTION("""COMPUTED_VALUE"""),"#N/A")</f>
        <v>#N/A</v>
      </c>
    </row>
    <row r="1439">
      <c r="A1439" t="str">
        <f>IFERROR(__xludf.DUMMYFUNCTION("""COMPUTED_VALUE"""),"#N/A")</f>
        <v>#N/A</v>
      </c>
      <c r="B1439" s="451" t="str">
        <f>IFERROR(__xludf.DUMMYFUNCTION("""COMPUTED_VALUE"""),"#N/A")</f>
        <v>#N/A</v>
      </c>
    </row>
    <row r="1440">
      <c r="A1440" t="str">
        <f>IFERROR(__xludf.DUMMYFUNCTION("""COMPUTED_VALUE"""),"#N/A")</f>
        <v>#N/A</v>
      </c>
      <c r="B1440" s="451" t="str">
        <f>IFERROR(__xludf.DUMMYFUNCTION("""COMPUTED_VALUE"""),"#N/A")</f>
        <v>#N/A</v>
      </c>
    </row>
    <row r="1441">
      <c r="A1441" t="str">
        <f>IFERROR(__xludf.DUMMYFUNCTION("""COMPUTED_VALUE"""),"#N/A")</f>
        <v>#N/A</v>
      </c>
      <c r="B1441" s="451" t="str">
        <f>IFERROR(__xludf.DUMMYFUNCTION("""COMPUTED_VALUE"""),"#N/A")</f>
        <v>#N/A</v>
      </c>
    </row>
    <row r="1442">
      <c r="A1442" t="str">
        <f>IFERROR(__xludf.DUMMYFUNCTION("""COMPUTED_VALUE"""),"#N/A")</f>
        <v>#N/A</v>
      </c>
      <c r="B1442" s="451" t="str">
        <f>IFERROR(__xludf.DUMMYFUNCTION("""COMPUTED_VALUE"""),"#N/A")</f>
        <v>#N/A</v>
      </c>
    </row>
    <row r="1443">
      <c r="A1443" t="str">
        <f>IFERROR(__xludf.DUMMYFUNCTION("""COMPUTED_VALUE"""),"#N/A")</f>
        <v>#N/A</v>
      </c>
      <c r="B1443" s="451" t="str">
        <f>IFERROR(__xludf.DUMMYFUNCTION("""COMPUTED_VALUE"""),"#N/A")</f>
        <v>#N/A</v>
      </c>
    </row>
    <row r="1444">
      <c r="A1444" t="str">
        <f>IFERROR(__xludf.DUMMYFUNCTION("""COMPUTED_VALUE"""),"#N/A")</f>
        <v>#N/A</v>
      </c>
      <c r="B1444" s="451" t="str">
        <f>IFERROR(__xludf.DUMMYFUNCTION("""COMPUTED_VALUE"""),"#N/A")</f>
        <v>#N/A</v>
      </c>
    </row>
    <row r="1445">
      <c r="A1445" t="str">
        <f>IFERROR(__xludf.DUMMYFUNCTION("""COMPUTED_VALUE"""),"#N/A")</f>
        <v>#N/A</v>
      </c>
      <c r="B1445" s="451" t="str">
        <f>IFERROR(__xludf.DUMMYFUNCTION("""COMPUTED_VALUE"""),"#N/A")</f>
        <v>#N/A</v>
      </c>
    </row>
    <row r="1446">
      <c r="A1446" t="str">
        <f>IFERROR(__xludf.DUMMYFUNCTION("""COMPUTED_VALUE"""),"#N/A")</f>
        <v>#N/A</v>
      </c>
      <c r="B1446" s="451" t="str">
        <f>IFERROR(__xludf.DUMMYFUNCTION("""COMPUTED_VALUE"""),"#N/A")</f>
        <v>#N/A</v>
      </c>
    </row>
    <row r="1447">
      <c r="A1447" t="str">
        <f>IFERROR(__xludf.DUMMYFUNCTION("""COMPUTED_VALUE"""),"#N/A")</f>
        <v>#N/A</v>
      </c>
      <c r="B1447" s="451" t="str">
        <f>IFERROR(__xludf.DUMMYFUNCTION("""COMPUTED_VALUE"""),"#N/A")</f>
        <v>#N/A</v>
      </c>
    </row>
    <row r="1448">
      <c r="A1448" t="str">
        <f>IFERROR(__xludf.DUMMYFUNCTION("""COMPUTED_VALUE"""),"#N/A")</f>
        <v>#N/A</v>
      </c>
      <c r="B1448" s="451" t="str">
        <f>IFERROR(__xludf.DUMMYFUNCTION("""COMPUTED_VALUE"""),"#N/A")</f>
        <v>#N/A</v>
      </c>
    </row>
    <row r="1449">
      <c r="A1449" t="str">
        <f>IFERROR(__xludf.DUMMYFUNCTION("""COMPUTED_VALUE"""),"#N/A")</f>
        <v>#N/A</v>
      </c>
      <c r="B1449" s="451" t="str">
        <f>IFERROR(__xludf.DUMMYFUNCTION("""COMPUTED_VALUE"""),"#N/A")</f>
        <v>#N/A</v>
      </c>
    </row>
    <row r="1450">
      <c r="A1450" t="str">
        <f>IFERROR(__xludf.DUMMYFUNCTION("""COMPUTED_VALUE"""),"#N/A")</f>
        <v>#N/A</v>
      </c>
      <c r="B1450" s="451" t="str">
        <f>IFERROR(__xludf.DUMMYFUNCTION("""COMPUTED_VALUE"""),"#N/A")</f>
        <v>#N/A</v>
      </c>
    </row>
    <row r="1451">
      <c r="A1451" t="str">
        <f>IFERROR(__xludf.DUMMYFUNCTION("""COMPUTED_VALUE"""),"#N/A")</f>
        <v>#N/A</v>
      </c>
      <c r="B1451" s="451" t="str">
        <f>IFERROR(__xludf.DUMMYFUNCTION("""COMPUTED_VALUE"""),"#N/A")</f>
        <v>#N/A</v>
      </c>
    </row>
    <row r="1452">
      <c r="A1452" t="str">
        <f>IFERROR(__xludf.DUMMYFUNCTION("""COMPUTED_VALUE"""),"#N/A")</f>
        <v>#N/A</v>
      </c>
      <c r="B1452" s="451" t="str">
        <f>IFERROR(__xludf.DUMMYFUNCTION("""COMPUTED_VALUE"""),"#N/A")</f>
        <v>#N/A</v>
      </c>
    </row>
    <row r="1453">
      <c r="A1453" t="str">
        <f>IFERROR(__xludf.DUMMYFUNCTION("""COMPUTED_VALUE"""),"#N/A")</f>
        <v>#N/A</v>
      </c>
      <c r="B1453" s="451" t="str">
        <f>IFERROR(__xludf.DUMMYFUNCTION("""COMPUTED_VALUE"""),"#N/A")</f>
        <v>#N/A</v>
      </c>
    </row>
    <row r="1454">
      <c r="A1454" t="str">
        <f>IFERROR(__xludf.DUMMYFUNCTION("""COMPUTED_VALUE"""),"#N/A")</f>
        <v>#N/A</v>
      </c>
      <c r="B1454" s="451" t="str">
        <f>IFERROR(__xludf.DUMMYFUNCTION("""COMPUTED_VALUE"""),"#N/A")</f>
        <v>#N/A</v>
      </c>
    </row>
    <row r="1455">
      <c r="A1455" t="str">
        <f>IFERROR(__xludf.DUMMYFUNCTION("""COMPUTED_VALUE"""),"#N/A")</f>
        <v>#N/A</v>
      </c>
      <c r="B1455" s="451" t="str">
        <f>IFERROR(__xludf.DUMMYFUNCTION("""COMPUTED_VALUE"""),"#N/A")</f>
        <v>#N/A</v>
      </c>
    </row>
    <row r="1456">
      <c r="A1456" t="str">
        <f>IFERROR(__xludf.DUMMYFUNCTION("""COMPUTED_VALUE"""),"#N/A")</f>
        <v>#N/A</v>
      </c>
      <c r="B1456" s="451" t="str">
        <f>IFERROR(__xludf.DUMMYFUNCTION("""COMPUTED_VALUE"""),"#N/A")</f>
        <v>#N/A</v>
      </c>
    </row>
    <row r="1457">
      <c r="A1457" t="str">
        <f>IFERROR(__xludf.DUMMYFUNCTION("""COMPUTED_VALUE"""),"#N/A")</f>
        <v>#N/A</v>
      </c>
      <c r="B1457" s="451" t="str">
        <f>IFERROR(__xludf.DUMMYFUNCTION("""COMPUTED_VALUE"""),"#N/A")</f>
        <v>#N/A</v>
      </c>
    </row>
    <row r="1458">
      <c r="A1458" t="str">
        <f>IFERROR(__xludf.DUMMYFUNCTION("""COMPUTED_VALUE"""),"#N/A")</f>
        <v>#N/A</v>
      </c>
      <c r="B1458" s="451" t="str">
        <f>IFERROR(__xludf.DUMMYFUNCTION("""COMPUTED_VALUE"""),"#N/A")</f>
        <v>#N/A</v>
      </c>
    </row>
    <row r="1459">
      <c r="A1459" t="str">
        <f>IFERROR(__xludf.DUMMYFUNCTION("""COMPUTED_VALUE"""),"#N/A")</f>
        <v>#N/A</v>
      </c>
      <c r="B1459" s="451" t="str">
        <f>IFERROR(__xludf.DUMMYFUNCTION("""COMPUTED_VALUE"""),"#N/A")</f>
        <v>#N/A</v>
      </c>
    </row>
    <row r="1460">
      <c r="A1460" t="str">
        <f>IFERROR(__xludf.DUMMYFUNCTION("""COMPUTED_VALUE"""),"#N/A")</f>
        <v>#N/A</v>
      </c>
      <c r="B1460" s="451" t="str">
        <f>IFERROR(__xludf.DUMMYFUNCTION("""COMPUTED_VALUE"""),"#N/A")</f>
        <v>#N/A</v>
      </c>
    </row>
    <row r="1461">
      <c r="A1461" t="str">
        <f>IFERROR(__xludf.DUMMYFUNCTION("""COMPUTED_VALUE"""),"#N/A")</f>
        <v>#N/A</v>
      </c>
      <c r="B1461" s="451" t="str">
        <f>IFERROR(__xludf.DUMMYFUNCTION("""COMPUTED_VALUE"""),"#N/A")</f>
        <v>#N/A</v>
      </c>
    </row>
    <row r="1462">
      <c r="A1462" t="str">
        <f>IFERROR(__xludf.DUMMYFUNCTION("""COMPUTED_VALUE"""),"#N/A")</f>
        <v>#N/A</v>
      </c>
      <c r="B1462" s="451" t="str">
        <f>IFERROR(__xludf.DUMMYFUNCTION("""COMPUTED_VALUE"""),"#N/A")</f>
        <v>#N/A</v>
      </c>
    </row>
    <row r="1463">
      <c r="A1463" t="str">
        <f>IFERROR(__xludf.DUMMYFUNCTION("""COMPUTED_VALUE"""),"#N/A")</f>
        <v>#N/A</v>
      </c>
      <c r="B1463" s="451" t="str">
        <f>IFERROR(__xludf.DUMMYFUNCTION("""COMPUTED_VALUE"""),"#N/A")</f>
        <v>#N/A</v>
      </c>
    </row>
    <row r="1464">
      <c r="A1464" t="str">
        <f>IFERROR(__xludf.DUMMYFUNCTION("""COMPUTED_VALUE"""),"#N/A")</f>
        <v>#N/A</v>
      </c>
      <c r="B1464" s="451" t="str">
        <f>IFERROR(__xludf.DUMMYFUNCTION("""COMPUTED_VALUE"""),"#N/A")</f>
        <v>#N/A</v>
      </c>
    </row>
    <row r="1465">
      <c r="A1465" t="str">
        <f>IFERROR(__xludf.DUMMYFUNCTION("""COMPUTED_VALUE"""),"#N/A")</f>
        <v>#N/A</v>
      </c>
      <c r="B1465" s="451" t="str">
        <f>IFERROR(__xludf.DUMMYFUNCTION("""COMPUTED_VALUE"""),"#N/A")</f>
        <v>#N/A</v>
      </c>
    </row>
    <row r="1466">
      <c r="A1466" t="str">
        <f>IFERROR(__xludf.DUMMYFUNCTION("""COMPUTED_VALUE"""),"#N/A")</f>
        <v>#N/A</v>
      </c>
      <c r="B1466" s="451" t="str">
        <f>IFERROR(__xludf.DUMMYFUNCTION("""COMPUTED_VALUE"""),"#N/A")</f>
        <v>#N/A</v>
      </c>
    </row>
    <row r="1467">
      <c r="A1467" t="str">
        <f>IFERROR(__xludf.DUMMYFUNCTION("""COMPUTED_VALUE"""),"#N/A")</f>
        <v>#N/A</v>
      </c>
      <c r="B1467" s="451" t="str">
        <f>IFERROR(__xludf.DUMMYFUNCTION("""COMPUTED_VALUE"""),"#N/A")</f>
        <v>#N/A</v>
      </c>
    </row>
    <row r="1468">
      <c r="A1468" t="str">
        <f>IFERROR(__xludf.DUMMYFUNCTION("""COMPUTED_VALUE"""),"#N/A")</f>
        <v>#N/A</v>
      </c>
      <c r="B1468" s="451" t="str">
        <f>IFERROR(__xludf.DUMMYFUNCTION("""COMPUTED_VALUE"""),"#N/A")</f>
        <v>#N/A</v>
      </c>
    </row>
    <row r="1469">
      <c r="A1469" t="str">
        <f>IFERROR(__xludf.DUMMYFUNCTION("""COMPUTED_VALUE"""),"#N/A")</f>
        <v>#N/A</v>
      </c>
      <c r="B1469" s="451" t="str">
        <f>IFERROR(__xludf.DUMMYFUNCTION("""COMPUTED_VALUE"""),"#N/A")</f>
        <v>#N/A</v>
      </c>
    </row>
    <row r="1470">
      <c r="A1470" t="str">
        <f>IFERROR(__xludf.DUMMYFUNCTION("""COMPUTED_VALUE"""),"#N/A")</f>
        <v>#N/A</v>
      </c>
      <c r="B1470" s="451" t="str">
        <f>IFERROR(__xludf.DUMMYFUNCTION("""COMPUTED_VALUE"""),"#N/A")</f>
        <v>#N/A</v>
      </c>
    </row>
    <row r="1471">
      <c r="A1471" t="str">
        <f>IFERROR(__xludf.DUMMYFUNCTION("""COMPUTED_VALUE"""),"#N/A")</f>
        <v>#N/A</v>
      </c>
      <c r="B1471" s="451" t="str">
        <f>IFERROR(__xludf.DUMMYFUNCTION("""COMPUTED_VALUE"""),"#N/A")</f>
        <v>#N/A</v>
      </c>
    </row>
    <row r="1472">
      <c r="A1472" t="str">
        <f>IFERROR(__xludf.DUMMYFUNCTION("""COMPUTED_VALUE"""),"#N/A")</f>
        <v>#N/A</v>
      </c>
      <c r="B1472" s="451" t="str">
        <f>IFERROR(__xludf.DUMMYFUNCTION("""COMPUTED_VALUE"""),"#N/A")</f>
        <v>#N/A</v>
      </c>
    </row>
    <row r="1473">
      <c r="A1473" t="str">
        <f>IFERROR(__xludf.DUMMYFUNCTION("""COMPUTED_VALUE"""),"#N/A")</f>
        <v>#N/A</v>
      </c>
      <c r="B1473" s="451" t="str">
        <f>IFERROR(__xludf.DUMMYFUNCTION("""COMPUTED_VALUE"""),"#N/A")</f>
        <v>#N/A</v>
      </c>
    </row>
    <row r="1474">
      <c r="A1474" t="str">
        <f>IFERROR(__xludf.DUMMYFUNCTION("""COMPUTED_VALUE"""),"#N/A")</f>
        <v>#N/A</v>
      </c>
      <c r="B1474" s="451" t="str">
        <f>IFERROR(__xludf.DUMMYFUNCTION("""COMPUTED_VALUE"""),"#N/A")</f>
        <v>#N/A</v>
      </c>
    </row>
    <row r="1475">
      <c r="A1475" t="str">
        <f>IFERROR(__xludf.DUMMYFUNCTION("""COMPUTED_VALUE"""),"#N/A")</f>
        <v>#N/A</v>
      </c>
      <c r="B1475" s="451" t="str">
        <f>IFERROR(__xludf.DUMMYFUNCTION("""COMPUTED_VALUE"""),"#N/A")</f>
        <v>#N/A</v>
      </c>
    </row>
    <row r="1476">
      <c r="A1476" t="str">
        <f>IFERROR(__xludf.DUMMYFUNCTION("""COMPUTED_VALUE"""),"#N/A")</f>
        <v>#N/A</v>
      </c>
      <c r="B1476" s="451" t="str">
        <f>IFERROR(__xludf.DUMMYFUNCTION("""COMPUTED_VALUE"""),"#N/A")</f>
        <v>#N/A</v>
      </c>
    </row>
    <row r="1477">
      <c r="A1477" t="str">
        <f>IFERROR(__xludf.DUMMYFUNCTION("""COMPUTED_VALUE"""),"#N/A")</f>
        <v>#N/A</v>
      </c>
      <c r="B1477" s="451" t="str">
        <f>IFERROR(__xludf.DUMMYFUNCTION("""COMPUTED_VALUE"""),"#N/A")</f>
        <v>#N/A</v>
      </c>
    </row>
    <row r="1478">
      <c r="A1478" t="str">
        <f>IFERROR(__xludf.DUMMYFUNCTION("""COMPUTED_VALUE"""),"#N/A")</f>
        <v>#N/A</v>
      </c>
      <c r="B1478" s="451" t="str">
        <f>IFERROR(__xludf.DUMMYFUNCTION("""COMPUTED_VALUE"""),"#N/A")</f>
        <v>#N/A</v>
      </c>
    </row>
    <row r="1479">
      <c r="A1479" t="str">
        <f>IFERROR(__xludf.DUMMYFUNCTION("""COMPUTED_VALUE"""),"#N/A")</f>
        <v>#N/A</v>
      </c>
      <c r="B1479" s="451" t="str">
        <f>IFERROR(__xludf.DUMMYFUNCTION("""COMPUTED_VALUE"""),"#N/A")</f>
        <v>#N/A</v>
      </c>
    </row>
    <row r="1480">
      <c r="A1480" t="str">
        <f>IFERROR(__xludf.DUMMYFUNCTION("""COMPUTED_VALUE"""),"#N/A")</f>
        <v>#N/A</v>
      </c>
      <c r="B1480" s="451" t="str">
        <f>IFERROR(__xludf.DUMMYFUNCTION("""COMPUTED_VALUE"""),"#N/A")</f>
        <v>#N/A</v>
      </c>
    </row>
    <row r="1481">
      <c r="A1481" t="str">
        <f>IFERROR(__xludf.DUMMYFUNCTION("""COMPUTED_VALUE"""),"#N/A")</f>
        <v>#N/A</v>
      </c>
      <c r="B1481" s="451" t="str">
        <f>IFERROR(__xludf.DUMMYFUNCTION("""COMPUTED_VALUE"""),"#N/A")</f>
        <v>#N/A</v>
      </c>
    </row>
    <row r="1482">
      <c r="A1482" t="str">
        <f>IFERROR(__xludf.DUMMYFUNCTION("""COMPUTED_VALUE"""),"#N/A")</f>
        <v>#N/A</v>
      </c>
      <c r="B1482" s="451" t="str">
        <f>IFERROR(__xludf.DUMMYFUNCTION("""COMPUTED_VALUE"""),"#N/A")</f>
        <v>#N/A</v>
      </c>
    </row>
    <row r="1483">
      <c r="A1483" t="str">
        <f>IFERROR(__xludf.DUMMYFUNCTION("""COMPUTED_VALUE"""),"#N/A")</f>
        <v>#N/A</v>
      </c>
      <c r="B1483" s="451" t="str">
        <f>IFERROR(__xludf.DUMMYFUNCTION("""COMPUTED_VALUE"""),"#N/A")</f>
        <v>#N/A</v>
      </c>
    </row>
    <row r="1484">
      <c r="A1484" t="str">
        <f>IFERROR(__xludf.DUMMYFUNCTION("""COMPUTED_VALUE"""),"#N/A")</f>
        <v>#N/A</v>
      </c>
      <c r="B1484" s="451" t="str">
        <f>IFERROR(__xludf.DUMMYFUNCTION("""COMPUTED_VALUE"""),"#N/A")</f>
        <v>#N/A</v>
      </c>
    </row>
    <row r="1485">
      <c r="A1485" t="str">
        <f>IFERROR(__xludf.DUMMYFUNCTION("""COMPUTED_VALUE"""),"#N/A")</f>
        <v>#N/A</v>
      </c>
      <c r="B1485" s="451" t="str">
        <f>IFERROR(__xludf.DUMMYFUNCTION("""COMPUTED_VALUE"""),"#N/A")</f>
        <v>#N/A</v>
      </c>
    </row>
    <row r="1486">
      <c r="A1486" t="str">
        <f>IFERROR(__xludf.DUMMYFUNCTION("""COMPUTED_VALUE"""),"#N/A")</f>
        <v>#N/A</v>
      </c>
      <c r="B1486" s="451" t="str">
        <f>IFERROR(__xludf.DUMMYFUNCTION("""COMPUTED_VALUE"""),"#N/A")</f>
        <v>#N/A</v>
      </c>
    </row>
    <row r="1487">
      <c r="A1487" t="str">
        <f>IFERROR(__xludf.DUMMYFUNCTION("""COMPUTED_VALUE"""),"#N/A")</f>
        <v>#N/A</v>
      </c>
      <c r="B1487" s="451" t="str">
        <f>IFERROR(__xludf.DUMMYFUNCTION("""COMPUTED_VALUE"""),"#N/A")</f>
        <v>#N/A</v>
      </c>
    </row>
    <row r="1488">
      <c r="A1488" t="str">
        <f>IFERROR(__xludf.DUMMYFUNCTION("""COMPUTED_VALUE"""),"#N/A")</f>
        <v>#N/A</v>
      </c>
      <c r="B1488" s="451" t="str">
        <f>IFERROR(__xludf.DUMMYFUNCTION("""COMPUTED_VALUE"""),"#N/A")</f>
        <v>#N/A</v>
      </c>
    </row>
    <row r="1489">
      <c r="A1489" t="str">
        <f>IFERROR(__xludf.DUMMYFUNCTION("""COMPUTED_VALUE"""),"#N/A")</f>
        <v>#N/A</v>
      </c>
      <c r="B1489" s="451" t="str">
        <f>IFERROR(__xludf.DUMMYFUNCTION("""COMPUTED_VALUE"""),"#N/A")</f>
        <v>#N/A</v>
      </c>
    </row>
    <row r="1490">
      <c r="A1490" t="str">
        <f>IFERROR(__xludf.DUMMYFUNCTION("""COMPUTED_VALUE"""),"#N/A")</f>
        <v>#N/A</v>
      </c>
      <c r="B1490" s="451" t="str">
        <f>IFERROR(__xludf.DUMMYFUNCTION("""COMPUTED_VALUE"""),"#N/A")</f>
        <v>#N/A</v>
      </c>
    </row>
    <row r="1491">
      <c r="A1491" t="str">
        <f>IFERROR(__xludf.DUMMYFUNCTION("""COMPUTED_VALUE"""),"#N/A")</f>
        <v>#N/A</v>
      </c>
      <c r="B1491" s="451" t="str">
        <f>IFERROR(__xludf.DUMMYFUNCTION("""COMPUTED_VALUE"""),"#N/A")</f>
        <v>#N/A</v>
      </c>
    </row>
    <row r="1492">
      <c r="A1492" t="str">
        <f>IFERROR(__xludf.DUMMYFUNCTION("""COMPUTED_VALUE"""),"#N/A")</f>
        <v>#N/A</v>
      </c>
      <c r="B1492" s="451" t="str">
        <f>IFERROR(__xludf.DUMMYFUNCTION("""COMPUTED_VALUE"""),"#N/A")</f>
        <v>#N/A</v>
      </c>
    </row>
    <row r="1493">
      <c r="A1493" t="str">
        <f>IFERROR(__xludf.DUMMYFUNCTION("""COMPUTED_VALUE"""),"#N/A")</f>
        <v>#N/A</v>
      </c>
      <c r="B1493" s="451" t="str">
        <f>IFERROR(__xludf.DUMMYFUNCTION("""COMPUTED_VALUE"""),"#N/A")</f>
        <v>#N/A</v>
      </c>
    </row>
    <row r="1494">
      <c r="A1494" t="str">
        <f>IFERROR(__xludf.DUMMYFUNCTION("""COMPUTED_VALUE"""),"#N/A")</f>
        <v>#N/A</v>
      </c>
      <c r="B1494" s="451" t="str">
        <f>IFERROR(__xludf.DUMMYFUNCTION("""COMPUTED_VALUE"""),"#N/A")</f>
        <v>#N/A</v>
      </c>
    </row>
    <row r="1495">
      <c r="A1495" t="str">
        <f>IFERROR(__xludf.DUMMYFUNCTION("""COMPUTED_VALUE"""),"#N/A")</f>
        <v>#N/A</v>
      </c>
      <c r="B1495" s="451" t="str">
        <f>IFERROR(__xludf.DUMMYFUNCTION("""COMPUTED_VALUE"""),"#N/A")</f>
        <v>#N/A</v>
      </c>
    </row>
    <row r="1496">
      <c r="A1496" t="str">
        <f>IFERROR(__xludf.DUMMYFUNCTION("""COMPUTED_VALUE"""),"#N/A")</f>
        <v>#N/A</v>
      </c>
      <c r="B1496" s="451" t="str">
        <f>IFERROR(__xludf.DUMMYFUNCTION("""COMPUTED_VALUE"""),"#N/A")</f>
        <v>#N/A</v>
      </c>
    </row>
    <row r="1497">
      <c r="A1497" t="str">
        <f>IFERROR(__xludf.DUMMYFUNCTION("""COMPUTED_VALUE"""),"#N/A")</f>
        <v>#N/A</v>
      </c>
      <c r="B1497" s="451" t="str">
        <f>IFERROR(__xludf.DUMMYFUNCTION("""COMPUTED_VALUE"""),"#N/A")</f>
        <v>#N/A</v>
      </c>
    </row>
    <row r="1498">
      <c r="A1498" t="str">
        <f>IFERROR(__xludf.DUMMYFUNCTION("""COMPUTED_VALUE"""),"#N/A")</f>
        <v>#N/A</v>
      </c>
      <c r="B1498" s="451" t="str">
        <f>IFERROR(__xludf.DUMMYFUNCTION("""COMPUTED_VALUE"""),"#N/A")</f>
        <v>#N/A</v>
      </c>
    </row>
    <row r="1499">
      <c r="A1499" t="str">
        <f>IFERROR(__xludf.DUMMYFUNCTION("""COMPUTED_VALUE"""),"#N/A")</f>
        <v>#N/A</v>
      </c>
      <c r="B1499" s="451" t="str">
        <f>IFERROR(__xludf.DUMMYFUNCTION("""COMPUTED_VALUE"""),"#N/A")</f>
        <v>#N/A</v>
      </c>
    </row>
    <row r="1500">
      <c r="A1500" t="str">
        <f>IFERROR(__xludf.DUMMYFUNCTION("""COMPUTED_VALUE"""),"#N/A")</f>
        <v>#N/A</v>
      </c>
      <c r="B1500" s="451" t="str">
        <f>IFERROR(__xludf.DUMMYFUNCTION("""COMPUTED_VALUE"""),"#N/A")</f>
        <v>#N/A</v>
      </c>
    </row>
    <row r="1501">
      <c r="A1501" t="str">
        <f>IFERROR(__xludf.DUMMYFUNCTION("""COMPUTED_VALUE"""),"#N/A")</f>
        <v>#N/A</v>
      </c>
      <c r="B1501" s="451" t="str">
        <f>IFERROR(__xludf.DUMMYFUNCTION("""COMPUTED_VALUE"""),"#N/A")</f>
        <v>#N/A</v>
      </c>
    </row>
    <row r="1502">
      <c r="A1502" t="str">
        <f>IFERROR(__xludf.DUMMYFUNCTION("""COMPUTED_VALUE"""),"#N/A")</f>
        <v>#N/A</v>
      </c>
      <c r="B1502" s="451" t="str">
        <f>IFERROR(__xludf.DUMMYFUNCTION("""COMPUTED_VALUE"""),"#N/A")</f>
        <v>#N/A</v>
      </c>
    </row>
    <row r="1503">
      <c r="A1503" t="str">
        <f>IFERROR(__xludf.DUMMYFUNCTION("""COMPUTED_VALUE"""),"#N/A")</f>
        <v>#N/A</v>
      </c>
      <c r="B1503" s="451" t="str">
        <f>IFERROR(__xludf.DUMMYFUNCTION("""COMPUTED_VALUE"""),"#N/A")</f>
        <v>#N/A</v>
      </c>
    </row>
    <row r="1504">
      <c r="A1504" t="str">
        <f>IFERROR(__xludf.DUMMYFUNCTION("""COMPUTED_VALUE"""),"#N/A")</f>
        <v>#N/A</v>
      </c>
      <c r="B1504" s="451" t="str">
        <f>IFERROR(__xludf.DUMMYFUNCTION("""COMPUTED_VALUE"""),"#N/A")</f>
        <v>#N/A</v>
      </c>
    </row>
    <row r="1505">
      <c r="A1505" t="str">
        <f>IFERROR(__xludf.DUMMYFUNCTION("""COMPUTED_VALUE"""),"#N/A")</f>
        <v>#N/A</v>
      </c>
      <c r="B1505" s="451" t="str">
        <f>IFERROR(__xludf.DUMMYFUNCTION("""COMPUTED_VALUE"""),"#N/A")</f>
        <v>#N/A</v>
      </c>
    </row>
    <row r="1506">
      <c r="A1506" t="str">
        <f>IFERROR(__xludf.DUMMYFUNCTION("""COMPUTED_VALUE"""),"#N/A")</f>
        <v>#N/A</v>
      </c>
      <c r="B1506" s="451" t="str">
        <f>IFERROR(__xludf.DUMMYFUNCTION("""COMPUTED_VALUE"""),"#N/A")</f>
        <v>#N/A</v>
      </c>
    </row>
    <row r="1507">
      <c r="A1507" t="str">
        <f>IFERROR(__xludf.DUMMYFUNCTION("""COMPUTED_VALUE"""),"#N/A")</f>
        <v>#N/A</v>
      </c>
      <c r="B1507" s="451" t="str">
        <f>IFERROR(__xludf.DUMMYFUNCTION("""COMPUTED_VALUE"""),"#N/A")</f>
        <v>#N/A</v>
      </c>
    </row>
    <row r="1508">
      <c r="A1508" t="str">
        <f>IFERROR(__xludf.DUMMYFUNCTION("""COMPUTED_VALUE"""),"#N/A")</f>
        <v>#N/A</v>
      </c>
      <c r="B1508" s="451" t="str">
        <f>IFERROR(__xludf.DUMMYFUNCTION("""COMPUTED_VALUE"""),"#N/A")</f>
        <v>#N/A</v>
      </c>
    </row>
    <row r="1509">
      <c r="A1509" t="str">
        <f>IFERROR(__xludf.DUMMYFUNCTION("""COMPUTED_VALUE"""),"#N/A")</f>
        <v>#N/A</v>
      </c>
      <c r="B1509" s="451" t="str">
        <f>IFERROR(__xludf.DUMMYFUNCTION("""COMPUTED_VALUE"""),"#N/A")</f>
        <v>#N/A</v>
      </c>
    </row>
    <row r="1510">
      <c r="A1510" t="str">
        <f>IFERROR(__xludf.DUMMYFUNCTION("""COMPUTED_VALUE"""),"#N/A")</f>
        <v>#N/A</v>
      </c>
      <c r="B1510" s="451" t="str">
        <f>IFERROR(__xludf.DUMMYFUNCTION("""COMPUTED_VALUE"""),"#N/A")</f>
        <v>#N/A</v>
      </c>
    </row>
    <row r="1511">
      <c r="A1511" t="str">
        <f>IFERROR(__xludf.DUMMYFUNCTION("""COMPUTED_VALUE"""),"#N/A")</f>
        <v>#N/A</v>
      </c>
      <c r="B1511" s="451" t="str">
        <f>IFERROR(__xludf.DUMMYFUNCTION("""COMPUTED_VALUE"""),"#N/A")</f>
        <v>#N/A</v>
      </c>
    </row>
    <row r="1512">
      <c r="A1512" t="str">
        <f>IFERROR(__xludf.DUMMYFUNCTION("""COMPUTED_VALUE"""),"#N/A")</f>
        <v>#N/A</v>
      </c>
      <c r="B1512" s="451" t="str">
        <f>IFERROR(__xludf.DUMMYFUNCTION("""COMPUTED_VALUE"""),"#N/A")</f>
        <v>#N/A</v>
      </c>
    </row>
    <row r="1513">
      <c r="A1513" t="str">
        <f>IFERROR(__xludf.DUMMYFUNCTION("""COMPUTED_VALUE"""),"#N/A")</f>
        <v>#N/A</v>
      </c>
      <c r="B1513" s="451" t="str">
        <f>IFERROR(__xludf.DUMMYFUNCTION("""COMPUTED_VALUE"""),"#N/A")</f>
        <v>#N/A</v>
      </c>
    </row>
    <row r="1514">
      <c r="A1514" t="str">
        <f>IFERROR(__xludf.DUMMYFUNCTION("""COMPUTED_VALUE"""),"#N/A")</f>
        <v>#N/A</v>
      </c>
      <c r="B1514" s="451" t="str">
        <f>IFERROR(__xludf.DUMMYFUNCTION("""COMPUTED_VALUE"""),"#N/A")</f>
        <v>#N/A</v>
      </c>
    </row>
    <row r="1515">
      <c r="A1515" t="str">
        <f>IFERROR(__xludf.DUMMYFUNCTION("""COMPUTED_VALUE"""),"#N/A")</f>
        <v>#N/A</v>
      </c>
      <c r="B1515" s="451" t="str">
        <f>IFERROR(__xludf.DUMMYFUNCTION("""COMPUTED_VALUE"""),"#N/A")</f>
        <v>#N/A</v>
      </c>
    </row>
    <row r="1516">
      <c r="A1516" t="str">
        <f>IFERROR(__xludf.DUMMYFUNCTION("""COMPUTED_VALUE"""),"#N/A")</f>
        <v>#N/A</v>
      </c>
      <c r="B1516" s="451" t="str">
        <f>IFERROR(__xludf.DUMMYFUNCTION("""COMPUTED_VALUE"""),"#N/A")</f>
        <v>#N/A</v>
      </c>
    </row>
    <row r="1517">
      <c r="A1517" t="str">
        <f>IFERROR(__xludf.DUMMYFUNCTION("""COMPUTED_VALUE"""),"#N/A")</f>
        <v>#N/A</v>
      </c>
      <c r="B1517" s="451" t="str">
        <f>IFERROR(__xludf.DUMMYFUNCTION("""COMPUTED_VALUE"""),"#N/A")</f>
        <v>#N/A</v>
      </c>
    </row>
    <row r="1518">
      <c r="A1518" t="str">
        <f>IFERROR(__xludf.DUMMYFUNCTION("""COMPUTED_VALUE"""),"#N/A")</f>
        <v>#N/A</v>
      </c>
      <c r="B1518" s="451" t="str">
        <f>IFERROR(__xludf.DUMMYFUNCTION("""COMPUTED_VALUE"""),"#N/A")</f>
        <v>#N/A</v>
      </c>
    </row>
    <row r="1519">
      <c r="A1519" t="str">
        <f>IFERROR(__xludf.DUMMYFUNCTION("""COMPUTED_VALUE"""),"#N/A")</f>
        <v>#N/A</v>
      </c>
      <c r="B1519" s="451" t="str">
        <f>IFERROR(__xludf.DUMMYFUNCTION("""COMPUTED_VALUE"""),"#N/A")</f>
        <v>#N/A</v>
      </c>
    </row>
    <row r="1520">
      <c r="A1520" t="str">
        <f>IFERROR(__xludf.DUMMYFUNCTION("""COMPUTED_VALUE"""),"#N/A")</f>
        <v>#N/A</v>
      </c>
      <c r="B1520" s="451" t="str">
        <f>IFERROR(__xludf.DUMMYFUNCTION("""COMPUTED_VALUE"""),"#N/A")</f>
        <v>#N/A</v>
      </c>
    </row>
    <row r="1521">
      <c r="A1521" t="str">
        <f>IFERROR(__xludf.DUMMYFUNCTION("""COMPUTED_VALUE"""),"#N/A")</f>
        <v>#N/A</v>
      </c>
      <c r="B1521" s="451" t="str">
        <f>IFERROR(__xludf.DUMMYFUNCTION("""COMPUTED_VALUE"""),"#N/A")</f>
        <v>#N/A</v>
      </c>
    </row>
    <row r="1522">
      <c r="A1522" t="str">
        <f>IFERROR(__xludf.DUMMYFUNCTION("""COMPUTED_VALUE"""),"#N/A")</f>
        <v>#N/A</v>
      </c>
      <c r="B1522" s="451" t="str">
        <f>IFERROR(__xludf.DUMMYFUNCTION("""COMPUTED_VALUE"""),"#N/A")</f>
        <v>#N/A</v>
      </c>
    </row>
    <row r="1523">
      <c r="A1523" t="str">
        <f>IFERROR(__xludf.DUMMYFUNCTION("""COMPUTED_VALUE"""),"#N/A")</f>
        <v>#N/A</v>
      </c>
      <c r="B1523" s="451" t="str">
        <f>IFERROR(__xludf.DUMMYFUNCTION("""COMPUTED_VALUE"""),"#N/A")</f>
        <v>#N/A</v>
      </c>
    </row>
    <row r="1524">
      <c r="A1524" t="str">
        <f>IFERROR(__xludf.DUMMYFUNCTION("""COMPUTED_VALUE"""),"#N/A")</f>
        <v>#N/A</v>
      </c>
      <c r="B1524" s="451" t="str">
        <f>IFERROR(__xludf.DUMMYFUNCTION("""COMPUTED_VALUE"""),"#N/A")</f>
        <v>#N/A</v>
      </c>
    </row>
    <row r="1525">
      <c r="A1525" t="str">
        <f>IFERROR(__xludf.DUMMYFUNCTION("""COMPUTED_VALUE"""),"#N/A")</f>
        <v>#N/A</v>
      </c>
      <c r="B1525" s="451" t="str">
        <f>IFERROR(__xludf.DUMMYFUNCTION("""COMPUTED_VALUE"""),"#N/A")</f>
        <v>#N/A</v>
      </c>
    </row>
    <row r="1526">
      <c r="A1526" t="str">
        <f>IFERROR(__xludf.DUMMYFUNCTION("""COMPUTED_VALUE"""),"#N/A")</f>
        <v>#N/A</v>
      </c>
      <c r="B1526" s="451" t="str">
        <f>IFERROR(__xludf.DUMMYFUNCTION("""COMPUTED_VALUE"""),"#N/A")</f>
        <v>#N/A</v>
      </c>
    </row>
    <row r="1527">
      <c r="A1527" t="str">
        <f>IFERROR(__xludf.DUMMYFUNCTION("""COMPUTED_VALUE"""),"#N/A")</f>
        <v>#N/A</v>
      </c>
      <c r="B1527" s="451" t="str">
        <f>IFERROR(__xludf.DUMMYFUNCTION("""COMPUTED_VALUE"""),"#N/A")</f>
        <v>#N/A</v>
      </c>
    </row>
    <row r="1528">
      <c r="A1528" t="str">
        <f>IFERROR(__xludf.DUMMYFUNCTION("""COMPUTED_VALUE"""),"#N/A")</f>
        <v>#N/A</v>
      </c>
      <c r="B1528" s="451" t="str">
        <f>IFERROR(__xludf.DUMMYFUNCTION("""COMPUTED_VALUE"""),"#N/A")</f>
        <v>#N/A</v>
      </c>
    </row>
    <row r="1529">
      <c r="A1529" t="str">
        <f>IFERROR(__xludf.DUMMYFUNCTION("""COMPUTED_VALUE"""),"#N/A")</f>
        <v>#N/A</v>
      </c>
      <c r="B1529" s="451" t="str">
        <f>IFERROR(__xludf.DUMMYFUNCTION("""COMPUTED_VALUE"""),"#N/A")</f>
        <v>#N/A</v>
      </c>
    </row>
    <row r="1530">
      <c r="A1530" t="str">
        <f>IFERROR(__xludf.DUMMYFUNCTION("""COMPUTED_VALUE"""),"#N/A")</f>
        <v>#N/A</v>
      </c>
      <c r="B1530" s="451" t="str">
        <f>IFERROR(__xludf.DUMMYFUNCTION("""COMPUTED_VALUE"""),"#N/A")</f>
        <v>#N/A</v>
      </c>
    </row>
    <row r="1531">
      <c r="A1531" t="str">
        <f>IFERROR(__xludf.DUMMYFUNCTION("""COMPUTED_VALUE"""),"#N/A")</f>
        <v>#N/A</v>
      </c>
      <c r="B1531" s="451" t="str">
        <f>IFERROR(__xludf.DUMMYFUNCTION("""COMPUTED_VALUE"""),"#N/A")</f>
        <v>#N/A</v>
      </c>
    </row>
    <row r="1532">
      <c r="A1532" t="str">
        <f>IFERROR(__xludf.DUMMYFUNCTION("""COMPUTED_VALUE"""),"#N/A")</f>
        <v>#N/A</v>
      </c>
      <c r="B1532" s="451" t="str">
        <f>IFERROR(__xludf.DUMMYFUNCTION("""COMPUTED_VALUE"""),"#N/A")</f>
        <v>#N/A</v>
      </c>
    </row>
    <row r="1533">
      <c r="A1533" t="str">
        <f>IFERROR(__xludf.DUMMYFUNCTION("""COMPUTED_VALUE"""),"#N/A")</f>
        <v>#N/A</v>
      </c>
      <c r="B1533" s="451" t="str">
        <f>IFERROR(__xludf.DUMMYFUNCTION("""COMPUTED_VALUE"""),"#N/A")</f>
        <v>#N/A</v>
      </c>
    </row>
    <row r="1534">
      <c r="A1534" t="str">
        <f>IFERROR(__xludf.DUMMYFUNCTION("""COMPUTED_VALUE"""),"#N/A")</f>
        <v>#N/A</v>
      </c>
      <c r="B1534" s="451" t="str">
        <f>IFERROR(__xludf.DUMMYFUNCTION("""COMPUTED_VALUE"""),"#N/A")</f>
        <v>#N/A</v>
      </c>
    </row>
    <row r="1535">
      <c r="A1535" t="str">
        <f>IFERROR(__xludf.DUMMYFUNCTION("""COMPUTED_VALUE"""),"#N/A")</f>
        <v>#N/A</v>
      </c>
      <c r="B1535" s="451" t="str">
        <f>IFERROR(__xludf.DUMMYFUNCTION("""COMPUTED_VALUE"""),"#N/A")</f>
        <v>#N/A</v>
      </c>
    </row>
    <row r="1536">
      <c r="A1536" t="str">
        <f>IFERROR(__xludf.DUMMYFUNCTION("""COMPUTED_VALUE"""),"#N/A")</f>
        <v>#N/A</v>
      </c>
      <c r="B1536" s="451" t="str">
        <f>IFERROR(__xludf.DUMMYFUNCTION("""COMPUTED_VALUE"""),"#N/A")</f>
        <v>#N/A</v>
      </c>
    </row>
    <row r="1537">
      <c r="A1537" t="str">
        <f>IFERROR(__xludf.DUMMYFUNCTION("""COMPUTED_VALUE"""),"#N/A")</f>
        <v>#N/A</v>
      </c>
      <c r="B1537" s="451" t="str">
        <f>IFERROR(__xludf.DUMMYFUNCTION("""COMPUTED_VALUE"""),"#N/A")</f>
        <v>#N/A</v>
      </c>
    </row>
    <row r="1538">
      <c r="A1538" t="str">
        <f>IFERROR(__xludf.DUMMYFUNCTION("""COMPUTED_VALUE"""),"#N/A")</f>
        <v>#N/A</v>
      </c>
      <c r="B1538" s="451" t="str">
        <f>IFERROR(__xludf.DUMMYFUNCTION("""COMPUTED_VALUE"""),"#N/A")</f>
        <v>#N/A</v>
      </c>
    </row>
    <row r="1539">
      <c r="A1539" t="str">
        <f>IFERROR(__xludf.DUMMYFUNCTION("""COMPUTED_VALUE"""),"#N/A")</f>
        <v>#N/A</v>
      </c>
      <c r="B1539" s="451" t="str">
        <f>IFERROR(__xludf.DUMMYFUNCTION("""COMPUTED_VALUE"""),"#N/A")</f>
        <v>#N/A</v>
      </c>
    </row>
    <row r="1540">
      <c r="A1540" t="str">
        <f>IFERROR(__xludf.DUMMYFUNCTION("""COMPUTED_VALUE"""),"#N/A")</f>
        <v>#N/A</v>
      </c>
      <c r="B1540" s="451" t="str">
        <f>IFERROR(__xludf.DUMMYFUNCTION("""COMPUTED_VALUE"""),"#N/A")</f>
        <v>#N/A</v>
      </c>
    </row>
    <row r="1541">
      <c r="A1541" t="str">
        <f>IFERROR(__xludf.DUMMYFUNCTION("""COMPUTED_VALUE"""),"#N/A")</f>
        <v>#N/A</v>
      </c>
      <c r="B1541" s="451" t="str">
        <f>IFERROR(__xludf.DUMMYFUNCTION("""COMPUTED_VALUE"""),"#N/A")</f>
        <v>#N/A</v>
      </c>
    </row>
    <row r="1542">
      <c r="A1542" t="str">
        <f>IFERROR(__xludf.DUMMYFUNCTION("""COMPUTED_VALUE"""),"#N/A")</f>
        <v>#N/A</v>
      </c>
      <c r="B1542" s="451" t="str">
        <f>IFERROR(__xludf.DUMMYFUNCTION("""COMPUTED_VALUE"""),"#N/A")</f>
        <v>#N/A</v>
      </c>
    </row>
    <row r="1543">
      <c r="A1543" t="str">
        <f>IFERROR(__xludf.DUMMYFUNCTION("""COMPUTED_VALUE"""),"#N/A")</f>
        <v>#N/A</v>
      </c>
      <c r="B1543" s="451" t="str">
        <f>IFERROR(__xludf.DUMMYFUNCTION("""COMPUTED_VALUE"""),"#N/A")</f>
        <v>#N/A</v>
      </c>
    </row>
    <row r="1544">
      <c r="A1544" t="str">
        <f>IFERROR(__xludf.DUMMYFUNCTION("""COMPUTED_VALUE"""),"#N/A")</f>
        <v>#N/A</v>
      </c>
      <c r="B1544" s="451" t="str">
        <f>IFERROR(__xludf.DUMMYFUNCTION("""COMPUTED_VALUE"""),"#N/A")</f>
        <v>#N/A</v>
      </c>
    </row>
    <row r="1545">
      <c r="A1545" t="str">
        <f>IFERROR(__xludf.DUMMYFUNCTION("""COMPUTED_VALUE"""),"#N/A")</f>
        <v>#N/A</v>
      </c>
      <c r="B1545" s="451" t="str">
        <f>IFERROR(__xludf.DUMMYFUNCTION("""COMPUTED_VALUE"""),"#N/A")</f>
        <v>#N/A</v>
      </c>
    </row>
    <row r="1546">
      <c r="A1546" t="str">
        <f>IFERROR(__xludf.DUMMYFUNCTION("""COMPUTED_VALUE"""),"#N/A")</f>
        <v>#N/A</v>
      </c>
      <c r="B1546" s="451" t="str">
        <f>IFERROR(__xludf.DUMMYFUNCTION("""COMPUTED_VALUE"""),"#N/A")</f>
        <v>#N/A</v>
      </c>
    </row>
    <row r="1547">
      <c r="A1547" t="str">
        <f>IFERROR(__xludf.DUMMYFUNCTION("""COMPUTED_VALUE"""),"#N/A")</f>
        <v>#N/A</v>
      </c>
      <c r="B1547" s="451" t="str">
        <f>IFERROR(__xludf.DUMMYFUNCTION("""COMPUTED_VALUE"""),"#N/A")</f>
        <v>#N/A</v>
      </c>
    </row>
    <row r="1548">
      <c r="A1548" t="str">
        <f>IFERROR(__xludf.DUMMYFUNCTION("""COMPUTED_VALUE"""),"#N/A")</f>
        <v>#N/A</v>
      </c>
      <c r="B1548" s="451" t="str">
        <f>IFERROR(__xludf.DUMMYFUNCTION("""COMPUTED_VALUE"""),"#N/A")</f>
        <v>#N/A</v>
      </c>
    </row>
    <row r="1549">
      <c r="A1549" t="str">
        <f>IFERROR(__xludf.DUMMYFUNCTION("""COMPUTED_VALUE"""),"#N/A")</f>
        <v>#N/A</v>
      </c>
      <c r="B1549" s="451" t="str">
        <f>IFERROR(__xludf.DUMMYFUNCTION("""COMPUTED_VALUE"""),"#N/A")</f>
        <v>#N/A</v>
      </c>
    </row>
    <row r="1550">
      <c r="A1550" t="str">
        <f>IFERROR(__xludf.DUMMYFUNCTION("""COMPUTED_VALUE"""),"#N/A")</f>
        <v>#N/A</v>
      </c>
      <c r="B1550" s="451" t="str">
        <f>IFERROR(__xludf.DUMMYFUNCTION("""COMPUTED_VALUE"""),"#N/A")</f>
        <v>#N/A</v>
      </c>
    </row>
    <row r="1551">
      <c r="A1551" t="str">
        <f>IFERROR(__xludf.DUMMYFUNCTION("""COMPUTED_VALUE"""),"#N/A")</f>
        <v>#N/A</v>
      </c>
      <c r="B1551" s="451" t="str">
        <f>IFERROR(__xludf.DUMMYFUNCTION("""COMPUTED_VALUE"""),"#N/A")</f>
        <v>#N/A</v>
      </c>
    </row>
    <row r="1552">
      <c r="A1552" t="str">
        <f>IFERROR(__xludf.DUMMYFUNCTION("""COMPUTED_VALUE"""),"#N/A")</f>
        <v>#N/A</v>
      </c>
      <c r="B1552" s="451" t="str">
        <f>IFERROR(__xludf.DUMMYFUNCTION("""COMPUTED_VALUE"""),"#N/A")</f>
        <v>#N/A</v>
      </c>
    </row>
    <row r="1553">
      <c r="A1553" t="str">
        <f>IFERROR(__xludf.DUMMYFUNCTION("""COMPUTED_VALUE"""),"#N/A")</f>
        <v>#N/A</v>
      </c>
      <c r="B1553" s="451" t="str">
        <f>IFERROR(__xludf.DUMMYFUNCTION("""COMPUTED_VALUE"""),"#N/A")</f>
        <v>#N/A</v>
      </c>
    </row>
    <row r="1554">
      <c r="A1554" t="str">
        <f>IFERROR(__xludf.DUMMYFUNCTION("""COMPUTED_VALUE"""),"#N/A")</f>
        <v>#N/A</v>
      </c>
      <c r="B1554" s="451" t="str">
        <f>IFERROR(__xludf.DUMMYFUNCTION("""COMPUTED_VALUE"""),"#N/A")</f>
        <v>#N/A</v>
      </c>
    </row>
    <row r="1555">
      <c r="A1555" t="str">
        <f>IFERROR(__xludf.DUMMYFUNCTION("""COMPUTED_VALUE"""),"#N/A")</f>
        <v>#N/A</v>
      </c>
      <c r="B1555" s="451" t="str">
        <f>IFERROR(__xludf.DUMMYFUNCTION("""COMPUTED_VALUE"""),"#N/A")</f>
        <v>#N/A</v>
      </c>
    </row>
    <row r="1556">
      <c r="A1556" t="str">
        <f>IFERROR(__xludf.DUMMYFUNCTION("""COMPUTED_VALUE"""),"#N/A")</f>
        <v>#N/A</v>
      </c>
      <c r="B1556" s="451" t="str">
        <f>IFERROR(__xludf.DUMMYFUNCTION("""COMPUTED_VALUE"""),"#N/A")</f>
        <v>#N/A</v>
      </c>
    </row>
    <row r="1557">
      <c r="A1557" t="str">
        <f>IFERROR(__xludf.DUMMYFUNCTION("""COMPUTED_VALUE"""),"#N/A")</f>
        <v>#N/A</v>
      </c>
      <c r="B1557" s="451" t="str">
        <f>IFERROR(__xludf.DUMMYFUNCTION("""COMPUTED_VALUE"""),"#N/A")</f>
        <v>#N/A</v>
      </c>
    </row>
    <row r="1558">
      <c r="A1558" t="str">
        <f>IFERROR(__xludf.DUMMYFUNCTION("""COMPUTED_VALUE"""),"#N/A")</f>
        <v>#N/A</v>
      </c>
      <c r="B1558" s="451" t="str">
        <f>IFERROR(__xludf.DUMMYFUNCTION("""COMPUTED_VALUE"""),"#N/A")</f>
        <v>#N/A</v>
      </c>
    </row>
    <row r="1559">
      <c r="A1559" t="str">
        <f>IFERROR(__xludf.DUMMYFUNCTION("""COMPUTED_VALUE"""),"#N/A")</f>
        <v>#N/A</v>
      </c>
      <c r="B1559" s="451" t="str">
        <f>IFERROR(__xludf.DUMMYFUNCTION("""COMPUTED_VALUE"""),"#N/A")</f>
        <v>#N/A</v>
      </c>
    </row>
    <row r="1560">
      <c r="A1560" t="str">
        <f>IFERROR(__xludf.DUMMYFUNCTION("""COMPUTED_VALUE"""),"#N/A")</f>
        <v>#N/A</v>
      </c>
      <c r="B1560" s="451" t="str">
        <f>IFERROR(__xludf.DUMMYFUNCTION("""COMPUTED_VALUE"""),"#N/A")</f>
        <v>#N/A</v>
      </c>
    </row>
    <row r="1561">
      <c r="A1561" t="str">
        <f>IFERROR(__xludf.DUMMYFUNCTION("""COMPUTED_VALUE"""),"#N/A")</f>
        <v>#N/A</v>
      </c>
      <c r="B1561" s="451" t="str">
        <f>IFERROR(__xludf.DUMMYFUNCTION("""COMPUTED_VALUE"""),"#N/A")</f>
        <v>#N/A</v>
      </c>
    </row>
    <row r="1562">
      <c r="A1562" t="str">
        <f>IFERROR(__xludf.DUMMYFUNCTION("""COMPUTED_VALUE"""),"#N/A")</f>
        <v>#N/A</v>
      </c>
      <c r="B1562" s="451" t="str">
        <f>IFERROR(__xludf.DUMMYFUNCTION("""COMPUTED_VALUE"""),"#N/A")</f>
        <v>#N/A</v>
      </c>
    </row>
    <row r="1563">
      <c r="A1563" t="str">
        <f>IFERROR(__xludf.DUMMYFUNCTION("""COMPUTED_VALUE"""),"#N/A")</f>
        <v>#N/A</v>
      </c>
      <c r="B1563" s="451" t="str">
        <f>IFERROR(__xludf.DUMMYFUNCTION("""COMPUTED_VALUE"""),"#N/A")</f>
        <v>#N/A</v>
      </c>
    </row>
    <row r="1564">
      <c r="A1564" t="str">
        <f>IFERROR(__xludf.DUMMYFUNCTION("""COMPUTED_VALUE"""),"#N/A")</f>
        <v>#N/A</v>
      </c>
      <c r="B1564" s="451" t="str">
        <f>IFERROR(__xludf.DUMMYFUNCTION("""COMPUTED_VALUE"""),"#N/A")</f>
        <v>#N/A</v>
      </c>
    </row>
    <row r="1565">
      <c r="A1565" t="str">
        <f>IFERROR(__xludf.DUMMYFUNCTION("""COMPUTED_VALUE"""),"#N/A")</f>
        <v>#N/A</v>
      </c>
      <c r="B1565" s="451" t="str">
        <f>IFERROR(__xludf.DUMMYFUNCTION("""COMPUTED_VALUE"""),"#N/A")</f>
        <v>#N/A</v>
      </c>
    </row>
    <row r="1566">
      <c r="A1566" t="str">
        <f>IFERROR(__xludf.DUMMYFUNCTION("""COMPUTED_VALUE"""),"#N/A")</f>
        <v>#N/A</v>
      </c>
      <c r="B1566" s="451" t="str">
        <f>IFERROR(__xludf.DUMMYFUNCTION("""COMPUTED_VALUE"""),"#N/A")</f>
        <v>#N/A</v>
      </c>
    </row>
    <row r="1567">
      <c r="A1567" t="str">
        <f>IFERROR(__xludf.DUMMYFUNCTION("""COMPUTED_VALUE"""),"#N/A")</f>
        <v>#N/A</v>
      </c>
      <c r="B1567" s="451" t="str">
        <f>IFERROR(__xludf.DUMMYFUNCTION("""COMPUTED_VALUE"""),"#N/A")</f>
        <v>#N/A</v>
      </c>
    </row>
    <row r="1568">
      <c r="A1568" t="str">
        <f>IFERROR(__xludf.DUMMYFUNCTION("""COMPUTED_VALUE"""),"#N/A")</f>
        <v>#N/A</v>
      </c>
      <c r="B1568" s="451" t="str">
        <f>IFERROR(__xludf.DUMMYFUNCTION("""COMPUTED_VALUE"""),"#N/A")</f>
        <v>#N/A</v>
      </c>
    </row>
    <row r="1569">
      <c r="A1569" t="str">
        <f>IFERROR(__xludf.DUMMYFUNCTION("""COMPUTED_VALUE"""),"#N/A")</f>
        <v>#N/A</v>
      </c>
      <c r="B1569" s="451" t="str">
        <f>IFERROR(__xludf.DUMMYFUNCTION("""COMPUTED_VALUE"""),"#N/A")</f>
        <v>#N/A</v>
      </c>
    </row>
    <row r="1570">
      <c r="A1570" t="str">
        <f>IFERROR(__xludf.DUMMYFUNCTION("""COMPUTED_VALUE"""),"#N/A")</f>
        <v>#N/A</v>
      </c>
      <c r="B1570" s="451" t="str">
        <f>IFERROR(__xludf.DUMMYFUNCTION("""COMPUTED_VALUE"""),"#N/A")</f>
        <v>#N/A</v>
      </c>
    </row>
    <row r="1571">
      <c r="A1571" t="str">
        <f>IFERROR(__xludf.DUMMYFUNCTION("""COMPUTED_VALUE"""),"#N/A")</f>
        <v>#N/A</v>
      </c>
      <c r="B1571" s="451" t="str">
        <f>IFERROR(__xludf.DUMMYFUNCTION("""COMPUTED_VALUE"""),"#N/A")</f>
        <v>#N/A</v>
      </c>
    </row>
    <row r="1572">
      <c r="A1572" t="str">
        <f>IFERROR(__xludf.DUMMYFUNCTION("""COMPUTED_VALUE"""),"#N/A")</f>
        <v>#N/A</v>
      </c>
      <c r="B1572" s="451" t="str">
        <f>IFERROR(__xludf.DUMMYFUNCTION("""COMPUTED_VALUE"""),"#N/A")</f>
        <v>#N/A</v>
      </c>
    </row>
    <row r="1573">
      <c r="A1573" t="str">
        <f>IFERROR(__xludf.DUMMYFUNCTION("""COMPUTED_VALUE"""),"#N/A")</f>
        <v>#N/A</v>
      </c>
      <c r="B1573" s="451" t="str">
        <f>IFERROR(__xludf.DUMMYFUNCTION("""COMPUTED_VALUE"""),"#N/A")</f>
        <v>#N/A</v>
      </c>
    </row>
    <row r="1574">
      <c r="A1574" t="str">
        <f>IFERROR(__xludf.DUMMYFUNCTION("""COMPUTED_VALUE"""),"#N/A")</f>
        <v>#N/A</v>
      </c>
      <c r="B1574" s="451" t="str">
        <f>IFERROR(__xludf.DUMMYFUNCTION("""COMPUTED_VALUE"""),"#N/A")</f>
        <v>#N/A</v>
      </c>
    </row>
    <row r="1575">
      <c r="A1575" t="str">
        <f>IFERROR(__xludf.DUMMYFUNCTION("""COMPUTED_VALUE"""),"#N/A")</f>
        <v>#N/A</v>
      </c>
      <c r="B1575" s="451" t="str">
        <f>IFERROR(__xludf.DUMMYFUNCTION("""COMPUTED_VALUE"""),"#N/A")</f>
        <v>#N/A</v>
      </c>
    </row>
    <row r="1576">
      <c r="A1576" t="str">
        <f>IFERROR(__xludf.DUMMYFUNCTION("""COMPUTED_VALUE"""),"#N/A")</f>
        <v>#N/A</v>
      </c>
      <c r="B1576" s="451" t="str">
        <f>IFERROR(__xludf.DUMMYFUNCTION("""COMPUTED_VALUE"""),"#N/A")</f>
        <v>#N/A</v>
      </c>
    </row>
    <row r="1577">
      <c r="A1577" t="str">
        <f>IFERROR(__xludf.DUMMYFUNCTION("""COMPUTED_VALUE"""),"#N/A")</f>
        <v>#N/A</v>
      </c>
      <c r="B1577" s="451" t="str">
        <f>IFERROR(__xludf.DUMMYFUNCTION("""COMPUTED_VALUE"""),"#N/A")</f>
        <v>#N/A</v>
      </c>
    </row>
    <row r="1578">
      <c r="A1578" t="str">
        <f>IFERROR(__xludf.DUMMYFUNCTION("""COMPUTED_VALUE"""),"#N/A")</f>
        <v>#N/A</v>
      </c>
      <c r="B1578" s="451" t="str">
        <f>IFERROR(__xludf.DUMMYFUNCTION("""COMPUTED_VALUE"""),"#N/A")</f>
        <v>#N/A</v>
      </c>
    </row>
    <row r="1579">
      <c r="A1579" t="str">
        <f>IFERROR(__xludf.DUMMYFUNCTION("""COMPUTED_VALUE"""),"#N/A")</f>
        <v>#N/A</v>
      </c>
      <c r="B1579" s="451" t="str">
        <f>IFERROR(__xludf.DUMMYFUNCTION("""COMPUTED_VALUE"""),"#N/A")</f>
        <v>#N/A</v>
      </c>
    </row>
    <row r="1580">
      <c r="A1580" t="str">
        <f>IFERROR(__xludf.DUMMYFUNCTION("""COMPUTED_VALUE"""),"#N/A")</f>
        <v>#N/A</v>
      </c>
      <c r="B1580" s="451" t="str">
        <f>IFERROR(__xludf.DUMMYFUNCTION("""COMPUTED_VALUE"""),"#N/A")</f>
        <v>#N/A</v>
      </c>
    </row>
    <row r="1581">
      <c r="A1581" t="str">
        <f>IFERROR(__xludf.DUMMYFUNCTION("""COMPUTED_VALUE"""),"#N/A")</f>
        <v>#N/A</v>
      </c>
      <c r="B1581" s="451" t="str">
        <f>IFERROR(__xludf.DUMMYFUNCTION("""COMPUTED_VALUE"""),"#N/A")</f>
        <v>#N/A</v>
      </c>
    </row>
    <row r="1582">
      <c r="A1582" t="str">
        <f>IFERROR(__xludf.DUMMYFUNCTION("""COMPUTED_VALUE"""),"#N/A")</f>
        <v>#N/A</v>
      </c>
      <c r="B1582" s="451" t="str">
        <f>IFERROR(__xludf.DUMMYFUNCTION("""COMPUTED_VALUE"""),"#N/A")</f>
        <v>#N/A</v>
      </c>
    </row>
    <row r="1583">
      <c r="A1583" t="str">
        <f>IFERROR(__xludf.DUMMYFUNCTION("""COMPUTED_VALUE"""),"#N/A")</f>
        <v>#N/A</v>
      </c>
      <c r="B1583" s="451" t="str">
        <f>IFERROR(__xludf.DUMMYFUNCTION("""COMPUTED_VALUE"""),"#N/A")</f>
        <v>#N/A</v>
      </c>
    </row>
    <row r="1584">
      <c r="A1584" t="str">
        <f>IFERROR(__xludf.DUMMYFUNCTION("""COMPUTED_VALUE"""),"#N/A")</f>
        <v>#N/A</v>
      </c>
      <c r="B1584" s="451" t="str">
        <f>IFERROR(__xludf.DUMMYFUNCTION("""COMPUTED_VALUE"""),"#N/A")</f>
        <v>#N/A</v>
      </c>
    </row>
    <row r="1585">
      <c r="A1585" t="str">
        <f>IFERROR(__xludf.DUMMYFUNCTION("""COMPUTED_VALUE"""),"#N/A")</f>
        <v>#N/A</v>
      </c>
      <c r="B1585" s="451" t="str">
        <f>IFERROR(__xludf.DUMMYFUNCTION("""COMPUTED_VALUE"""),"#N/A")</f>
        <v>#N/A</v>
      </c>
    </row>
    <row r="1586">
      <c r="A1586" t="str">
        <f>IFERROR(__xludf.DUMMYFUNCTION("""COMPUTED_VALUE"""),"#N/A")</f>
        <v>#N/A</v>
      </c>
      <c r="B1586" s="451" t="str">
        <f>IFERROR(__xludf.DUMMYFUNCTION("""COMPUTED_VALUE"""),"#N/A")</f>
        <v>#N/A</v>
      </c>
    </row>
    <row r="1587">
      <c r="A1587" t="str">
        <f>IFERROR(__xludf.DUMMYFUNCTION("""COMPUTED_VALUE"""),"#N/A")</f>
        <v>#N/A</v>
      </c>
      <c r="B1587" s="451" t="str">
        <f>IFERROR(__xludf.DUMMYFUNCTION("""COMPUTED_VALUE"""),"#N/A")</f>
        <v>#N/A</v>
      </c>
    </row>
    <row r="1588">
      <c r="A1588" t="str">
        <f>IFERROR(__xludf.DUMMYFUNCTION("""COMPUTED_VALUE"""),"#N/A")</f>
        <v>#N/A</v>
      </c>
      <c r="B1588" s="451" t="str">
        <f>IFERROR(__xludf.DUMMYFUNCTION("""COMPUTED_VALUE"""),"#N/A")</f>
        <v>#N/A</v>
      </c>
    </row>
    <row r="1589">
      <c r="A1589" t="str">
        <f>IFERROR(__xludf.DUMMYFUNCTION("""COMPUTED_VALUE"""),"#N/A")</f>
        <v>#N/A</v>
      </c>
      <c r="B1589" s="451" t="str">
        <f>IFERROR(__xludf.DUMMYFUNCTION("""COMPUTED_VALUE"""),"#N/A")</f>
        <v>#N/A</v>
      </c>
    </row>
    <row r="1590">
      <c r="A1590" t="str">
        <f>IFERROR(__xludf.DUMMYFUNCTION("""COMPUTED_VALUE"""),"#N/A")</f>
        <v>#N/A</v>
      </c>
      <c r="B1590" s="451" t="str">
        <f>IFERROR(__xludf.DUMMYFUNCTION("""COMPUTED_VALUE"""),"#N/A")</f>
        <v>#N/A</v>
      </c>
    </row>
    <row r="1591">
      <c r="A1591" t="str">
        <f>IFERROR(__xludf.DUMMYFUNCTION("""COMPUTED_VALUE"""),"#N/A")</f>
        <v>#N/A</v>
      </c>
      <c r="B1591" s="451" t="str">
        <f>IFERROR(__xludf.DUMMYFUNCTION("""COMPUTED_VALUE"""),"#N/A")</f>
        <v>#N/A</v>
      </c>
    </row>
    <row r="1592">
      <c r="A1592" t="str">
        <f>IFERROR(__xludf.DUMMYFUNCTION("""COMPUTED_VALUE"""),"#N/A")</f>
        <v>#N/A</v>
      </c>
      <c r="B1592" s="451" t="str">
        <f>IFERROR(__xludf.DUMMYFUNCTION("""COMPUTED_VALUE"""),"#N/A")</f>
        <v>#N/A</v>
      </c>
    </row>
    <row r="1593">
      <c r="A1593" t="str">
        <f>IFERROR(__xludf.DUMMYFUNCTION("""COMPUTED_VALUE"""),"#N/A")</f>
        <v>#N/A</v>
      </c>
      <c r="B1593" s="451" t="str">
        <f>IFERROR(__xludf.DUMMYFUNCTION("""COMPUTED_VALUE"""),"#N/A")</f>
        <v>#N/A</v>
      </c>
    </row>
    <row r="1594">
      <c r="A1594" t="str">
        <f>IFERROR(__xludf.DUMMYFUNCTION("""COMPUTED_VALUE"""),"#N/A")</f>
        <v>#N/A</v>
      </c>
      <c r="B1594" s="451" t="str">
        <f>IFERROR(__xludf.DUMMYFUNCTION("""COMPUTED_VALUE"""),"#N/A")</f>
        <v>#N/A</v>
      </c>
    </row>
    <row r="1595">
      <c r="A1595" t="str">
        <f>IFERROR(__xludf.DUMMYFUNCTION("""COMPUTED_VALUE"""),"#N/A")</f>
        <v>#N/A</v>
      </c>
      <c r="B1595" s="451" t="str">
        <f>IFERROR(__xludf.DUMMYFUNCTION("""COMPUTED_VALUE"""),"#N/A")</f>
        <v>#N/A</v>
      </c>
    </row>
    <row r="1596">
      <c r="A1596" t="str">
        <f>IFERROR(__xludf.DUMMYFUNCTION("""COMPUTED_VALUE"""),"#N/A")</f>
        <v>#N/A</v>
      </c>
      <c r="B1596" s="451" t="str">
        <f>IFERROR(__xludf.DUMMYFUNCTION("""COMPUTED_VALUE"""),"#N/A")</f>
        <v>#N/A</v>
      </c>
    </row>
    <row r="1597">
      <c r="A1597" t="str">
        <f>IFERROR(__xludf.DUMMYFUNCTION("""COMPUTED_VALUE"""),"#N/A")</f>
        <v>#N/A</v>
      </c>
      <c r="B1597" s="451" t="str">
        <f>IFERROR(__xludf.DUMMYFUNCTION("""COMPUTED_VALUE"""),"#N/A")</f>
        <v>#N/A</v>
      </c>
    </row>
    <row r="1598">
      <c r="A1598" t="str">
        <f>IFERROR(__xludf.DUMMYFUNCTION("""COMPUTED_VALUE"""),"#N/A")</f>
        <v>#N/A</v>
      </c>
      <c r="B1598" s="451" t="str">
        <f>IFERROR(__xludf.DUMMYFUNCTION("""COMPUTED_VALUE"""),"#N/A")</f>
        <v>#N/A</v>
      </c>
    </row>
    <row r="1599">
      <c r="A1599" t="str">
        <f>IFERROR(__xludf.DUMMYFUNCTION("""COMPUTED_VALUE"""),"#N/A")</f>
        <v>#N/A</v>
      </c>
      <c r="B1599" s="451" t="str">
        <f>IFERROR(__xludf.DUMMYFUNCTION("""COMPUTED_VALUE"""),"#N/A")</f>
        <v>#N/A</v>
      </c>
    </row>
    <row r="1600">
      <c r="A1600" t="str">
        <f>IFERROR(__xludf.DUMMYFUNCTION("""COMPUTED_VALUE"""),"#N/A")</f>
        <v>#N/A</v>
      </c>
      <c r="B1600" s="451" t="str">
        <f>IFERROR(__xludf.DUMMYFUNCTION("""COMPUTED_VALUE"""),"#N/A")</f>
        <v>#N/A</v>
      </c>
    </row>
    <row r="1601">
      <c r="A1601" t="str">
        <f>IFERROR(__xludf.DUMMYFUNCTION("""COMPUTED_VALUE"""),"#N/A")</f>
        <v>#N/A</v>
      </c>
      <c r="B1601" s="451" t="str">
        <f>IFERROR(__xludf.DUMMYFUNCTION("""COMPUTED_VALUE"""),"#N/A")</f>
        <v>#N/A</v>
      </c>
    </row>
    <row r="1602">
      <c r="A1602" t="str">
        <f>IFERROR(__xludf.DUMMYFUNCTION("""COMPUTED_VALUE"""),"#N/A")</f>
        <v>#N/A</v>
      </c>
      <c r="B1602" s="451" t="str">
        <f>IFERROR(__xludf.DUMMYFUNCTION("""COMPUTED_VALUE"""),"#N/A")</f>
        <v>#N/A</v>
      </c>
    </row>
    <row r="1603">
      <c r="A1603" t="str">
        <f>IFERROR(__xludf.DUMMYFUNCTION("""COMPUTED_VALUE"""),"#N/A")</f>
        <v>#N/A</v>
      </c>
      <c r="B1603" s="451" t="str">
        <f>IFERROR(__xludf.DUMMYFUNCTION("""COMPUTED_VALUE"""),"#N/A")</f>
        <v>#N/A</v>
      </c>
    </row>
    <row r="1604">
      <c r="A1604" t="str">
        <f>IFERROR(__xludf.DUMMYFUNCTION("""COMPUTED_VALUE"""),"#N/A")</f>
        <v>#N/A</v>
      </c>
      <c r="B1604" s="451" t="str">
        <f>IFERROR(__xludf.DUMMYFUNCTION("""COMPUTED_VALUE"""),"#N/A")</f>
        <v>#N/A</v>
      </c>
    </row>
    <row r="1605">
      <c r="A1605" t="str">
        <f>IFERROR(__xludf.DUMMYFUNCTION("""COMPUTED_VALUE"""),"#N/A")</f>
        <v>#N/A</v>
      </c>
      <c r="B1605" s="451" t="str">
        <f>IFERROR(__xludf.DUMMYFUNCTION("""COMPUTED_VALUE"""),"#N/A")</f>
        <v>#N/A</v>
      </c>
    </row>
    <row r="1606">
      <c r="A1606" t="str">
        <f>IFERROR(__xludf.DUMMYFUNCTION("""COMPUTED_VALUE"""),"#N/A")</f>
        <v>#N/A</v>
      </c>
      <c r="B1606" s="451" t="str">
        <f>IFERROR(__xludf.DUMMYFUNCTION("""COMPUTED_VALUE"""),"#N/A")</f>
        <v>#N/A</v>
      </c>
    </row>
    <row r="1607">
      <c r="A1607" t="str">
        <f>IFERROR(__xludf.DUMMYFUNCTION("""COMPUTED_VALUE"""),"#N/A")</f>
        <v>#N/A</v>
      </c>
      <c r="B1607" s="451" t="str">
        <f>IFERROR(__xludf.DUMMYFUNCTION("""COMPUTED_VALUE"""),"#N/A")</f>
        <v>#N/A</v>
      </c>
    </row>
    <row r="1608">
      <c r="A1608" t="str">
        <f>IFERROR(__xludf.DUMMYFUNCTION("""COMPUTED_VALUE"""),"#N/A")</f>
        <v>#N/A</v>
      </c>
      <c r="B1608" s="451" t="str">
        <f>IFERROR(__xludf.DUMMYFUNCTION("""COMPUTED_VALUE"""),"#N/A")</f>
        <v>#N/A</v>
      </c>
    </row>
    <row r="1609">
      <c r="A1609" t="str">
        <f>IFERROR(__xludf.DUMMYFUNCTION("""COMPUTED_VALUE"""),"#N/A")</f>
        <v>#N/A</v>
      </c>
      <c r="B1609" s="451" t="str">
        <f>IFERROR(__xludf.DUMMYFUNCTION("""COMPUTED_VALUE"""),"#N/A")</f>
        <v>#N/A</v>
      </c>
    </row>
    <row r="1610">
      <c r="A1610" t="str">
        <f>IFERROR(__xludf.DUMMYFUNCTION("""COMPUTED_VALUE"""),"#N/A")</f>
        <v>#N/A</v>
      </c>
      <c r="B1610" s="451" t="str">
        <f>IFERROR(__xludf.DUMMYFUNCTION("""COMPUTED_VALUE"""),"#N/A")</f>
        <v>#N/A</v>
      </c>
    </row>
    <row r="1611">
      <c r="A1611" t="str">
        <f>IFERROR(__xludf.DUMMYFUNCTION("""COMPUTED_VALUE"""),"#N/A")</f>
        <v>#N/A</v>
      </c>
      <c r="B1611" s="451" t="str">
        <f>IFERROR(__xludf.DUMMYFUNCTION("""COMPUTED_VALUE"""),"#N/A")</f>
        <v>#N/A</v>
      </c>
    </row>
    <row r="1612">
      <c r="A1612" t="str">
        <f>IFERROR(__xludf.DUMMYFUNCTION("""COMPUTED_VALUE"""),"#N/A")</f>
        <v>#N/A</v>
      </c>
      <c r="B1612" s="451" t="str">
        <f>IFERROR(__xludf.DUMMYFUNCTION("""COMPUTED_VALUE"""),"#N/A")</f>
        <v>#N/A</v>
      </c>
    </row>
    <row r="1613">
      <c r="A1613" t="str">
        <f>IFERROR(__xludf.DUMMYFUNCTION("""COMPUTED_VALUE"""),"#N/A")</f>
        <v>#N/A</v>
      </c>
      <c r="B1613" s="451" t="str">
        <f>IFERROR(__xludf.DUMMYFUNCTION("""COMPUTED_VALUE"""),"#N/A")</f>
        <v>#N/A</v>
      </c>
    </row>
    <row r="1614">
      <c r="A1614" t="str">
        <f>IFERROR(__xludf.DUMMYFUNCTION("""COMPUTED_VALUE"""),"#N/A")</f>
        <v>#N/A</v>
      </c>
      <c r="B1614" s="451" t="str">
        <f>IFERROR(__xludf.DUMMYFUNCTION("""COMPUTED_VALUE"""),"#N/A")</f>
        <v>#N/A</v>
      </c>
    </row>
    <row r="1615">
      <c r="A1615" t="str">
        <f>IFERROR(__xludf.DUMMYFUNCTION("""COMPUTED_VALUE"""),"#N/A")</f>
        <v>#N/A</v>
      </c>
      <c r="B1615" s="451" t="str">
        <f>IFERROR(__xludf.DUMMYFUNCTION("""COMPUTED_VALUE"""),"#N/A")</f>
        <v>#N/A</v>
      </c>
    </row>
    <row r="1616">
      <c r="A1616" t="str">
        <f>IFERROR(__xludf.DUMMYFUNCTION("""COMPUTED_VALUE"""),"#N/A")</f>
        <v>#N/A</v>
      </c>
      <c r="B1616" s="451" t="str">
        <f>IFERROR(__xludf.DUMMYFUNCTION("""COMPUTED_VALUE"""),"#N/A")</f>
        <v>#N/A</v>
      </c>
    </row>
    <row r="1617">
      <c r="A1617" t="str">
        <f>IFERROR(__xludf.DUMMYFUNCTION("""COMPUTED_VALUE"""),"#N/A")</f>
        <v>#N/A</v>
      </c>
      <c r="B1617" s="451" t="str">
        <f>IFERROR(__xludf.DUMMYFUNCTION("""COMPUTED_VALUE"""),"#N/A")</f>
        <v>#N/A</v>
      </c>
    </row>
    <row r="1618">
      <c r="A1618" t="str">
        <f>IFERROR(__xludf.DUMMYFUNCTION("""COMPUTED_VALUE"""),"#N/A")</f>
        <v>#N/A</v>
      </c>
      <c r="B1618" s="451" t="str">
        <f>IFERROR(__xludf.DUMMYFUNCTION("""COMPUTED_VALUE"""),"#N/A")</f>
        <v>#N/A</v>
      </c>
    </row>
    <row r="1619">
      <c r="A1619" t="str">
        <f>IFERROR(__xludf.DUMMYFUNCTION("""COMPUTED_VALUE"""),"#N/A")</f>
        <v>#N/A</v>
      </c>
      <c r="B1619" s="451" t="str">
        <f>IFERROR(__xludf.DUMMYFUNCTION("""COMPUTED_VALUE"""),"#N/A")</f>
        <v>#N/A</v>
      </c>
    </row>
    <row r="1620">
      <c r="A1620" t="str">
        <f>IFERROR(__xludf.DUMMYFUNCTION("""COMPUTED_VALUE"""),"#N/A")</f>
        <v>#N/A</v>
      </c>
      <c r="B1620" s="451" t="str">
        <f>IFERROR(__xludf.DUMMYFUNCTION("""COMPUTED_VALUE"""),"#N/A")</f>
        <v>#N/A</v>
      </c>
    </row>
    <row r="1621">
      <c r="A1621" t="str">
        <f>IFERROR(__xludf.DUMMYFUNCTION("""COMPUTED_VALUE"""),"#N/A")</f>
        <v>#N/A</v>
      </c>
      <c r="B1621" s="451" t="str">
        <f>IFERROR(__xludf.DUMMYFUNCTION("""COMPUTED_VALUE"""),"#N/A")</f>
        <v>#N/A</v>
      </c>
    </row>
    <row r="1622">
      <c r="A1622" t="str">
        <f>IFERROR(__xludf.DUMMYFUNCTION("""COMPUTED_VALUE"""),"#N/A")</f>
        <v>#N/A</v>
      </c>
      <c r="B1622" s="451" t="str">
        <f>IFERROR(__xludf.DUMMYFUNCTION("""COMPUTED_VALUE"""),"#N/A")</f>
        <v>#N/A</v>
      </c>
    </row>
    <row r="1623">
      <c r="A1623" t="str">
        <f>IFERROR(__xludf.DUMMYFUNCTION("""COMPUTED_VALUE"""),"#N/A")</f>
        <v>#N/A</v>
      </c>
      <c r="B1623" s="451" t="str">
        <f>IFERROR(__xludf.DUMMYFUNCTION("""COMPUTED_VALUE"""),"#N/A")</f>
        <v>#N/A</v>
      </c>
    </row>
    <row r="1624">
      <c r="A1624" t="str">
        <f>IFERROR(__xludf.DUMMYFUNCTION("""COMPUTED_VALUE"""),"#N/A")</f>
        <v>#N/A</v>
      </c>
      <c r="B1624" s="451" t="str">
        <f>IFERROR(__xludf.DUMMYFUNCTION("""COMPUTED_VALUE"""),"#N/A")</f>
        <v>#N/A</v>
      </c>
    </row>
    <row r="1625">
      <c r="A1625" t="str">
        <f>IFERROR(__xludf.DUMMYFUNCTION("""COMPUTED_VALUE"""),"#N/A")</f>
        <v>#N/A</v>
      </c>
      <c r="B1625" s="451" t="str">
        <f>IFERROR(__xludf.DUMMYFUNCTION("""COMPUTED_VALUE"""),"#N/A")</f>
        <v>#N/A</v>
      </c>
    </row>
    <row r="1626">
      <c r="A1626" t="str">
        <f>IFERROR(__xludf.DUMMYFUNCTION("""COMPUTED_VALUE"""),"#N/A")</f>
        <v>#N/A</v>
      </c>
      <c r="B1626" s="451" t="str">
        <f>IFERROR(__xludf.DUMMYFUNCTION("""COMPUTED_VALUE"""),"#N/A")</f>
        <v>#N/A</v>
      </c>
    </row>
    <row r="1627">
      <c r="A1627" t="str">
        <f>IFERROR(__xludf.DUMMYFUNCTION("""COMPUTED_VALUE"""),"#N/A")</f>
        <v>#N/A</v>
      </c>
      <c r="B1627" s="451" t="str">
        <f>IFERROR(__xludf.DUMMYFUNCTION("""COMPUTED_VALUE"""),"#N/A")</f>
        <v>#N/A</v>
      </c>
    </row>
    <row r="1628">
      <c r="A1628" t="str">
        <f>IFERROR(__xludf.DUMMYFUNCTION("""COMPUTED_VALUE"""),"#N/A")</f>
        <v>#N/A</v>
      </c>
      <c r="B1628" s="451" t="str">
        <f>IFERROR(__xludf.DUMMYFUNCTION("""COMPUTED_VALUE"""),"#N/A")</f>
        <v>#N/A</v>
      </c>
    </row>
    <row r="1629">
      <c r="A1629" t="str">
        <f>IFERROR(__xludf.DUMMYFUNCTION("""COMPUTED_VALUE"""),"#N/A")</f>
        <v>#N/A</v>
      </c>
      <c r="B1629" s="451" t="str">
        <f>IFERROR(__xludf.DUMMYFUNCTION("""COMPUTED_VALUE"""),"#N/A")</f>
        <v>#N/A</v>
      </c>
    </row>
    <row r="1630">
      <c r="A1630" t="str">
        <f>IFERROR(__xludf.DUMMYFUNCTION("""COMPUTED_VALUE"""),"#N/A")</f>
        <v>#N/A</v>
      </c>
      <c r="B1630" s="451" t="str">
        <f>IFERROR(__xludf.DUMMYFUNCTION("""COMPUTED_VALUE"""),"#N/A")</f>
        <v>#N/A</v>
      </c>
    </row>
    <row r="1631">
      <c r="A1631" t="str">
        <f>IFERROR(__xludf.DUMMYFUNCTION("""COMPUTED_VALUE"""),"#N/A")</f>
        <v>#N/A</v>
      </c>
      <c r="B1631" s="451" t="str">
        <f>IFERROR(__xludf.DUMMYFUNCTION("""COMPUTED_VALUE"""),"#N/A")</f>
        <v>#N/A</v>
      </c>
    </row>
    <row r="1632">
      <c r="A1632" t="str">
        <f>IFERROR(__xludf.DUMMYFUNCTION("""COMPUTED_VALUE"""),"#N/A")</f>
        <v>#N/A</v>
      </c>
      <c r="B1632" s="451" t="str">
        <f>IFERROR(__xludf.DUMMYFUNCTION("""COMPUTED_VALUE"""),"#N/A")</f>
        <v>#N/A</v>
      </c>
    </row>
    <row r="1633">
      <c r="A1633" t="str">
        <f>IFERROR(__xludf.DUMMYFUNCTION("""COMPUTED_VALUE"""),"#N/A")</f>
        <v>#N/A</v>
      </c>
      <c r="B1633" s="451" t="str">
        <f>IFERROR(__xludf.DUMMYFUNCTION("""COMPUTED_VALUE"""),"#N/A")</f>
        <v>#N/A</v>
      </c>
    </row>
    <row r="1634">
      <c r="A1634" t="str">
        <f>IFERROR(__xludf.DUMMYFUNCTION("""COMPUTED_VALUE"""),"#N/A")</f>
        <v>#N/A</v>
      </c>
      <c r="B1634" s="451" t="str">
        <f>IFERROR(__xludf.DUMMYFUNCTION("""COMPUTED_VALUE"""),"#N/A")</f>
        <v>#N/A</v>
      </c>
    </row>
    <row r="1635">
      <c r="A1635" t="str">
        <f>IFERROR(__xludf.DUMMYFUNCTION("""COMPUTED_VALUE"""),"#N/A")</f>
        <v>#N/A</v>
      </c>
      <c r="B1635" s="451" t="str">
        <f>IFERROR(__xludf.DUMMYFUNCTION("""COMPUTED_VALUE"""),"#N/A")</f>
        <v>#N/A</v>
      </c>
    </row>
    <row r="1636">
      <c r="A1636" t="str">
        <f>IFERROR(__xludf.DUMMYFUNCTION("""COMPUTED_VALUE"""),"#N/A")</f>
        <v>#N/A</v>
      </c>
      <c r="B1636" s="451" t="str">
        <f>IFERROR(__xludf.DUMMYFUNCTION("""COMPUTED_VALUE"""),"#N/A")</f>
        <v>#N/A</v>
      </c>
    </row>
    <row r="1637">
      <c r="A1637" t="str">
        <f>IFERROR(__xludf.DUMMYFUNCTION("""COMPUTED_VALUE"""),"#N/A")</f>
        <v>#N/A</v>
      </c>
      <c r="B1637" s="451" t="str">
        <f>IFERROR(__xludf.DUMMYFUNCTION("""COMPUTED_VALUE"""),"#N/A")</f>
        <v>#N/A</v>
      </c>
    </row>
    <row r="1638">
      <c r="A1638" t="str">
        <f>IFERROR(__xludf.DUMMYFUNCTION("""COMPUTED_VALUE"""),"#N/A")</f>
        <v>#N/A</v>
      </c>
      <c r="B1638" s="451" t="str">
        <f>IFERROR(__xludf.DUMMYFUNCTION("""COMPUTED_VALUE"""),"#N/A")</f>
        <v>#N/A</v>
      </c>
    </row>
    <row r="1639">
      <c r="A1639" t="str">
        <f>IFERROR(__xludf.DUMMYFUNCTION("""COMPUTED_VALUE"""),"#N/A")</f>
        <v>#N/A</v>
      </c>
      <c r="B1639" s="451" t="str">
        <f>IFERROR(__xludf.DUMMYFUNCTION("""COMPUTED_VALUE"""),"#N/A")</f>
        <v>#N/A</v>
      </c>
    </row>
    <row r="1640">
      <c r="A1640" t="str">
        <f>IFERROR(__xludf.DUMMYFUNCTION("""COMPUTED_VALUE"""),"#N/A")</f>
        <v>#N/A</v>
      </c>
      <c r="B1640" s="451" t="str">
        <f>IFERROR(__xludf.DUMMYFUNCTION("""COMPUTED_VALUE"""),"#N/A")</f>
        <v>#N/A</v>
      </c>
    </row>
    <row r="1641">
      <c r="A1641" t="str">
        <f>IFERROR(__xludf.DUMMYFUNCTION("""COMPUTED_VALUE"""),"#N/A")</f>
        <v>#N/A</v>
      </c>
      <c r="B1641" s="451" t="str">
        <f>IFERROR(__xludf.DUMMYFUNCTION("""COMPUTED_VALUE"""),"#N/A")</f>
        <v>#N/A</v>
      </c>
    </row>
    <row r="1642">
      <c r="A1642" t="str">
        <f>IFERROR(__xludf.DUMMYFUNCTION("""COMPUTED_VALUE"""),"#N/A")</f>
        <v>#N/A</v>
      </c>
      <c r="B1642" s="451" t="str">
        <f>IFERROR(__xludf.DUMMYFUNCTION("""COMPUTED_VALUE"""),"#N/A")</f>
        <v>#N/A</v>
      </c>
    </row>
    <row r="1643">
      <c r="A1643" t="str">
        <f>IFERROR(__xludf.DUMMYFUNCTION("""COMPUTED_VALUE"""),"#N/A")</f>
        <v>#N/A</v>
      </c>
      <c r="B1643" s="451" t="str">
        <f>IFERROR(__xludf.DUMMYFUNCTION("""COMPUTED_VALUE"""),"#N/A")</f>
        <v>#N/A</v>
      </c>
    </row>
    <row r="1644">
      <c r="A1644" t="str">
        <f>IFERROR(__xludf.DUMMYFUNCTION("""COMPUTED_VALUE"""),"#N/A")</f>
        <v>#N/A</v>
      </c>
      <c r="B1644" s="451" t="str">
        <f>IFERROR(__xludf.DUMMYFUNCTION("""COMPUTED_VALUE"""),"#N/A")</f>
        <v>#N/A</v>
      </c>
    </row>
    <row r="1645">
      <c r="A1645" t="str">
        <f>IFERROR(__xludf.DUMMYFUNCTION("""COMPUTED_VALUE"""),"#N/A")</f>
        <v>#N/A</v>
      </c>
      <c r="B1645" s="451" t="str">
        <f>IFERROR(__xludf.DUMMYFUNCTION("""COMPUTED_VALUE"""),"#N/A")</f>
        <v>#N/A</v>
      </c>
    </row>
    <row r="1646">
      <c r="A1646" t="str">
        <f>IFERROR(__xludf.DUMMYFUNCTION("""COMPUTED_VALUE"""),"#N/A")</f>
        <v>#N/A</v>
      </c>
      <c r="B1646" s="451" t="str">
        <f>IFERROR(__xludf.DUMMYFUNCTION("""COMPUTED_VALUE"""),"#N/A")</f>
        <v>#N/A</v>
      </c>
    </row>
    <row r="1647">
      <c r="A1647" t="str">
        <f>IFERROR(__xludf.DUMMYFUNCTION("""COMPUTED_VALUE"""),"#N/A")</f>
        <v>#N/A</v>
      </c>
      <c r="B1647" s="451" t="str">
        <f>IFERROR(__xludf.DUMMYFUNCTION("""COMPUTED_VALUE"""),"#N/A")</f>
        <v>#N/A</v>
      </c>
    </row>
    <row r="1648">
      <c r="A1648" t="str">
        <f>IFERROR(__xludf.DUMMYFUNCTION("""COMPUTED_VALUE"""),"#N/A")</f>
        <v>#N/A</v>
      </c>
      <c r="B1648" s="451" t="str">
        <f>IFERROR(__xludf.DUMMYFUNCTION("""COMPUTED_VALUE"""),"#N/A")</f>
        <v>#N/A</v>
      </c>
    </row>
    <row r="1649">
      <c r="A1649" t="str">
        <f>IFERROR(__xludf.DUMMYFUNCTION("""COMPUTED_VALUE"""),"#N/A")</f>
        <v>#N/A</v>
      </c>
      <c r="B1649" s="451" t="str">
        <f>IFERROR(__xludf.DUMMYFUNCTION("""COMPUTED_VALUE"""),"#N/A")</f>
        <v>#N/A</v>
      </c>
    </row>
    <row r="1650">
      <c r="A1650" t="str">
        <f>IFERROR(__xludf.DUMMYFUNCTION("""COMPUTED_VALUE"""),"#N/A")</f>
        <v>#N/A</v>
      </c>
      <c r="B1650" s="451" t="str">
        <f>IFERROR(__xludf.DUMMYFUNCTION("""COMPUTED_VALUE"""),"#N/A")</f>
        <v>#N/A</v>
      </c>
    </row>
    <row r="1651">
      <c r="A1651" t="str">
        <f>IFERROR(__xludf.DUMMYFUNCTION("""COMPUTED_VALUE"""),"#N/A")</f>
        <v>#N/A</v>
      </c>
      <c r="B1651" s="451" t="str">
        <f>IFERROR(__xludf.DUMMYFUNCTION("""COMPUTED_VALUE"""),"#N/A")</f>
        <v>#N/A</v>
      </c>
    </row>
    <row r="1652">
      <c r="A1652" t="str">
        <f>IFERROR(__xludf.DUMMYFUNCTION("""COMPUTED_VALUE"""),"#N/A")</f>
        <v>#N/A</v>
      </c>
      <c r="B1652" s="451" t="str">
        <f>IFERROR(__xludf.DUMMYFUNCTION("""COMPUTED_VALUE"""),"#N/A")</f>
        <v>#N/A</v>
      </c>
    </row>
    <row r="1653">
      <c r="A1653" t="str">
        <f>IFERROR(__xludf.DUMMYFUNCTION("""COMPUTED_VALUE"""),"#N/A")</f>
        <v>#N/A</v>
      </c>
      <c r="B1653" s="451" t="str">
        <f>IFERROR(__xludf.DUMMYFUNCTION("""COMPUTED_VALUE"""),"#N/A")</f>
        <v>#N/A</v>
      </c>
    </row>
    <row r="1654">
      <c r="A1654" t="str">
        <f>IFERROR(__xludf.DUMMYFUNCTION("""COMPUTED_VALUE"""),"#N/A")</f>
        <v>#N/A</v>
      </c>
      <c r="B1654" s="451" t="str">
        <f>IFERROR(__xludf.DUMMYFUNCTION("""COMPUTED_VALUE"""),"#N/A")</f>
        <v>#N/A</v>
      </c>
    </row>
    <row r="1655">
      <c r="A1655" t="str">
        <f>IFERROR(__xludf.DUMMYFUNCTION("""COMPUTED_VALUE"""),"#N/A")</f>
        <v>#N/A</v>
      </c>
      <c r="B1655" s="451" t="str">
        <f>IFERROR(__xludf.DUMMYFUNCTION("""COMPUTED_VALUE"""),"#N/A")</f>
        <v>#N/A</v>
      </c>
    </row>
    <row r="1656">
      <c r="A1656" t="str">
        <f>IFERROR(__xludf.DUMMYFUNCTION("""COMPUTED_VALUE"""),"#N/A")</f>
        <v>#N/A</v>
      </c>
      <c r="B1656" s="451" t="str">
        <f>IFERROR(__xludf.DUMMYFUNCTION("""COMPUTED_VALUE"""),"#N/A")</f>
        <v>#N/A</v>
      </c>
    </row>
    <row r="1657">
      <c r="A1657" t="str">
        <f>IFERROR(__xludf.DUMMYFUNCTION("""COMPUTED_VALUE"""),"#N/A")</f>
        <v>#N/A</v>
      </c>
      <c r="B1657" s="451" t="str">
        <f>IFERROR(__xludf.DUMMYFUNCTION("""COMPUTED_VALUE"""),"#N/A")</f>
        <v>#N/A</v>
      </c>
    </row>
    <row r="1658">
      <c r="A1658" t="str">
        <f>IFERROR(__xludf.DUMMYFUNCTION("""COMPUTED_VALUE"""),"#N/A")</f>
        <v>#N/A</v>
      </c>
      <c r="B1658" s="451" t="str">
        <f>IFERROR(__xludf.DUMMYFUNCTION("""COMPUTED_VALUE"""),"#N/A")</f>
        <v>#N/A</v>
      </c>
    </row>
    <row r="1659">
      <c r="A1659" t="str">
        <f>IFERROR(__xludf.DUMMYFUNCTION("""COMPUTED_VALUE"""),"#N/A")</f>
        <v>#N/A</v>
      </c>
      <c r="B1659" s="451" t="str">
        <f>IFERROR(__xludf.DUMMYFUNCTION("""COMPUTED_VALUE"""),"#N/A")</f>
        <v>#N/A</v>
      </c>
    </row>
    <row r="1660">
      <c r="A1660" t="str">
        <f>IFERROR(__xludf.DUMMYFUNCTION("""COMPUTED_VALUE"""),"#N/A")</f>
        <v>#N/A</v>
      </c>
      <c r="B1660" s="451" t="str">
        <f>IFERROR(__xludf.DUMMYFUNCTION("""COMPUTED_VALUE"""),"#N/A")</f>
        <v>#N/A</v>
      </c>
    </row>
    <row r="1661">
      <c r="A1661" t="str">
        <f>IFERROR(__xludf.DUMMYFUNCTION("""COMPUTED_VALUE"""),"#N/A")</f>
        <v>#N/A</v>
      </c>
      <c r="B1661" s="451" t="str">
        <f>IFERROR(__xludf.DUMMYFUNCTION("""COMPUTED_VALUE"""),"#N/A")</f>
        <v>#N/A</v>
      </c>
    </row>
    <row r="1662">
      <c r="A1662" t="str">
        <f>IFERROR(__xludf.DUMMYFUNCTION("""COMPUTED_VALUE"""),"#N/A")</f>
        <v>#N/A</v>
      </c>
      <c r="B1662" s="451" t="str">
        <f>IFERROR(__xludf.DUMMYFUNCTION("""COMPUTED_VALUE"""),"#N/A")</f>
        <v>#N/A</v>
      </c>
    </row>
    <row r="1663">
      <c r="A1663" t="str">
        <f>IFERROR(__xludf.DUMMYFUNCTION("""COMPUTED_VALUE"""),"#N/A")</f>
        <v>#N/A</v>
      </c>
      <c r="B1663" s="451" t="str">
        <f>IFERROR(__xludf.DUMMYFUNCTION("""COMPUTED_VALUE"""),"#N/A")</f>
        <v>#N/A</v>
      </c>
    </row>
    <row r="1664">
      <c r="A1664" t="str">
        <f>IFERROR(__xludf.DUMMYFUNCTION("""COMPUTED_VALUE"""),"#N/A")</f>
        <v>#N/A</v>
      </c>
      <c r="B1664" s="451" t="str">
        <f>IFERROR(__xludf.DUMMYFUNCTION("""COMPUTED_VALUE"""),"#N/A")</f>
        <v>#N/A</v>
      </c>
    </row>
    <row r="1665">
      <c r="A1665" t="str">
        <f>IFERROR(__xludf.DUMMYFUNCTION("""COMPUTED_VALUE"""),"#N/A")</f>
        <v>#N/A</v>
      </c>
      <c r="B1665" s="451" t="str">
        <f>IFERROR(__xludf.DUMMYFUNCTION("""COMPUTED_VALUE"""),"#N/A")</f>
        <v>#N/A</v>
      </c>
    </row>
    <row r="1666">
      <c r="A1666" t="str">
        <f>IFERROR(__xludf.DUMMYFUNCTION("""COMPUTED_VALUE"""),"#N/A")</f>
        <v>#N/A</v>
      </c>
      <c r="B1666" s="451" t="str">
        <f>IFERROR(__xludf.DUMMYFUNCTION("""COMPUTED_VALUE"""),"#N/A")</f>
        <v>#N/A</v>
      </c>
    </row>
    <row r="1667">
      <c r="A1667" t="str">
        <f>IFERROR(__xludf.DUMMYFUNCTION("""COMPUTED_VALUE"""),"#N/A")</f>
        <v>#N/A</v>
      </c>
      <c r="B1667" s="451" t="str">
        <f>IFERROR(__xludf.DUMMYFUNCTION("""COMPUTED_VALUE"""),"#N/A")</f>
        <v>#N/A</v>
      </c>
    </row>
    <row r="1668">
      <c r="A1668" t="str">
        <f>IFERROR(__xludf.DUMMYFUNCTION("""COMPUTED_VALUE"""),"#N/A")</f>
        <v>#N/A</v>
      </c>
      <c r="B1668" s="451" t="str">
        <f>IFERROR(__xludf.DUMMYFUNCTION("""COMPUTED_VALUE"""),"#N/A")</f>
        <v>#N/A</v>
      </c>
    </row>
    <row r="1669">
      <c r="A1669" t="str">
        <f>IFERROR(__xludf.DUMMYFUNCTION("""COMPUTED_VALUE"""),"#N/A")</f>
        <v>#N/A</v>
      </c>
      <c r="B1669" s="451" t="str">
        <f>IFERROR(__xludf.DUMMYFUNCTION("""COMPUTED_VALUE"""),"#N/A")</f>
        <v>#N/A</v>
      </c>
    </row>
    <row r="1670">
      <c r="A1670" t="str">
        <f>IFERROR(__xludf.DUMMYFUNCTION("""COMPUTED_VALUE"""),"#N/A")</f>
        <v>#N/A</v>
      </c>
      <c r="B1670" s="451" t="str">
        <f>IFERROR(__xludf.DUMMYFUNCTION("""COMPUTED_VALUE"""),"#N/A")</f>
        <v>#N/A</v>
      </c>
    </row>
    <row r="1671">
      <c r="A1671" t="str">
        <f>IFERROR(__xludf.DUMMYFUNCTION("""COMPUTED_VALUE"""),"#N/A")</f>
        <v>#N/A</v>
      </c>
      <c r="B1671" s="451" t="str">
        <f>IFERROR(__xludf.DUMMYFUNCTION("""COMPUTED_VALUE"""),"#N/A")</f>
        <v>#N/A</v>
      </c>
    </row>
    <row r="1672">
      <c r="A1672" t="str">
        <f>IFERROR(__xludf.DUMMYFUNCTION("""COMPUTED_VALUE"""),"#N/A")</f>
        <v>#N/A</v>
      </c>
      <c r="B1672" s="451" t="str">
        <f>IFERROR(__xludf.DUMMYFUNCTION("""COMPUTED_VALUE"""),"#N/A")</f>
        <v>#N/A</v>
      </c>
    </row>
    <row r="1673">
      <c r="A1673" t="str">
        <f>IFERROR(__xludf.DUMMYFUNCTION("""COMPUTED_VALUE"""),"#N/A")</f>
        <v>#N/A</v>
      </c>
      <c r="B1673" s="451" t="str">
        <f>IFERROR(__xludf.DUMMYFUNCTION("""COMPUTED_VALUE"""),"#N/A")</f>
        <v>#N/A</v>
      </c>
    </row>
    <row r="1674">
      <c r="A1674" t="str">
        <f>IFERROR(__xludf.DUMMYFUNCTION("""COMPUTED_VALUE"""),"#N/A")</f>
        <v>#N/A</v>
      </c>
      <c r="B1674" s="451" t="str">
        <f>IFERROR(__xludf.DUMMYFUNCTION("""COMPUTED_VALUE"""),"#N/A")</f>
        <v>#N/A</v>
      </c>
    </row>
    <row r="1675">
      <c r="A1675" t="str">
        <f>IFERROR(__xludf.DUMMYFUNCTION("""COMPUTED_VALUE"""),"#N/A")</f>
        <v>#N/A</v>
      </c>
      <c r="B1675" s="451" t="str">
        <f>IFERROR(__xludf.DUMMYFUNCTION("""COMPUTED_VALUE"""),"#N/A")</f>
        <v>#N/A</v>
      </c>
    </row>
    <row r="1676">
      <c r="A1676" t="str">
        <f>IFERROR(__xludf.DUMMYFUNCTION("""COMPUTED_VALUE"""),"#N/A")</f>
        <v>#N/A</v>
      </c>
      <c r="B1676" s="451" t="str">
        <f>IFERROR(__xludf.DUMMYFUNCTION("""COMPUTED_VALUE"""),"#N/A")</f>
        <v>#N/A</v>
      </c>
    </row>
    <row r="1677">
      <c r="A1677" t="str">
        <f>IFERROR(__xludf.DUMMYFUNCTION("""COMPUTED_VALUE"""),"#N/A")</f>
        <v>#N/A</v>
      </c>
      <c r="B1677" s="451" t="str">
        <f>IFERROR(__xludf.DUMMYFUNCTION("""COMPUTED_VALUE"""),"#N/A")</f>
        <v>#N/A</v>
      </c>
    </row>
    <row r="1678">
      <c r="A1678" t="str">
        <f>IFERROR(__xludf.DUMMYFUNCTION("""COMPUTED_VALUE"""),"#N/A")</f>
        <v>#N/A</v>
      </c>
      <c r="B1678" s="451" t="str">
        <f>IFERROR(__xludf.DUMMYFUNCTION("""COMPUTED_VALUE"""),"#N/A")</f>
        <v>#N/A</v>
      </c>
    </row>
    <row r="1679">
      <c r="A1679" t="str">
        <f>IFERROR(__xludf.DUMMYFUNCTION("""COMPUTED_VALUE"""),"#N/A")</f>
        <v>#N/A</v>
      </c>
      <c r="B1679" s="451" t="str">
        <f>IFERROR(__xludf.DUMMYFUNCTION("""COMPUTED_VALUE"""),"#N/A")</f>
        <v>#N/A</v>
      </c>
    </row>
    <row r="1680">
      <c r="A1680" t="str">
        <f>IFERROR(__xludf.DUMMYFUNCTION("""COMPUTED_VALUE"""),"#N/A")</f>
        <v>#N/A</v>
      </c>
      <c r="B1680" s="451" t="str">
        <f>IFERROR(__xludf.DUMMYFUNCTION("""COMPUTED_VALUE"""),"#N/A")</f>
        <v>#N/A</v>
      </c>
    </row>
    <row r="1681">
      <c r="A1681" t="str">
        <f>IFERROR(__xludf.DUMMYFUNCTION("""COMPUTED_VALUE"""),"#N/A")</f>
        <v>#N/A</v>
      </c>
      <c r="B1681" s="451" t="str">
        <f>IFERROR(__xludf.DUMMYFUNCTION("""COMPUTED_VALUE"""),"#N/A")</f>
        <v>#N/A</v>
      </c>
    </row>
    <row r="1682">
      <c r="A1682" t="str">
        <f>IFERROR(__xludf.DUMMYFUNCTION("""COMPUTED_VALUE"""),"#N/A")</f>
        <v>#N/A</v>
      </c>
      <c r="B1682" s="451" t="str">
        <f>IFERROR(__xludf.DUMMYFUNCTION("""COMPUTED_VALUE"""),"#N/A")</f>
        <v>#N/A</v>
      </c>
    </row>
    <row r="1683">
      <c r="A1683" t="str">
        <f>IFERROR(__xludf.DUMMYFUNCTION("""COMPUTED_VALUE"""),"#N/A")</f>
        <v>#N/A</v>
      </c>
      <c r="B1683" s="451" t="str">
        <f>IFERROR(__xludf.DUMMYFUNCTION("""COMPUTED_VALUE"""),"#N/A")</f>
        <v>#N/A</v>
      </c>
    </row>
    <row r="1684">
      <c r="A1684" t="str">
        <f>IFERROR(__xludf.DUMMYFUNCTION("""COMPUTED_VALUE"""),"#N/A")</f>
        <v>#N/A</v>
      </c>
      <c r="B1684" s="451" t="str">
        <f>IFERROR(__xludf.DUMMYFUNCTION("""COMPUTED_VALUE"""),"#N/A")</f>
        <v>#N/A</v>
      </c>
    </row>
    <row r="1685">
      <c r="A1685" t="str">
        <f>IFERROR(__xludf.DUMMYFUNCTION("""COMPUTED_VALUE"""),"#N/A")</f>
        <v>#N/A</v>
      </c>
      <c r="B1685" s="451" t="str">
        <f>IFERROR(__xludf.DUMMYFUNCTION("""COMPUTED_VALUE"""),"#N/A")</f>
        <v>#N/A</v>
      </c>
    </row>
    <row r="1686">
      <c r="A1686" t="str">
        <f>IFERROR(__xludf.DUMMYFUNCTION("""COMPUTED_VALUE"""),"#N/A")</f>
        <v>#N/A</v>
      </c>
      <c r="B1686" s="451" t="str">
        <f>IFERROR(__xludf.DUMMYFUNCTION("""COMPUTED_VALUE"""),"#N/A")</f>
        <v>#N/A</v>
      </c>
    </row>
    <row r="1687">
      <c r="A1687" t="str">
        <f>IFERROR(__xludf.DUMMYFUNCTION("""COMPUTED_VALUE"""),"#N/A")</f>
        <v>#N/A</v>
      </c>
      <c r="B1687" s="451" t="str">
        <f>IFERROR(__xludf.DUMMYFUNCTION("""COMPUTED_VALUE"""),"#N/A")</f>
        <v>#N/A</v>
      </c>
    </row>
    <row r="1688">
      <c r="A1688" t="str">
        <f>IFERROR(__xludf.DUMMYFUNCTION("""COMPUTED_VALUE"""),"#N/A")</f>
        <v>#N/A</v>
      </c>
      <c r="B1688" s="451" t="str">
        <f>IFERROR(__xludf.DUMMYFUNCTION("""COMPUTED_VALUE"""),"#N/A")</f>
        <v>#N/A</v>
      </c>
    </row>
    <row r="1689">
      <c r="A1689" t="str">
        <f>IFERROR(__xludf.DUMMYFUNCTION("""COMPUTED_VALUE"""),"#N/A")</f>
        <v>#N/A</v>
      </c>
      <c r="B1689" s="451" t="str">
        <f>IFERROR(__xludf.DUMMYFUNCTION("""COMPUTED_VALUE"""),"#N/A")</f>
        <v>#N/A</v>
      </c>
    </row>
    <row r="1690">
      <c r="A1690" t="str">
        <f>IFERROR(__xludf.DUMMYFUNCTION("""COMPUTED_VALUE"""),"#N/A")</f>
        <v>#N/A</v>
      </c>
      <c r="B1690" s="451" t="str">
        <f>IFERROR(__xludf.DUMMYFUNCTION("""COMPUTED_VALUE"""),"#N/A")</f>
        <v>#N/A</v>
      </c>
    </row>
    <row r="1691">
      <c r="A1691" t="str">
        <f>IFERROR(__xludf.DUMMYFUNCTION("""COMPUTED_VALUE"""),"#N/A")</f>
        <v>#N/A</v>
      </c>
      <c r="B1691" s="451" t="str">
        <f>IFERROR(__xludf.DUMMYFUNCTION("""COMPUTED_VALUE"""),"#N/A")</f>
        <v>#N/A</v>
      </c>
    </row>
    <row r="1692">
      <c r="A1692" t="str">
        <f>IFERROR(__xludf.DUMMYFUNCTION("""COMPUTED_VALUE"""),"#N/A")</f>
        <v>#N/A</v>
      </c>
      <c r="B1692" s="451" t="str">
        <f>IFERROR(__xludf.DUMMYFUNCTION("""COMPUTED_VALUE"""),"#N/A")</f>
        <v>#N/A</v>
      </c>
    </row>
    <row r="1693">
      <c r="A1693" t="str">
        <f>IFERROR(__xludf.DUMMYFUNCTION("""COMPUTED_VALUE"""),"#N/A")</f>
        <v>#N/A</v>
      </c>
      <c r="B1693" s="451" t="str">
        <f>IFERROR(__xludf.DUMMYFUNCTION("""COMPUTED_VALUE"""),"#N/A")</f>
        <v>#N/A</v>
      </c>
    </row>
    <row r="1694">
      <c r="A1694" t="str">
        <f>IFERROR(__xludf.DUMMYFUNCTION("""COMPUTED_VALUE"""),"#N/A")</f>
        <v>#N/A</v>
      </c>
      <c r="B1694" s="451" t="str">
        <f>IFERROR(__xludf.DUMMYFUNCTION("""COMPUTED_VALUE"""),"#N/A")</f>
        <v>#N/A</v>
      </c>
    </row>
    <row r="1695">
      <c r="A1695" t="str">
        <f>IFERROR(__xludf.DUMMYFUNCTION("""COMPUTED_VALUE"""),"#N/A")</f>
        <v>#N/A</v>
      </c>
      <c r="B1695" s="451" t="str">
        <f>IFERROR(__xludf.DUMMYFUNCTION("""COMPUTED_VALUE"""),"#N/A")</f>
        <v>#N/A</v>
      </c>
    </row>
    <row r="1696">
      <c r="A1696" t="str">
        <f>IFERROR(__xludf.DUMMYFUNCTION("""COMPUTED_VALUE"""),"#N/A")</f>
        <v>#N/A</v>
      </c>
      <c r="B1696" s="451" t="str">
        <f>IFERROR(__xludf.DUMMYFUNCTION("""COMPUTED_VALUE"""),"#N/A")</f>
        <v>#N/A</v>
      </c>
    </row>
    <row r="1697">
      <c r="A1697" t="str">
        <f>IFERROR(__xludf.DUMMYFUNCTION("""COMPUTED_VALUE"""),"#N/A")</f>
        <v>#N/A</v>
      </c>
      <c r="B1697" s="451" t="str">
        <f>IFERROR(__xludf.DUMMYFUNCTION("""COMPUTED_VALUE"""),"#N/A")</f>
        <v>#N/A</v>
      </c>
    </row>
    <row r="1698">
      <c r="A1698" t="str">
        <f>IFERROR(__xludf.DUMMYFUNCTION("""COMPUTED_VALUE"""),"#N/A")</f>
        <v>#N/A</v>
      </c>
      <c r="B1698" s="451" t="str">
        <f>IFERROR(__xludf.DUMMYFUNCTION("""COMPUTED_VALUE"""),"#N/A")</f>
        <v>#N/A</v>
      </c>
    </row>
    <row r="1699">
      <c r="A1699" t="str">
        <f>IFERROR(__xludf.DUMMYFUNCTION("""COMPUTED_VALUE"""),"#N/A")</f>
        <v>#N/A</v>
      </c>
      <c r="B1699" s="451" t="str">
        <f>IFERROR(__xludf.DUMMYFUNCTION("""COMPUTED_VALUE"""),"#N/A")</f>
        <v>#N/A</v>
      </c>
    </row>
    <row r="1700">
      <c r="A1700" t="str">
        <f>IFERROR(__xludf.DUMMYFUNCTION("""COMPUTED_VALUE"""),"#N/A")</f>
        <v>#N/A</v>
      </c>
      <c r="B1700" s="451" t="str">
        <f>IFERROR(__xludf.DUMMYFUNCTION("""COMPUTED_VALUE"""),"#N/A")</f>
        <v>#N/A</v>
      </c>
    </row>
    <row r="1701">
      <c r="A1701" t="str">
        <f>IFERROR(__xludf.DUMMYFUNCTION("""COMPUTED_VALUE"""),"#N/A")</f>
        <v>#N/A</v>
      </c>
      <c r="B1701" s="451" t="str">
        <f>IFERROR(__xludf.DUMMYFUNCTION("""COMPUTED_VALUE"""),"#N/A")</f>
        <v>#N/A</v>
      </c>
    </row>
    <row r="1702">
      <c r="A1702" t="str">
        <f>IFERROR(__xludf.DUMMYFUNCTION("""COMPUTED_VALUE"""),"#N/A")</f>
        <v>#N/A</v>
      </c>
      <c r="B1702" s="451" t="str">
        <f>IFERROR(__xludf.DUMMYFUNCTION("""COMPUTED_VALUE"""),"#N/A")</f>
        <v>#N/A</v>
      </c>
    </row>
    <row r="1703">
      <c r="A1703" t="str">
        <f>IFERROR(__xludf.DUMMYFUNCTION("""COMPUTED_VALUE"""),"#N/A")</f>
        <v>#N/A</v>
      </c>
      <c r="B1703" s="451" t="str">
        <f>IFERROR(__xludf.DUMMYFUNCTION("""COMPUTED_VALUE"""),"#N/A")</f>
        <v>#N/A</v>
      </c>
    </row>
    <row r="1704">
      <c r="A1704" t="str">
        <f>IFERROR(__xludf.DUMMYFUNCTION("""COMPUTED_VALUE"""),"#N/A")</f>
        <v>#N/A</v>
      </c>
      <c r="B1704" s="451" t="str">
        <f>IFERROR(__xludf.DUMMYFUNCTION("""COMPUTED_VALUE"""),"#N/A")</f>
        <v>#N/A</v>
      </c>
    </row>
    <row r="1705">
      <c r="A1705" t="str">
        <f>IFERROR(__xludf.DUMMYFUNCTION("""COMPUTED_VALUE"""),"#N/A")</f>
        <v>#N/A</v>
      </c>
      <c r="B1705" s="451" t="str">
        <f>IFERROR(__xludf.DUMMYFUNCTION("""COMPUTED_VALUE"""),"#N/A")</f>
        <v>#N/A</v>
      </c>
    </row>
    <row r="1706">
      <c r="A1706" t="str">
        <f>IFERROR(__xludf.DUMMYFUNCTION("""COMPUTED_VALUE"""),"#N/A")</f>
        <v>#N/A</v>
      </c>
      <c r="B1706" s="451" t="str">
        <f>IFERROR(__xludf.DUMMYFUNCTION("""COMPUTED_VALUE"""),"#N/A")</f>
        <v>#N/A</v>
      </c>
    </row>
    <row r="1707">
      <c r="A1707" t="str">
        <f>IFERROR(__xludf.DUMMYFUNCTION("""COMPUTED_VALUE"""),"#N/A")</f>
        <v>#N/A</v>
      </c>
      <c r="B1707" s="451" t="str">
        <f>IFERROR(__xludf.DUMMYFUNCTION("""COMPUTED_VALUE"""),"#N/A")</f>
        <v>#N/A</v>
      </c>
    </row>
    <row r="1708">
      <c r="A1708" t="str">
        <f>IFERROR(__xludf.DUMMYFUNCTION("""COMPUTED_VALUE"""),"#N/A")</f>
        <v>#N/A</v>
      </c>
      <c r="B1708" s="451" t="str">
        <f>IFERROR(__xludf.DUMMYFUNCTION("""COMPUTED_VALUE"""),"#N/A")</f>
        <v>#N/A</v>
      </c>
    </row>
    <row r="1709">
      <c r="A1709" t="str">
        <f>IFERROR(__xludf.DUMMYFUNCTION("""COMPUTED_VALUE"""),"#N/A")</f>
        <v>#N/A</v>
      </c>
      <c r="B1709" s="451" t="str">
        <f>IFERROR(__xludf.DUMMYFUNCTION("""COMPUTED_VALUE"""),"#N/A")</f>
        <v>#N/A</v>
      </c>
    </row>
    <row r="1710">
      <c r="A1710" t="str">
        <f>IFERROR(__xludf.DUMMYFUNCTION("""COMPUTED_VALUE"""),"#N/A")</f>
        <v>#N/A</v>
      </c>
      <c r="B1710" s="451" t="str">
        <f>IFERROR(__xludf.DUMMYFUNCTION("""COMPUTED_VALUE"""),"#N/A")</f>
        <v>#N/A</v>
      </c>
    </row>
    <row r="1711">
      <c r="A1711" t="str">
        <f>IFERROR(__xludf.DUMMYFUNCTION("""COMPUTED_VALUE"""),"#N/A")</f>
        <v>#N/A</v>
      </c>
      <c r="B1711" s="451" t="str">
        <f>IFERROR(__xludf.DUMMYFUNCTION("""COMPUTED_VALUE"""),"#N/A")</f>
        <v>#N/A</v>
      </c>
    </row>
    <row r="1712">
      <c r="A1712" t="str">
        <f>IFERROR(__xludf.DUMMYFUNCTION("""COMPUTED_VALUE"""),"#N/A")</f>
        <v>#N/A</v>
      </c>
      <c r="B1712" s="451" t="str">
        <f>IFERROR(__xludf.DUMMYFUNCTION("""COMPUTED_VALUE"""),"#N/A")</f>
        <v>#N/A</v>
      </c>
    </row>
    <row r="1713">
      <c r="A1713" t="str">
        <f>IFERROR(__xludf.DUMMYFUNCTION("""COMPUTED_VALUE"""),"#N/A")</f>
        <v>#N/A</v>
      </c>
      <c r="B1713" s="451" t="str">
        <f>IFERROR(__xludf.DUMMYFUNCTION("""COMPUTED_VALUE"""),"#N/A")</f>
        <v>#N/A</v>
      </c>
    </row>
    <row r="1714">
      <c r="A1714" t="str">
        <f>IFERROR(__xludf.DUMMYFUNCTION("""COMPUTED_VALUE"""),"#N/A")</f>
        <v>#N/A</v>
      </c>
      <c r="B1714" s="451" t="str">
        <f>IFERROR(__xludf.DUMMYFUNCTION("""COMPUTED_VALUE"""),"#N/A")</f>
        <v>#N/A</v>
      </c>
    </row>
    <row r="1715">
      <c r="A1715" t="str">
        <f>IFERROR(__xludf.DUMMYFUNCTION("""COMPUTED_VALUE"""),"#N/A")</f>
        <v>#N/A</v>
      </c>
      <c r="B1715" s="451" t="str">
        <f>IFERROR(__xludf.DUMMYFUNCTION("""COMPUTED_VALUE"""),"#N/A")</f>
        <v>#N/A</v>
      </c>
    </row>
    <row r="1716">
      <c r="A1716" t="str">
        <f>IFERROR(__xludf.DUMMYFUNCTION("""COMPUTED_VALUE"""),"#N/A")</f>
        <v>#N/A</v>
      </c>
      <c r="B1716" s="451" t="str">
        <f>IFERROR(__xludf.DUMMYFUNCTION("""COMPUTED_VALUE"""),"#N/A")</f>
        <v>#N/A</v>
      </c>
    </row>
    <row r="1717">
      <c r="A1717" t="str">
        <f>IFERROR(__xludf.DUMMYFUNCTION("""COMPUTED_VALUE"""),"#N/A")</f>
        <v>#N/A</v>
      </c>
      <c r="B1717" s="451" t="str">
        <f>IFERROR(__xludf.DUMMYFUNCTION("""COMPUTED_VALUE"""),"#N/A")</f>
        <v>#N/A</v>
      </c>
    </row>
    <row r="1718">
      <c r="A1718" t="str">
        <f>IFERROR(__xludf.DUMMYFUNCTION("""COMPUTED_VALUE"""),"#N/A")</f>
        <v>#N/A</v>
      </c>
      <c r="B1718" s="451" t="str">
        <f>IFERROR(__xludf.DUMMYFUNCTION("""COMPUTED_VALUE"""),"#N/A")</f>
        <v>#N/A</v>
      </c>
    </row>
    <row r="1719">
      <c r="A1719" t="str">
        <f>IFERROR(__xludf.DUMMYFUNCTION("""COMPUTED_VALUE"""),"#N/A")</f>
        <v>#N/A</v>
      </c>
      <c r="B1719" s="451" t="str">
        <f>IFERROR(__xludf.DUMMYFUNCTION("""COMPUTED_VALUE"""),"#N/A")</f>
        <v>#N/A</v>
      </c>
    </row>
    <row r="1720">
      <c r="A1720" t="str">
        <f>IFERROR(__xludf.DUMMYFUNCTION("""COMPUTED_VALUE"""),"#N/A")</f>
        <v>#N/A</v>
      </c>
      <c r="B1720" s="451" t="str">
        <f>IFERROR(__xludf.DUMMYFUNCTION("""COMPUTED_VALUE"""),"#N/A")</f>
        <v>#N/A</v>
      </c>
    </row>
    <row r="1721">
      <c r="A1721" t="str">
        <f>IFERROR(__xludf.DUMMYFUNCTION("""COMPUTED_VALUE"""),"#N/A")</f>
        <v>#N/A</v>
      </c>
      <c r="B1721" s="451" t="str">
        <f>IFERROR(__xludf.DUMMYFUNCTION("""COMPUTED_VALUE"""),"#N/A")</f>
        <v>#N/A</v>
      </c>
    </row>
    <row r="1722">
      <c r="A1722" t="str">
        <f>IFERROR(__xludf.DUMMYFUNCTION("""COMPUTED_VALUE"""),"#N/A")</f>
        <v>#N/A</v>
      </c>
      <c r="B1722" s="451" t="str">
        <f>IFERROR(__xludf.DUMMYFUNCTION("""COMPUTED_VALUE"""),"#N/A")</f>
        <v>#N/A</v>
      </c>
    </row>
    <row r="1723">
      <c r="A1723" t="str">
        <f>IFERROR(__xludf.DUMMYFUNCTION("""COMPUTED_VALUE"""),"#N/A")</f>
        <v>#N/A</v>
      </c>
      <c r="B1723" s="451" t="str">
        <f>IFERROR(__xludf.DUMMYFUNCTION("""COMPUTED_VALUE"""),"#N/A")</f>
        <v>#N/A</v>
      </c>
    </row>
    <row r="1724">
      <c r="A1724" t="str">
        <f>IFERROR(__xludf.DUMMYFUNCTION("""COMPUTED_VALUE"""),"#N/A")</f>
        <v>#N/A</v>
      </c>
      <c r="B1724" s="451" t="str">
        <f>IFERROR(__xludf.DUMMYFUNCTION("""COMPUTED_VALUE"""),"#N/A")</f>
        <v>#N/A</v>
      </c>
    </row>
    <row r="1725">
      <c r="A1725" t="str">
        <f>IFERROR(__xludf.DUMMYFUNCTION("""COMPUTED_VALUE"""),"#N/A")</f>
        <v>#N/A</v>
      </c>
      <c r="B1725" s="451" t="str">
        <f>IFERROR(__xludf.DUMMYFUNCTION("""COMPUTED_VALUE"""),"#N/A")</f>
        <v>#N/A</v>
      </c>
    </row>
    <row r="1726">
      <c r="A1726" t="str">
        <f>IFERROR(__xludf.DUMMYFUNCTION("""COMPUTED_VALUE"""),"#N/A")</f>
        <v>#N/A</v>
      </c>
      <c r="B1726" s="451" t="str">
        <f>IFERROR(__xludf.DUMMYFUNCTION("""COMPUTED_VALUE"""),"#N/A")</f>
        <v>#N/A</v>
      </c>
    </row>
    <row r="1727">
      <c r="A1727" t="str">
        <f>IFERROR(__xludf.DUMMYFUNCTION("""COMPUTED_VALUE"""),"#N/A")</f>
        <v>#N/A</v>
      </c>
      <c r="B1727" s="451" t="str">
        <f>IFERROR(__xludf.DUMMYFUNCTION("""COMPUTED_VALUE"""),"#N/A")</f>
        <v>#N/A</v>
      </c>
    </row>
    <row r="1728">
      <c r="A1728" t="str">
        <f>IFERROR(__xludf.DUMMYFUNCTION("""COMPUTED_VALUE"""),"#N/A")</f>
        <v>#N/A</v>
      </c>
      <c r="B1728" s="451" t="str">
        <f>IFERROR(__xludf.DUMMYFUNCTION("""COMPUTED_VALUE"""),"#N/A")</f>
        <v>#N/A</v>
      </c>
    </row>
    <row r="1729">
      <c r="A1729" t="str">
        <f>IFERROR(__xludf.DUMMYFUNCTION("""COMPUTED_VALUE"""),"#N/A")</f>
        <v>#N/A</v>
      </c>
      <c r="B1729" s="451" t="str">
        <f>IFERROR(__xludf.DUMMYFUNCTION("""COMPUTED_VALUE"""),"#N/A")</f>
        <v>#N/A</v>
      </c>
    </row>
    <row r="1730">
      <c r="A1730" t="str">
        <f>IFERROR(__xludf.DUMMYFUNCTION("""COMPUTED_VALUE"""),"#N/A")</f>
        <v>#N/A</v>
      </c>
      <c r="B1730" s="451" t="str">
        <f>IFERROR(__xludf.DUMMYFUNCTION("""COMPUTED_VALUE"""),"#N/A")</f>
        <v>#N/A</v>
      </c>
    </row>
    <row r="1731">
      <c r="A1731" t="str">
        <f>IFERROR(__xludf.DUMMYFUNCTION("""COMPUTED_VALUE"""),"#N/A")</f>
        <v>#N/A</v>
      </c>
      <c r="B1731" s="451" t="str">
        <f>IFERROR(__xludf.DUMMYFUNCTION("""COMPUTED_VALUE"""),"#N/A")</f>
        <v>#N/A</v>
      </c>
    </row>
    <row r="1732">
      <c r="A1732" t="str">
        <f>IFERROR(__xludf.DUMMYFUNCTION("""COMPUTED_VALUE"""),"#N/A")</f>
        <v>#N/A</v>
      </c>
      <c r="B1732" s="451" t="str">
        <f>IFERROR(__xludf.DUMMYFUNCTION("""COMPUTED_VALUE"""),"#N/A")</f>
        <v>#N/A</v>
      </c>
    </row>
    <row r="1733">
      <c r="A1733" t="str">
        <f>IFERROR(__xludf.DUMMYFUNCTION("""COMPUTED_VALUE"""),"#N/A")</f>
        <v>#N/A</v>
      </c>
      <c r="B1733" s="451" t="str">
        <f>IFERROR(__xludf.DUMMYFUNCTION("""COMPUTED_VALUE"""),"#N/A")</f>
        <v>#N/A</v>
      </c>
    </row>
    <row r="1734">
      <c r="A1734" t="str">
        <f>IFERROR(__xludf.DUMMYFUNCTION("""COMPUTED_VALUE"""),"#N/A")</f>
        <v>#N/A</v>
      </c>
      <c r="B1734" s="451" t="str">
        <f>IFERROR(__xludf.DUMMYFUNCTION("""COMPUTED_VALUE"""),"#N/A")</f>
        <v>#N/A</v>
      </c>
    </row>
    <row r="1735">
      <c r="A1735" t="str">
        <f>IFERROR(__xludf.DUMMYFUNCTION("""COMPUTED_VALUE"""),"#N/A")</f>
        <v>#N/A</v>
      </c>
      <c r="B1735" s="451" t="str">
        <f>IFERROR(__xludf.DUMMYFUNCTION("""COMPUTED_VALUE"""),"#N/A")</f>
        <v>#N/A</v>
      </c>
    </row>
    <row r="1736">
      <c r="A1736" t="str">
        <f>IFERROR(__xludf.DUMMYFUNCTION("""COMPUTED_VALUE"""),"#N/A")</f>
        <v>#N/A</v>
      </c>
      <c r="B1736" s="451" t="str">
        <f>IFERROR(__xludf.DUMMYFUNCTION("""COMPUTED_VALUE"""),"#N/A")</f>
        <v>#N/A</v>
      </c>
    </row>
    <row r="1737">
      <c r="A1737" t="str">
        <f>IFERROR(__xludf.DUMMYFUNCTION("""COMPUTED_VALUE"""),"#N/A")</f>
        <v>#N/A</v>
      </c>
      <c r="B1737" s="451" t="str">
        <f>IFERROR(__xludf.DUMMYFUNCTION("""COMPUTED_VALUE"""),"#N/A")</f>
        <v>#N/A</v>
      </c>
    </row>
    <row r="1738">
      <c r="A1738" t="str">
        <f>IFERROR(__xludf.DUMMYFUNCTION("""COMPUTED_VALUE"""),"#N/A")</f>
        <v>#N/A</v>
      </c>
      <c r="B1738" s="451" t="str">
        <f>IFERROR(__xludf.DUMMYFUNCTION("""COMPUTED_VALUE"""),"#N/A")</f>
        <v>#N/A</v>
      </c>
    </row>
    <row r="1739">
      <c r="A1739" t="str">
        <f>IFERROR(__xludf.DUMMYFUNCTION("""COMPUTED_VALUE"""),"#N/A")</f>
        <v>#N/A</v>
      </c>
      <c r="B1739" s="451" t="str">
        <f>IFERROR(__xludf.DUMMYFUNCTION("""COMPUTED_VALUE"""),"#N/A")</f>
        <v>#N/A</v>
      </c>
    </row>
    <row r="1740">
      <c r="A1740" t="str">
        <f>IFERROR(__xludf.DUMMYFUNCTION("""COMPUTED_VALUE"""),"#N/A")</f>
        <v>#N/A</v>
      </c>
      <c r="B1740" s="451" t="str">
        <f>IFERROR(__xludf.DUMMYFUNCTION("""COMPUTED_VALUE"""),"#N/A")</f>
        <v>#N/A</v>
      </c>
    </row>
    <row r="1741">
      <c r="A1741" t="str">
        <f>IFERROR(__xludf.DUMMYFUNCTION("""COMPUTED_VALUE"""),"#N/A")</f>
        <v>#N/A</v>
      </c>
      <c r="B1741" s="451" t="str">
        <f>IFERROR(__xludf.DUMMYFUNCTION("""COMPUTED_VALUE"""),"#N/A")</f>
        <v>#N/A</v>
      </c>
    </row>
    <row r="1742">
      <c r="A1742" t="str">
        <f>IFERROR(__xludf.DUMMYFUNCTION("""COMPUTED_VALUE"""),"#N/A")</f>
        <v>#N/A</v>
      </c>
      <c r="B1742" s="451" t="str">
        <f>IFERROR(__xludf.DUMMYFUNCTION("""COMPUTED_VALUE"""),"#N/A")</f>
        <v>#N/A</v>
      </c>
    </row>
    <row r="1743">
      <c r="A1743" t="str">
        <f>IFERROR(__xludf.DUMMYFUNCTION("""COMPUTED_VALUE"""),"#N/A")</f>
        <v>#N/A</v>
      </c>
      <c r="B1743" s="451" t="str">
        <f>IFERROR(__xludf.DUMMYFUNCTION("""COMPUTED_VALUE"""),"#N/A")</f>
        <v>#N/A</v>
      </c>
    </row>
    <row r="1744">
      <c r="A1744" t="str">
        <f>IFERROR(__xludf.DUMMYFUNCTION("""COMPUTED_VALUE"""),"#N/A")</f>
        <v>#N/A</v>
      </c>
      <c r="B1744" s="451" t="str">
        <f>IFERROR(__xludf.DUMMYFUNCTION("""COMPUTED_VALUE"""),"#N/A")</f>
        <v>#N/A</v>
      </c>
    </row>
    <row r="1745">
      <c r="A1745" t="str">
        <f>IFERROR(__xludf.DUMMYFUNCTION("""COMPUTED_VALUE"""),"#N/A")</f>
        <v>#N/A</v>
      </c>
      <c r="B1745" s="451" t="str">
        <f>IFERROR(__xludf.DUMMYFUNCTION("""COMPUTED_VALUE"""),"#N/A")</f>
        <v>#N/A</v>
      </c>
    </row>
    <row r="1746">
      <c r="A1746" t="str">
        <f>IFERROR(__xludf.DUMMYFUNCTION("""COMPUTED_VALUE"""),"#N/A")</f>
        <v>#N/A</v>
      </c>
      <c r="B1746" s="451" t="str">
        <f>IFERROR(__xludf.DUMMYFUNCTION("""COMPUTED_VALUE"""),"#N/A")</f>
        <v>#N/A</v>
      </c>
    </row>
    <row r="1747">
      <c r="A1747" t="str">
        <f>IFERROR(__xludf.DUMMYFUNCTION("""COMPUTED_VALUE"""),"#N/A")</f>
        <v>#N/A</v>
      </c>
      <c r="B1747" s="451" t="str">
        <f>IFERROR(__xludf.DUMMYFUNCTION("""COMPUTED_VALUE"""),"#N/A")</f>
        <v>#N/A</v>
      </c>
    </row>
    <row r="1748">
      <c r="A1748" t="str">
        <f>IFERROR(__xludf.DUMMYFUNCTION("""COMPUTED_VALUE"""),"#N/A")</f>
        <v>#N/A</v>
      </c>
      <c r="B1748" s="451" t="str">
        <f>IFERROR(__xludf.DUMMYFUNCTION("""COMPUTED_VALUE"""),"#N/A")</f>
        <v>#N/A</v>
      </c>
    </row>
    <row r="1749">
      <c r="A1749" t="str">
        <f>IFERROR(__xludf.DUMMYFUNCTION("""COMPUTED_VALUE"""),"#N/A")</f>
        <v>#N/A</v>
      </c>
      <c r="B1749" s="451" t="str">
        <f>IFERROR(__xludf.DUMMYFUNCTION("""COMPUTED_VALUE"""),"#N/A")</f>
        <v>#N/A</v>
      </c>
    </row>
    <row r="1750">
      <c r="A1750" t="str">
        <f>IFERROR(__xludf.DUMMYFUNCTION("""COMPUTED_VALUE"""),"#N/A")</f>
        <v>#N/A</v>
      </c>
      <c r="B1750" s="451" t="str">
        <f>IFERROR(__xludf.DUMMYFUNCTION("""COMPUTED_VALUE"""),"#N/A")</f>
        <v>#N/A</v>
      </c>
    </row>
    <row r="1751">
      <c r="A1751" t="str">
        <f>IFERROR(__xludf.DUMMYFUNCTION("""COMPUTED_VALUE"""),"#N/A")</f>
        <v>#N/A</v>
      </c>
      <c r="B1751" s="451" t="str">
        <f>IFERROR(__xludf.DUMMYFUNCTION("""COMPUTED_VALUE"""),"#N/A")</f>
        <v>#N/A</v>
      </c>
    </row>
    <row r="1752">
      <c r="A1752" t="str">
        <f>IFERROR(__xludf.DUMMYFUNCTION("""COMPUTED_VALUE"""),"#N/A")</f>
        <v>#N/A</v>
      </c>
      <c r="B1752" s="451" t="str">
        <f>IFERROR(__xludf.DUMMYFUNCTION("""COMPUTED_VALUE"""),"#N/A")</f>
        <v>#N/A</v>
      </c>
    </row>
    <row r="1753">
      <c r="A1753" t="str">
        <f>IFERROR(__xludf.DUMMYFUNCTION("""COMPUTED_VALUE"""),"#N/A")</f>
        <v>#N/A</v>
      </c>
      <c r="B1753" s="451" t="str">
        <f>IFERROR(__xludf.DUMMYFUNCTION("""COMPUTED_VALUE"""),"#N/A")</f>
        <v>#N/A</v>
      </c>
    </row>
    <row r="1754">
      <c r="A1754" t="str">
        <f>IFERROR(__xludf.DUMMYFUNCTION("""COMPUTED_VALUE"""),"#N/A")</f>
        <v>#N/A</v>
      </c>
      <c r="B1754" s="451" t="str">
        <f>IFERROR(__xludf.DUMMYFUNCTION("""COMPUTED_VALUE"""),"#N/A")</f>
        <v>#N/A</v>
      </c>
    </row>
    <row r="1755">
      <c r="A1755" t="str">
        <f>IFERROR(__xludf.DUMMYFUNCTION("""COMPUTED_VALUE"""),"#N/A")</f>
        <v>#N/A</v>
      </c>
      <c r="B1755" s="451" t="str">
        <f>IFERROR(__xludf.DUMMYFUNCTION("""COMPUTED_VALUE"""),"#N/A")</f>
        <v>#N/A</v>
      </c>
    </row>
    <row r="1756">
      <c r="A1756" t="str">
        <f>IFERROR(__xludf.DUMMYFUNCTION("""COMPUTED_VALUE"""),"#N/A")</f>
        <v>#N/A</v>
      </c>
      <c r="B1756" s="451" t="str">
        <f>IFERROR(__xludf.DUMMYFUNCTION("""COMPUTED_VALUE"""),"#N/A")</f>
        <v>#N/A</v>
      </c>
    </row>
    <row r="1757">
      <c r="A1757" t="str">
        <f>IFERROR(__xludf.DUMMYFUNCTION("""COMPUTED_VALUE"""),"#N/A")</f>
        <v>#N/A</v>
      </c>
      <c r="B1757" s="451" t="str">
        <f>IFERROR(__xludf.DUMMYFUNCTION("""COMPUTED_VALUE"""),"#N/A")</f>
        <v>#N/A</v>
      </c>
    </row>
    <row r="1758">
      <c r="A1758" t="str">
        <f>IFERROR(__xludf.DUMMYFUNCTION("""COMPUTED_VALUE"""),"#N/A")</f>
        <v>#N/A</v>
      </c>
      <c r="B1758" s="451" t="str">
        <f>IFERROR(__xludf.DUMMYFUNCTION("""COMPUTED_VALUE"""),"#N/A")</f>
        <v>#N/A</v>
      </c>
    </row>
    <row r="1759">
      <c r="A1759" t="str">
        <f>IFERROR(__xludf.DUMMYFUNCTION("""COMPUTED_VALUE"""),"#N/A")</f>
        <v>#N/A</v>
      </c>
      <c r="B1759" s="451" t="str">
        <f>IFERROR(__xludf.DUMMYFUNCTION("""COMPUTED_VALUE"""),"#N/A")</f>
        <v>#N/A</v>
      </c>
    </row>
    <row r="1760">
      <c r="A1760" t="str">
        <f>IFERROR(__xludf.DUMMYFUNCTION("""COMPUTED_VALUE"""),"#N/A")</f>
        <v>#N/A</v>
      </c>
      <c r="B1760" s="451" t="str">
        <f>IFERROR(__xludf.DUMMYFUNCTION("""COMPUTED_VALUE"""),"#N/A")</f>
        <v>#N/A</v>
      </c>
    </row>
    <row r="1761">
      <c r="A1761" t="str">
        <f>IFERROR(__xludf.DUMMYFUNCTION("""COMPUTED_VALUE"""),"#N/A")</f>
        <v>#N/A</v>
      </c>
      <c r="B1761" s="451" t="str">
        <f>IFERROR(__xludf.DUMMYFUNCTION("""COMPUTED_VALUE"""),"#N/A")</f>
        <v>#N/A</v>
      </c>
    </row>
    <row r="1762">
      <c r="A1762" t="str">
        <f>IFERROR(__xludf.DUMMYFUNCTION("""COMPUTED_VALUE"""),"#N/A")</f>
        <v>#N/A</v>
      </c>
      <c r="B1762" s="451" t="str">
        <f>IFERROR(__xludf.DUMMYFUNCTION("""COMPUTED_VALUE"""),"#N/A")</f>
        <v>#N/A</v>
      </c>
    </row>
    <row r="1763">
      <c r="A1763" t="str">
        <f>IFERROR(__xludf.DUMMYFUNCTION("""COMPUTED_VALUE"""),"#N/A")</f>
        <v>#N/A</v>
      </c>
      <c r="B1763" s="451" t="str">
        <f>IFERROR(__xludf.DUMMYFUNCTION("""COMPUTED_VALUE"""),"#N/A")</f>
        <v>#N/A</v>
      </c>
    </row>
    <row r="1764">
      <c r="A1764" t="str">
        <f>IFERROR(__xludf.DUMMYFUNCTION("""COMPUTED_VALUE"""),"#N/A")</f>
        <v>#N/A</v>
      </c>
      <c r="B1764" s="451" t="str">
        <f>IFERROR(__xludf.DUMMYFUNCTION("""COMPUTED_VALUE"""),"#N/A")</f>
        <v>#N/A</v>
      </c>
    </row>
    <row r="1765">
      <c r="A1765" t="str">
        <f>IFERROR(__xludf.DUMMYFUNCTION("""COMPUTED_VALUE"""),"#N/A")</f>
        <v>#N/A</v>
      </c>
      <c r="B1765" s="451" t="str">
        <f>IFERROR(__xludf.DUMMYFUNCTION("""COMPUTED_VALUE"""),"#N/A")</f>
        <v>#N/A</v>
      </c>
    </row>
    <row r="1766">
      <c r="A1766" t="str">
        <f>IFERROR(__xludf.DUMMYFUNCTION("""COMPUTED_VALUE"""),"#N/A")</f>
        <v>#N/A</v>
      </c>
      <c r="B1766" s="451" t="str">
        <f>IFERROR(__xludf.DUMMYFUNCTION("""COMPUTED_VALUE"""),"#N/A")</f>
        <v>#N/A</v>
      </c>
    </row>
    <row r="1767">
      <c r="A1767" t="str">
        <f>IFERROR(__xludf.DUMMYFUNCTION("""COMPUTED_VALUE"""),"#N/A")</f>
        <v>#N/A</v>
      </c>
      <c r="B1767" s="451" t="str">
        <f>IFERROR(__xludf.DUMMYFUNCTION("""COMPUTED_VALUE"""),"#N/A")</f>
        <v>#N/A</v>
      </c>
    </row>
    <row r="1768">
      <c r="A1768" t="str">
        <f>IFERROR(__xludf.DUMMYFUNCTION("""COMPUTED_VALUE"""),"#N/A")</f>
        <v>#N/A</v>
      </c>
      <c r="B1768" s="451" t="str">
        <f>IFERROR(__xludf.DUMMYFUNCTION("""COMPUTED_VALUE"""),"#N/A")</f>
        <v>#N/A</v>
      </c>
    </row>
    <row r="1769">
      <c r="A1769" t="str">
        <f>IFERROR(__xludf.DUMMYFUNCTION("""COMPUTED_VALUE"""),"#N/A")</f>
        <v>#N/A</v>
      </c>
      <c r="B1769" s="451" t="str">
        <f>IFERROR(__xludf.DUMMYFUNCTION("""COMPUTED_VALUE"""),"#N/A")</f>
        <v>#N/A</v>
      </c>
    </row>
    <row r="1770">
      <c r="A1770" t="str">
        <f>IFERROR(__xludf.DUMMYFUNCTION("""COMPUTED_VALUE"""),"#N/A")</f>
        <v>#N/A</v>
      </c>
      <c r="B1770" s="451" t="str">
        <f>IFERROR(__xludf.DUMMYFUNCTION("""COMPUTED_VALUE"""),"#N/A")</f>
        <v>#N/A</v>
      </c>
    </row>
    <row r="1771">
      <c r="A1771" t="str">
        <f>IFERROR(__xludf.DUMMYFUNCTION("""COMPUTED_VALUE"""),"#N/A")</f>
        <v>#N/A</v>
      </c>
      <c r="B1771" s="451" t="str">
        <f>IFERROR(__xludf.DUMMYFUNCTION("""COMPUTED_VALUE"""),"#N/A")</f>
        <v>#N/A</v>
      </c>
    </row>
    <row r="1772">
      <c r="A1772" t="str">
        <f>IFERROR(__xludf.DUMMYFUNCTION("""COMPUTED_VALUE"""),"#N/A")</f>
        <v>#N/A</v>
      </c>
      <c r="B1772" s="451" t="str">
        <f>IFERROR(__xludf.DUMMYFUNCTION("""COMPUTED_VALUE"""),"#N/A")</f>
        <v>#N/A</v>
      </c>
    </row>
    <row r="1773">
      <c r="A1773" t="str">
        <f>IFERROR(__xludf.DUMMYFUNCTION("""COMPUTED_VALUE"""),"#N/A")</f>
        <v>#N/A</v>
      </c>
      <c r="B1773" s="451" t="str">
        <f>IFERROR(__xludf.DUMMYFUNCTION("""COMPUTED_VALUE"""),"#N/A")</f>
        <v>#N/A</v>
      </c>
    </row>
    <row r="1774">
      <c r="A1774" t="str">
        <f>IFERROR(__xludf.DUMMYFUNCTION("""COMPUTED_VALUE"""),"#N/A")</f>
        <v>#N/A</v>
      </c>
      <c r="B1774" s="451" t="str">
        <f>IFERROR(__xludf.DUMMYFUNCTION("""COMPUTED_VALUE"""),"#N/A")</f>
        <v>#N/A</v>
      </c>
    </row>
    <row r="1775">
      <c r="A1775" t="str">
        <f>IFERROR(__xludf.DUMMYFUNCTION("""COMPUTED_VALUE"""),"#N/A")</f>
        <v>#N/A</v>
      </c>
      <c r="B1775" s="451" t="str">
        <f>IFERROR(__xludf.DUMMYFUNCTION("""COMPUTED_VALUE"""),"#N/A")</f>
        <v>#N/A</v>
      </c>
    </row>
    <row r="1776">
      <c r="A1776" t="str">
        <f>IFERROR(__xludf.DUMMYFUNCTION("""COMPUTED_VALUE"""),"#N/A")</f>
        <v>#N/A</v>
      </c>
      <c r="B1776" s="451" t="str">
        <f>IFERROR(__xludf.DUMMYFUNCTION("""COMPUTED_VALUE"""),"#N/A")</f>
        <v>#N/A</v>
      </c>
    </row>
    <row r="1777">
      <c r="A1777" t="str">
        <f>IFERROR(__xludf.DUMMYFUNCTION("""COMPUTED_VALUE"""),"#N/A")</f>
        <v>#N/A</v>
      </c>
      <c r="B1777" s="451" t="str">
        <f>IFERROR(__xludf.DUMMYFUNCTION("""COMPUTED_VALUE"""),"#N/A")</f>
        <v>#N/A</v>
      </c>
    </row>
    <row r="1778">
      <c r="A1778" t="str">
        <f>IFERROR(__xludf.DUMMYFUNCTION("""COMPUTED_VALUE"""),"#N/A")</f>
        <v>#N/A</v>
      </c>
      <c r="B1778" s="451" t="str">
        <f>IFERROR(__xludf.DUMMYFUNCTION("""COMPUTED_VALUE"""),"#N/A")</f>
        <v>#N/A</v>
      </c>
    </row>
    <row r="1779">
      <c r="A1779" t="str">
        <f>IFERROR(__xludf.DUMMYFUNCTION("""COMPUTED_VALUE"""),"#N/A")</f>
        <v>#N/A</v>
      </c>
      <c r="B1779" s="451" t="str">
        <f>IFERROR(__xludf.DUMMYFUNCTION("""COMPUTED_VALUE"""),"#N/A")</f>
        <v>#N/A</v>
      </c>
    </row>
    <row r="1780">
      <c r="A1780" t="str">
        <f>IFERROR(__xludf.DUMMYFUNCTION("""COMPUTED_VALUE"""),"#N/A")</f>
        <v>#N/A</v>
      </c>
      <c r="B1780" s="451" t="str">
        <f>IFERROR(__xludf.DUMMYFUNCTION("""COMPUTED_VALUE"""),"#N/A")</f>
        <v>#N/A</v>
      </c>
    </row>
    <row r="1781">
      <c r="A1781" t="str">
        <f>IFERROR(__xludf.DUMMYFUNCTION("""COMPUTED_VALUE"""),"#N/A")</f>
        <v>#N/A</v>
      </c>
      <c r="B1781" s="451" t="str">
        <f>IFERROR(__xludf.DUMMYFUNCTION("""COMPUTED_VALUE"""),"#N/A")</f>
        <v>#N/A</v>
      </c>
    </row>
    <row r="1782">
      <c r="A1782" t="str">
        <f>IFERROR(__xludf.DUMMYFUNCTION("""COMPUTED_VALUE"""),"#N/A")</f>
        <v>#N/A</v>
      </c>
      <c r="B1782" s="451" t="str">
        <f>IFERROR(__xludf.DUMMYFUNCTION("""COMPUTED_VALUE"""),"#N/A")</f>
        <v>#N/A</v>
      </c>
    </row>
    <row r="1783">
      <c r="A1783" t="str">
        <f>IFERROR(__xludf.DUMMYFUNCTION("""COMPUTED_VALUE"""),"#N/A")</f>
        <v>#N/A</v>
      </c>
      <c r="B1783" s="451" t="str">
        <f>IFERROR(__xludf.DUMMYFUNCTION("""COMPUTED_VALUE"""),"#N/A")</f>
        <v>#N/A</v>
      </c>
    </row>
    <row r="1784">
      <c r="A1784" t="str">
        <f>IFERROR(__xludf.DUMMYFUNCTION("""COMPUTED_VALUE"""),"#N/A")</f>
        <v>#N/A</v>
      </c>
      <c r="B1784" s="451" t="str">
        <f>IFERROR(__xludf.DUMMYFUNCTION("""COMPUTED_VALUE"""),"#N/A")</f>
        <v>#N/A</v>
      </c>
    </row>
    <row r="1785">
      <c r="A1785" t="str">
        <f>IFERROR(__xludf.DUMMYFUNCTION("""COMPUTED_VALUE"""),"#N/A")</f>
        <v>#N/A</v>
      </c>
      <c r="B1785" s="451" t="str">
        <f>IFERROR(__xludf.DUMMYFUNCTION("""COMPUTED_VALUE"""),"#N/A")</f>
        <v>#N/A</v>
      </c>
    </row>
    <row r="1786">
      <c r="A1786" t="str">
        <f>IFERROR(__xludf.DUMMYFUNCTION("""COMPUTED_VALUE"""),"#N/A")</f>
        <v>#N/A</v>
      </c>
      <c r="B1786" s="451" t="str">
        <f>IFERROR(__xludf.DUMMYFUNCTION("""COMPUTED_VALUE"""),"#N/A")</f>
        <v>#N/A</v>
      </c>
    </row>
    <row r="1787">
      <c r="A1787" t="str">
        <f>IFERROR(__xludf.DUMMYFUNCTION("""COMPUTED_VALUE"""),"#N/A")</f>
        <v>#N/A</v>
      </c>
      <c r="B1787" s="451" t="str">
        <f>IFERROR(__xludf.DUMMYFUNCTION("""COMPUTED_VALUE"""),"#N/A")</f>
        <v>#N/A</v>
      </c>
    </row>
    <row r="1788">
      <c r="A1788" t="str">
        <f>IFERROR(__xludf.DUMMYFUNCTION("""COMPUTED_VALUE"""),"#N/A")</f>
        <v>#N/A</v>
      </c>
      <c r="B1788" s="451" t="str">
        <f>IFERROR(__xludf.DUMMYFUNCTION("""COMPUTED_VALUE"""),"#N/A")</f>
        <v>#N/A</v>
      </c>
    </row>
    <row r="1789">
      <c r="A1789" t="str">
        <f>IFERROR(__xludf.DUMMYFUNCTION("""COMPUTED_VALUE"""),"#N/A")</f>
        <v>#N/A</v>
      </c>
      <c r="B1789" s="451" t="str">
        <f>IFERROR(__xludf.DUMMYFUNCTION("""COMPUTED_VALUE"""),"#N/A")</f>
        <v>#N/A</v>
      </c>
    </row>
    <row r="1790">
      <c r="A1790" t="str">
        <f>IFERROR(__xludf.DUMMYFUNCTION("""COMPUTED_VALUE"""),"#N/A")</f>
        <v>#N/A</v>
      </c>
      <c r="B1790" s="451" t="str">
        <f>IFERROR(__xludf.DUMMYFUNCTION("""COMPUTED_VALUE"""),"#N/A")</f>
        <v>#N/A</v>
      </c>
    </row>
    <row r="1791">
      <c r="A1791" t="str">
        <f>IFERROR(__xludf.DUMMYFUNCTION("""COMPUTED_VALUE"""),"#N/A")</f>
        <v>#N/A</v>
      </c>
      <c r="B1791" s="451" t="str">
        <f>IFERROR(__xludf.DUMMYFUNCTION("""COMPUTED_VALUE"""),"#N/A")</f>
        <v>#N/A</v>
      </c>
    </row>
    <row r="1792">
      <c r="A1792" t="str">
        <f>IFERROR(__xludf.DUMMYFUNCTION("""COMPUTED_VALUE"""),"#N/A")</f>
        <v>#N/A</v>
      </c>
      <c r="B1792" s="451" t="str">
        <f>IFERROR(__xludf.DUMMYFUNCTION("""COMPUTED_VALUE"""),"#N/A")</f>
        <v>#N/A</v>
      </c>
    </row>
    <row r="1793">
      <c r="A1793" t="str">
        <f>IFERROR(__xludf.DUMMYFUNCTION("""COMPUTED_VALUE"""),"#N/A")</f>
        <v>#N/A</v>
      </c>
      <c r="B1793" s="451" t="str">
        <f>IFERROR(__xludf.DUMMYFUNCTION("""COMPUTED_VALUE"""),"#N/A")</f>
        <v>#N/A</v>
      </c>
    </row>
    <row r="1794">
      <c r="A1794" t="str">
        <f>IFERROR(__xludf.DUMMYFUNCTION("""COMPUTED_VALUE"""),"#N/A")</f>
        <v>#N/A</v>
      </c>
      <c r="B1794" s="451" t="str">
        <f>IFERROR(__xludf.DUMMYFUNCTION("""COMPUTED_VALUE"""),"#N/A")</f>
        <v>#N/A</v>
      </c>
    </row>
    <row r="1795">
      <c r="A1795" t="str">
        <f>IFERROR(__xludf.DUMMYFUNCTION("""COMPUTED_VALUE"""),"#N/A")</f>
        <v>#N/A</v>
      </c>
      <c r="B1795" s="451" t="str">
        <f>IFERROR(__xludf.DUMMYFUNCTION("""COMPUTED_VALUE"""),"#N/A")</f>
        <v>#N/A</v>
      </c>
    </row>
    <row r="1796">
      <c r="A1796" t="str">
        <f>IFERROR(__xludf.DUMMYFUNCTION("""COMPUTED_VALUE"""),"#N/A")</f>
        <v>#N/A</v>
      </c>
      <c r="B1796" s="451" t="str">
        <f>IFERROR(__xludf.DUMMYFUNCTION("""COMPUTED_VALUE"""),"#N/A")</f>
        <v>#N/A</v>
      </c>
    </row>
    <row r="1797">
      <c r="A1797" t="str">
        <f>IFERROR(__xludf.DUMMYFUNCTION("""COMPUTED_VALUE"""),"#N/A")</f>
        <v>#N/A</v>
      </c>
      <c r="B1797" s="451" t="str">
        <f>IFERROR(__xludf.DUMMYFUNCTION("""COMPUTED_VALUE"""),"#N/A")</f>
        <v>#N/A</v>
      </c>
    </row>
    <row r="1798">
      <c r="A1798" t="str">
        <f>IFERROR(__xludf.DUMMYFUNCTION("""COMPUTED_VALUE"""),"#N/A")</f>
        <v>#N/A</v>
      </c>
      <c r="B1798" s="451" t="str">
        <f>IFERROR(__xludf.DUMMYFUNCTION("""COMPUTED_VALUE"""),"#N/A")</f>
        <v>#N/A</v>
      </c>
    </row>
    <row r="1799">
      <c r="A1799" t="str">
        <f>IFERROR(__xludf.DUMMYFUNCTION("""COMPUTED_VALUE"""),"#N/A")</f>
        <v>#N/A</v>
      </c>
      <c r="B1799" s="451" t="str">
        <f>IFERROR(__xludf.DUMMYFUNCTION("""COMPUTED_VALUE"""),"#N/A")</f>
        <v>#N/A</v>
      </c>
    </row>
    <row r="1800">
      <c r="A1800" t="str">
        <f>IFERROR(__xludf.DUMMYFUNCTION("""COMPUTED_VALUE"""),"#N/A")</f>
        <v>#N/A</v>
      </c>
      <c r="B1800" s="451" t="str">
        <f>IFERROR(__xludf.DUMMYFUNCTION("""COMPUTED_VALUE"""),"#N/A")</f>
        <v>#N/A</v>
      </c>
    </row>
    <row r="1801">
      <c r="A1801" t="str">
        <f>IFERROR(__xludf.DUMMYFUNCTION("""COMPUTED_VALUE"""),"#N/A")</f>
        <v>#N/A</v>
      </c>
      <c r="B1801" s="451" t="str">
        <f>IFERROR(__xludf.DUMMYFUNCTION("""COMPUTED_VALUE"""),"#N/A")</f>
        <v>#N/A</v>
      </c>
    </row>
    <row r="1802">
      <c r="A1802" t="str">
        <f>IFERROR(__xludf.DUMMYFUNCTION("""COMPUTED_VALUE"""),"#N/A")</f>
        <v>#N/A</v>
      </c>
      <c r="B1802" s="451" t="str">
        <f>IFERROR(__xludf.DUMMYFUNCTION("""COMPUTED_VALUE"""),"#N/A")</f>
        <v>#N/A</v>
      </c>
    </row>
    <row r="1803">
      <c r="A1803" t="str">
        <f>IFERROR(__xludf.DUMMYFUNCTION("""COMPUTED_VALUE"""),"#N/A")</f>
        <v>#N/A</v>
      </c>
      <c r="B1803" s="451" t="str">
        <f>IFERROR(__xludf.DUMMYFUNCTION("""COMPUTED_VALUE"""),"#N/A")</f>
        <v>#N/A</v>
      </c>
    </row>
    <row r="1804">
      <c r="A1804" t="str">
        <f>IFERROR(__xludf.DUMMYFUNCTION("""COMPUTED_VALUE"""),"#N/A")</f>
        <v>#N/A</v>
      </c>
      <c r="B1804" s="451" t="str">
        <f>IFERROR(__xludf.DUMMYFUNCTION("""COMPUTED_VALUE"""),"#N/A")</f>
        <v>#N/A</v>
      </c>
    </row>
    <row r="1805">
      <c r="A1805" t="str">
        <f>IFERROR(__xludf.DUMMYFUNCTION("""COMPUTED_VALUE"""),"#N/A")</f>
        <v>#N/A</v>
      </c>
      <c r="B1805" s="451" t="str">
        <f>IFERROR(__xludf.DUMMYFUNCTION("""COMPUTED_VALUE"""),"#N/A")</f>
        <v>#N/A</v>
      </c>
    </row>
    <row r="1806">
      <c r="A1806" t="str">
        <f>IFERROR(__xludf.DUMMYFUNCTION("""COMPUTED_VALUE"""),"#N/A")</f>
        <v>#N/A</v>
      </c>
      <c r="B1806" s="451" t="str">
        <f>IFERROR(__xludf.DUMMYFUNCTION("""COMPUTED_VALUE"""),"#N/A")</f>
        <v>#N/A</v>
      </c>
    </row>
    <row r="1807">
      <c r="A1807" t="str">
        <f>IFERROR(__xludf.DUMMYFUNCTION("""COMPUTED_VALUE"""),"#N/A")</f>
        <v>#N/A</v>
      </c>
      <c r="B1807" s="451" t="str">
        <f>IFERROR(__xludf.DUMMYFUNCTION("""COMPUTED_VALUE"""),"#N/A")</f>
        <v>#N/A</v>
      </c>
    </row>
    <row r="1808">
      <c r="A1808" t="str">
        <f>IFERROR(__xludf.DUMMYFUNCTION("""COMPUTED_VALUE"""),"#N/A")</f>
        <v>#N/A</v>
      </c>
      <c r="B1808" s="451" t="str">
        <f>IFERROR(__xludf.DUMMYFUNCTION("""COMPUTED_VALUE"""),"#N/A")</f>
        <v>#N/A</v>
      </c>
    </row>
    <row r="1809">
      <c r="A1809" t="str">
        <f>IFERROR(__xludf.DUMMYFUNCTION("""COMPUTED_VALUE"""),"#N/A")</f>
        <v>#N/A</v>
      </c>
      <c r="B1809" s="451" t="str">
        <f>IFERROR(__xludf.DUMMYFUNCTION("""COMPUTED_VALUE"""),"#N/A")</f>
        <v>#N/A</v>
      </c>
    </row>
    <row r="1810">
      <c r="A1810" t="str">
        <f>IFERROR(__xludf.DUMMYFUNCTION("""COMPUTED_VALUE"""),"#N/A")</f>
        <v>#N/A</v>
      </c>
      <c r="B1810" s="451" t="str">
        <f>IFERROR(__xludf.DUMMYFUNCTION("""COMPUTED_VALUE"""),"#N/A")</f>
        <v>#N/A</v>
      </c>
    </row>
    <row r="1811">
      <c r="A1811" t="str">
        <f>IFERROR(__xludf.DUMMYFUNCTION("""COMPUTED_VALUE"""),"#N/A")</f>
        <v>#N/A</v>
      </c>
      <c r="B1811" s="451" t="str">
        <f>IFERROR(__xludf.DUMMYFUNCTION("""COMPUTED_VALUE"""),"#N/A")</f>
        <v>#N/A</v>
      </c>
    </row>
    <row r="1812">
      <c r="A1812" t="str">
        <f>IFERROR(__xludf.DUMMYFUNCTION("""COMPUTED_VALUE"""),"#N/A")</f>
        <v>#N/A</v>
      </c>
      <c r="B1812" s="451" t="str">
        <f>IFERROR(__xludf.DUMMYFUNCTION("""COMPUTED_VALUE"""),"#N/A")</f>
        <v>#N/A</v>
      </c>
    </row>
    <row r="1813">
      <c r="A1813" t="str">
        <f>IFERROR(__xludf.DUMMYFUNCTION("""COMPUTED_VALUE"""),"#N/A")</f>
        <v>#N/A</v>
      </c>
      <c r="B1813" s="451" t="str">
        <f>IFERROR(__xludf.DUMMYFUNCTION("""COMPUTED_VALUE"""),"#N/A")</f>
        <v>#N/A</v>
      </c>
    </row>
    <row r="1814">
      <c r="A1814" t="str">
        <f>IFERROR(__xludf.DUMMYFUNCTION("""COMPUTED_VALUE"""),"#N/A")</f>
        <v>#N/A</v>
      </c>
      <c r="B1814" s="451" t="str">
        <f>IFERROR(__xludf.DUMMYFUNCTION("""COMPUTED_VALUE"""),"#N/A")</f>
        <v>#N/A</v>
      </c>
    </row>
    <row r="1815">
      <c r="A1815" t="str">
        <f>IFERROR(__xludf.DUMMYFUNCTION("""COMPUTED_VALUE"""),"#N/A")</f>
        <v>#N/A</v>
      </c>
      <c r="B1815" s="451" t="str">
        <f>IFERROR(__xludf.DUMMYFUNCTION("""COMPUTED_VALUE"""),"#N/A")</f>
        <v>#N/A</v>
      </c>
    </row>
    <row r="1816">
      <c r="A1816" t="str">
        <f>IFERROR(__xludf.DUMMYFUNCTION("""COMPUTED_VALUE"""),"#N/A")</f>
        <v>#N/A</v>
      </c>
      <c r="B1816" s="451" t="str">
        <f>IFERROR(__xludf.DUMMYFUNCTION("""COMPUTED_VALUE"""),"#N/A")</f>
        <v>#N/A</v>
      </c>
    </row>
    <row r="1817">
      <c r="A1817" t="str">
        <f>IFERROR(__xludf.DUMMYFUNCTION("""COMPUTED_VALUE"""),"#N/A")</f>
        <v>#N/A</v>
      </c>
      <c r="B1817" s="451" t="str">
        <f>IFERROR(__xludf.DUMMYFUNCTION("""COMPUTED_VALUE"""),"#N/A")</f>
        <v>#N/A</v>
      </c>
    </row>
    <row r="1818">
      <c r="A1818" t="str">
        <f>IFERROR(__xludf.DUMMYFUNCTION("""COMPUTED_VALUE"""),"#N/A")</f>
        <v>#N/A</v>
      </c>
      <c r="B1818" s="451" t="str">
        <f>IFERROR(__xludf.DUMMYFUNCTION("""COMPUTED_VALUE"""),"#N/A")</f>
        <v>#N/A</v>
      </c>
    </row>
    <row r="1819">
      <c r="A1819" t="str">
        <f>IFERROR(__xludf.DUMMYFUNCTION("""COMPUTED_VALUE"""),"#N/A")</f>
        <v>#N/A</v>
      </c>
      <c r="B1819" s="451" t="str">
        <f>IFERROR(__xludf.DUMMYFUNCTION("""COMPUTED_VALUE"""),"#N/A")</f>
        <v>#N/A</v>
      </c>
    </row>
    <row r="1820">
      <c r="A1820" t="str">
        <f>IFERROR(__xludf.DUMMYFUNCTION("""COMPUTED_VALUE"""),"#N/A")</f>
        <v>#N/A</v>
      </c>
      <c r="B1820" s="451" t="str">
        <f>IFERROR(__xludf.DUMMYFUNCTION("""COMPUTED_VALUE"""),"#N/A")</f>
        <v>#N/A</v>
      </c>
    </row>
    <row r="1821">
      <c r="A1821" t="str">
        <f>IFERROR(__xludf.DUMMYFUNCTION("""COMPUTED_VALUE"""),"#N/A")</f>
        <v>#N/A</v>
      </c>
      <c r="B1821" s="451" t="str">
        <f>IFERROR(__xludf.DUMMYFUNCTION("""COMPUTED_VALUE"""),"#N/A")</f>
        <v>#N/A</v>
      </c>
    </row>
    <row r="1822">
      <c r="A1822" t="str">
        <f>IFERROR(__xludf.DUMMYFUNCTION("""COMPUTED_VALUE"""),"#N/A")</f>
        <v>#N/A</v>
      </c>
      <c r="B1822" s="451" t="str">
        <f>IFERROR(__xludf.DUMMYFUNCTION("""COMPUTED_VALUE"""),"#N/A")</f>
        <v>#N/A</v>
      </c>
    </row>
    <row r="1823">
      <c r="A1823" t="str">
        <f>IFERROR(__xludf.DUMMYFUNCTION("""COMPUTED_VALUE"""),"#N/A")</f>
        <v>#N/A</v>
      </c>
      <c r="B1823" s="451" t="str">
        <f>IFERROR(__xludf.DUMMYFUNCTION("""COMPUTED_VALUE"""),"#N/A")</f>
        <v>#N/A</v>
      </c>
    </row>
    <row r="1824">
      <c r="A1824" t="str">
        <f>IFERROR(__xludf.DUMMYFUNCTION("""COMPUTED_VALUE"""),"#N/A")</f>
        <v>#N/A</v>
      </c>
      <c r="B1824" s="451" t="str">
        <f>IFERROR(__xludf.DUMMYFUNCTION("""COMPUTED_VALUE"""),"#N/A")</f>
        <v>#N/A</v>
      </c>
    </row>
    <row r="1825">
      <c r="A1825" t="str">
        <f>IFERROR(__xludf.DUMMYFUNCTION("""COMPUTED_VALUE"""),"#N/A")</f>
        <v>#N/A</v>
      </c>
      <c r="B1825" s="451" t="str">
        <f>IFERROR(__xludf.DUMMYFUNCTION("""COMPUTED_VALUE"""),"#N/A")</f>
        <v>#N/A</v>
      </c>
    </row>
    <row r="1826">
      <c r="A1826" t="str">
        <f>IFERROR(__xludf.DUMMYFUNCTION("""COMPUTED_VALUE"""),"#N/A")</f>
        <v>#N/A</v>
      </c>
      <c r="B1826" s="451" t="str">
        <f>IFERROR(__xludf.DUMMYFUNCTION("""COMPUTED_VALUE"""),"#N/A")</f>
        <v>#N/A</v>
      </c>
    </row>
    <row r="1827">
      <c r="A1827" t="str">
        <f>IFERROR(__xludf.DUMMYFUNCTION("""COMPUTED_VALUE"""),"#N/A")</f>
        <v>#N/A</v>
      </c>
      <c r="B1827" s="451" t="str">
        <f>IFERROR(__xludf.DUMMYFUNCTION("""COMPUTED_VALUE"""),"#N/A")</f>
        <v>#N/A</v>
      </c>
    </row>
    <row r="1828">
      <c r="A1828" t="str">
        <f>IFERROR(__xludf.DUMMYFUNCTION("""COMPUTED_VALUE"""),"#N/A")</f>
        <v>#N/A</v>
      </c>
      <c r="B1828" s="451" t="str">
        <f>IFERROR(__xludf.DUMMYFUNCTION("""COMPUTED_VALUE"""),"#N/A")</f>
        <v>#N/A</v>
      </c>
    </row>
    <row r="1829">
      <c r="A1829" t="str">
        <f>IFERROR(__xludf.DUMMYFUNCTION("""COMPUTED_VALUE"""),"#N/A")</f>
        <v>#N/A</v>
      </c>
      <c r="B1829" s="451" t="str">
        <f>IFERROR(__xludf.DUMMYFUNCTION("""COMPUTED_VALUE"""),"#N/A")</f>
        <v>#N/A</v>
      </c>
    </row>
    <row r="1830">
      <c r="A1830" t="str">
        <f>IFERROR(__xludf.DUMMYFUNCTION("""COMPUTED_VALUE"""),"#N/A")</f>
        <v>#N/A</v>
      </c>
      <c r="B1830" s="451" t="str">
        <f>IFERROR(__xludf.DUMMYFUNCTION("""COMPUTED_VALUE"""),"#N/A")</f>
        <v>#N/A</v>
      </c>
    </row>
    <row r="1831">
      <c r="A1831" t="str">
        <f>IFERROR(__xludf.DUMMYFUNCTION("""COMPUTED_VALUE"""),"#N/A")</f>
        <v>#N/A</v>
      </c>
      <c r="B1831" s="451" t="str">
        <f>IFERROR(__xludf.DUMMYFUNCTION("""COMPUTED_VALUE"""),"#N/A")</f>
        <v>#N/A</v>
      </c>
    </row>
    <row r="1832">
      <c r="A1832" t="str">
        <f>IFERROR(__xludf.DUMMYFUNCTION("""COMPUTED_VALUE"""),"#N/A")</f>
        <v>#N/A</v>
      </c>
      <c r="B1832" s="451" t="str">
        <f>IFERROR(__xludf.DUMMYFUNCTION("""COMPUTED_VALUE"""),"#N/A")</f>
        <v>#N/A</v>
      </c>
    </row>
    <row r="1833">
      <c r="A1833" t="str">
        <f>IFERROR(__xludf.DUMMYFUNCTION("""COMPUTED_VALUE"""),"#N/A")</f>
        <v>#N/A</v>
      </c>
      <c r="B1833" s="451" t="str">
        <f>IFERROR(__xludf.DUMMYFUNCTION("""COMPUTED_VALUE"""),"#N/A")</f>
        <v>#N/A</v>
      </c>
    </row>
    <row r="1834">
      <c r="A1834" t="str">
        <f>IFERROR(__xludf.DUMMYFUNCTION("""COMPUTED_VALUE"""),"#N/A")</f>
        <v>#N/A</v>
      </c>
      <c r="B1834" s="451" t="str">
        <f>IFERROR(__xludf.DUMMYFUNCTION("""COMPUTED_VALUE"""),"#N/A")</f>
        <v>#N/A</v>
      </c>
    </row>
    <row r="1835">
      <c r="A1835" t="str">
        <f>IFERROR(__xludf.DUMMYFUNCTION("""COMPUTED_VALUE"""),"#N/A")</f>
        <v>#N/A</v>
      </c>
      <c r="B1835" s="451" t="str">
        <f>IFERROR(__xludf.DUMMYFUNCTION("""COMPUTED_VALUE"""),"#N/A")</f>
        <v>#N/A</v>
      </c>
    </row>
    <row r="1836">
      <c r="A1836" t="str">
        <f>IFERROR(__xludf.DUMMYFUNCTION("""COMPUTED_VALUE"""),"#N/A")</f>
        <v>#N/A</v>
      </c>
      <c r="B1836" s="451" t="str">
        <f>IFERROR(__xludf.DUMMYFUNCTION("""COMPUTED_VALUE"""),"#N/A")</f>
        <v>#N/A</v>
      </c>
    </row>
    <row r="1837">
      <c r="A1837" t="str">
        <f>IFERROR(__xludf.DUMMYFUNCTION("""COMPUTED_VALUE"""),"#N/A")</f>
        <v>#N/A</v>
      </c>
      <c r="B1837" s="451" t="str">
        <f>IFERROR(__xludf.DUMMYFUNCTION("""COMPUTED_VALUE"""),"#N/A")</f>
        <v>#N/A</v>
      </c>
    </row>
    <row r="1838">
      <c r="A1838" t="str">
        <f>IFERROR(__xludf.DUMMYFUNCTION("""COMPUTED_VALUE"""),"#N/A")</f>
        <v>#N/A</v>
      </c>
      <c r="B1838" s="451" t="str">
        <f>IFERROR(__xludf.DUMMYFUNCTION("""COMPUTED_VALUE"""),"#N/A")</f>
        <v>#N/A</v>
      </c>
    </row>
    <row r="1839">
      <c r="A1839" t="str">
        <f>IFERROR(__xludf.DUMMYFUNCTION("""COMPUTED_VALUE"""),"#N/A")</f>
        <v>#N/A</v>
      </c>
      <c r="B1839" s="451" t="str">
        <f>IFERROR(__xludf.DUMMYFUNCTION("""COMPUTED_VALUE"""),"#N/A")</f>
        <v>#N/A</v>
      </c>
    </row>
    <row r="1840">
      <c r="A1840" t="str">
        <f>IFERROR(__xludf.DUMMYFUNCTION("""COMPUTED_VALUE"""),"#N/A")</f>
        <v>#N/A</v>
      </c>
      <c r="B1840" s="451" t="str">
        <f>IFERROR(__xludf.DUMMYFUNCTION("""COMPUTED_VALUE"""),"#N/A")</f>
        <v>#N/A</v>
      </c>
    </row>
    <row r="1841">
      <c r="A1841" t="str">
        <f>IFERROR(__xludf.DUMMYFUNCTION("""COMPUTED_VALUE"""),"#N/A")</f>
        <v>#N/A</v>
      </c>
      <c r="B1841" s="451" t="str">
        <f>IFERROR(__xludf.DUMMYFUNCTION("""COMPUTED_VALUE"""),"#N/A")</f>
        <v>#N/A</v>
      </c>
    </row>
    <row r="1842">
      <c r="A1842" t="str">
        <f>IFERROR(__xludf.DUMMYFUNCTION("""COMPUTED_VALUE"""),"#N/A")</f>
        <v>#N/A</v>
      </c>
      <c r="B1842" s="451" t="str">
        <f>IFERROR(__xludf.DUMMYFUNCTION("""COMPUTED_VALUE"""),"#N/A")</f>
        <v>#N/A</v>
      </c>
    </row>
    <row r="1843">
      <c r="A1843" t="str">
        <f>IFERROR(__xludf.DUMMYFUNCTION("""COMPUTED_VALUE"""),"#N/A")</f>
        <v>#N/A</v>
      </c>
      <c r="B1843" s="451" t="str">
        <f>IFERROR(__xludf.DUMMYFUNCTION("""COMPUTED_VALUE"""),"#N/A")</f>
        <v>#N/A</v>
      </c>
    </row>
    <row r="1844">
      <c r="A1844" t="str">
        <f>IFERROR(__xludf.DUMMYFUNCTION("""COMPUTED_VALUE"""),"#N/A")</f>
        <v>#N/A</v>
      </c>
      <c r="B1844" s="451" t="str">
        <f>IFERROR(__xludf.DUMMYFUNCTION("""COMPUTED_VALUE"""),"#N/A")</f>
        <v>#N/A</v>
      </c>
    </row>
    <row r="1845">
      <c r="A1845" t="str">
        <f>IFERROR(__xludf.DUMMYFUNCTION("""COMPUTED_VALUE"""),"#N/A")</f>
        <v>#N/A</v>
      </c>
      <c r="B1845" s="451" t="str">
        <f>IFERROR(__xludf.DUMMYFUNCTION("""COMPUTED_VALUE"""),"#N/A")</f>
        <v>#N/A</v>
      </c>
    </row>
    <row r="1846">
      <c r="A1846" t="str">
        <f>IFERROR(__xludf.DUMMYFUNCTION("""COMPUTED_VALUE"""),"#N/A")</f>
        <v>#N/A</v>
      </c>
      <c r="B1846" s="451" t="str">
        <f>IFERROR(__xludf.DUMMYFUNCTION("""COMPUTED_VALUE"""),"#N/A")</f>
        <v>#N/A</v>
      </c>
    </row>
    <row r="1847">
      <c r="A1847" t="str">
        <f>IFERROR(__xludf.DUMMYFUNCTION("""COMPUTED_VALUE"""),"#N/A")</f>
        <v>#N/A</v>
      </c>
      <c r="B1847" s="451" t="str">
        <f>IFERROR(__xludf.DUMMYFUNCTION("""COMPUTED_VALUE"""),"#N/A")</f>
        <v>#N/A</v>
      </c>
    </row>
    <row r="1848">
      <c r="A1848" t="str">
        <f>IFERROR(__xludf.DUMMYFUNCTION("""COMPUTED_VALUE"""),"#N/A")</f>
        <v>#N/A</v>
      </c>
      <c r="B1848" s="451" t="str">
        <f>IFERROR(__xludf.DUMMYFUNCTION("""COMPUTED_VALUE"""),"#N/A")</f>
        <v>#N/A</v>
      </c>
    </row>
    <row r="1849">
      <c r="A1849" t="str">
        <f>IFERROR(__xludf.DUMMYFUNCTION("""COMPUTED_VALUE"""),"#N/A")</f>
        <v>#N/A</v>
      </c>
      <c r="B1849" s="451" t="str">
        <f>IFERROR(__xludf.DUMMYFUNCTION("""COMPUTED_VALUE"""),"#N/A")</f>
        <v>#N/A</v>
      </c>
    </row>
    <row r="1850">
      <c r="A1850" t="str">
        <f>IFERROR(__xludf.DUMMYFUNCTION("""COMPUTED_VALUE"""),"#N/A")</f>
        <v>#N/A</v>
      </c>
      <c r="B1850" s="451" t="str">
        <f>IFERROR(__xludf.DUMMYFUNCTION("""COMPUTED_VALUE"""),"#N/A")</f>
        <v>#N/A</v>
      </c>
    </row>
    <row r="1851">
      <c r="A1851" t="str">
        <f>IFERROR(__xludf.DUMMYFUNCTION("""COMPUTED_VALUE"""),"#N/A")</f>
        <v>#N/A</v>
      </c>
      <c r="B1851" s="451" t="str">
        <f>IFERROR(__xludf.DUMMYFUNCTION("""COMPUTED_VALUE"""),"#N/A")</f>
        <v>#N/A</v>
      </c>
    </row>
    <row r="1852">
      <c r="A1852" t="str">
        <f>IFERROR(__xludf.DUMMYFUNCTION("""COMPUTED_VALUE"""),"#N/A")</f>
        <v>#N/A</v>
      </c>
      <c r="B1852" s="451" t="str">
        <f>IFERROR(__xludf.DUMMYFUNCTION("""COMPUTED_VALUE"""),"#N/A")</f>
        <v>#N/A</v>
      </c>
    </row>
    <row r="1853">
      <c r="A1853" t="str">
        <f>IFERROR(__xludf.DUMMYFUNCTION("""COMPUTED_VALUE"""),"#N/A")</f>
        <v>#N/A</v>
      </c>
      <c r="B1853" s="451" t="str">
        <f>IFERROR(__xludf.DUMMYFUNCTION("""COMPUTED_VALUE"""),"#N/A")</f>
        <v>#N/A</v>
      </c>
    </row>
    <row r="1854">
      <c r="A1854" t="str">
        <f>IFERROR(__xludf.DUMMYFUNCTION("""COMPUTED_VALUE"""),"#N/A")</f>
        <v>#N/A</v>
      </c>
      <c r="B1854" s="451" t="str">
        <f>IFERROR(__xludf.DUMMYFUNCTION("""COMPUTED_VALUE"""),"#N/A")</f>
        <v>#N/A</v>
      </c>
    </row>
    <row r="1855">
      <c r="A1855" t="str">
        <f>IFERROR(__xludf.DUMMYFUNCTION("""COMPUTED_VALUE"""),"#N/A")</f>
        <v>#N/A</v>
      </c>
      <c r="B1855" s="451" t="str">
        <f>IFERROR(__xludf.DUMMYFUNCTION("""COMPUTED_VALUE"""),"#N/A")</f>
        <v>#N/A</v>
      </c>
    </row>
    <row r="1856">
      <c r="A1856" t="str">
        <f>IFERROR(__xludf.DUMMYFUNCTION("""COMPUTED_VALUE"""),"#N/A")</f>
        <v>#N/A</v>
      </c>
      <c r="B1856" s="451" t="str">
        <f>IFERROR(__xludf.DUMMYFUNCTION("""COMPUTED_VALUE"""),"#N/A")</f>
        <v>#N/A</v>
      </c>
    </row>
    <row r="1857">
      <c r="A1857" t="str">
        <f>IFERROR(__xludf.DUMMYFUNCTION("""COMPUTED_VALUE"""),"#N/A")</f>
        <v>#N/A</v>
      </c>
      <c r="B1857" s="451" t="str">
        <f>IFERROR(__xludf.DUMMYFUNCTION("""COMPUTED_VALUE"""),"#N/A")</f>
        <v>#N/A</v>
      </c>
    </row>
    <row r="1858">
      <c r="A1858" t="str">
        <f>IFERROR(__xludf.DUMMYFUNCTION("""COMPUTED_VALUE"""),"#N/A")</f>
        <v>#N/A</v>
      </c>
      <c r="B1858" s="451" t="str">
        <f>IFERROR(__xludf.DUMMYFUNCTION("""COMPUTED_VALUE"""),"#N/A")</f>
        <v>#N/A</v>
      </c>
    </row>
    <row r="1859">
      <c r="A1859" t="str">
        <f>IFERROR(__xludf.DUMMYFUNCTION("""COMPUTED_VALUE"""),"#N/A")</f>
        <v>#N/A</v>
      </c>
      <c r="B1859" s="451" t="str">
        <f>IFERROR(__xludf.DUMMYFUNCTION("""COMPUTED_VALUE"""),"#N/A")</f>
        <v>#N/A</v>
      </c>
    </row>
    <row r="1860">
      <c r="A1860" t="str">
        <f>IFERROR(__xludf.DUMMYFUNCTION("""COMPUTED_VALUE"""),"#N/A")</f>
        <v>#N/A</v>
      </c>
      <c r="B1860" s="451" t="str">
        <f>IFERROR(__xludf.DUMMYFUNCTION("""COMPUTED_VALUE"""),"#N/A")</f>
        <v>#N/A</v>
      </c>
    </row>
    <row r="1861">
      <c r="A1861" t="str">
        <f>IFERROR(__xludf.DUMMYFUNCTION("""COMPUTED_VALUE"""),"#N/A")</f>
        <v>#N/A</v>
      </c>
      <c r="B1861" s="451" t="str">
        <f>IFERROR(__xludf.DUMMYFUNCTION("""COMPUTED_VALUE"""),"#N/A")</f>
        <v>#N/A</v>
      </c>
    </row>
    <row r="1862">
      <c r="A1862" t="str">
        <f>IFERROR(__xludf.DUMMYFUNCTION("""COMPUTED_VALUE"""),"#N/A")</f>
        <v>#N/A</v>
      </c>
      <c r="B1862" s="451" t="str">
        <f>IFERROR(__xludf.DUMMYFUNCTION("""COMPUTED_VALUE"""),"#N/A")</f>
        <v>#N/A</v>
      </c>
    </row>
    <row r="1863">
      <c r="A1863" t="str">
        <f>IFERROR(__xludf.DUMMYFUNCTION("""COMPUTED_VALUE"""),"#N/A")</f>
        <v>#N/A</v>
      </c>
      <c r="B1863" s="451" t="str">
        <f>IFERROR(__xludf.DUMMYFUNCTION("""COMPUTED_VALUE"""),"#N/A")</f>
        <v>#N/A</v>
      </c>
    </row>
    <row r="1864">
      <c r="A1864" t="str">
        <f>IFERROR(__xludf.DUMMYFUNCTION("""COMPUTED_VALUE"""),"#N/A")</f>
        <v>#N/A</v>
      </c>
      <c r="B1864" s="451" t="str">
        <f>IFERROR(__xludf.DUMMYFUNCTION("""COMPUTED_VALUE"""),"#N/A")</f>
        <v>#N/A</v>
      </c>
    </row>
    <row r="1865">
      <c r="A1865" t="str">
        <f>IFERROR(__xludf.DUMMYFUNCTION("""COMPUTED_VALUE"""),"#N/A")</f>
        <v>#N/A</v>
      </c>
      <c r="B1865" s="451" t="str">
        <f>IFERROR(__xludf.DUMMYFUNCTION("""COMPUTED_VALUE"""),"#N/A")</f>
        <v>#N/A</v>
      </c>
    </row>
    <row r="1866">
      <c r="A1866" t="str">
        <f>IFERROR(__xludf.DUMMYFUNCTION("""COMPUTED_VALUE"""),"#N/A")</f>
        <v>#N/A</v>
      </c>
      <c r="B1866" s="451" t="str">
        <f>IFERROR(__xludf.DUMMYFUNCTION("""COMPUTED_VALUE"""),"#N/A")</f>
        <v>#N/A</v>
      </c>
    </row>
    <row r="1867">
      <c r="A1867" t="str">
        <f>IFERROR(__xludf.DUMMYFUNCTION("""COMPUTED_VALUE"""),"#N/A")</f>
        <v>#N/A</v>
      </c>
      <c r="B1867" s="451" t="str">
        <f>IFERROR(__xludf.DUMMYFUNCTION("""COMPUTED_VALUE"""),"#N/A")</f>
        <v>#N/A</v>
      </c>
    </row>
    <row r="1868">
      <c r="A1868" t="str">
        <f>IFERROR(__xludf.DUMMYFUNCTION("""COMPUTED_VALUE"""),"#N/A")</f>
        <v>#N/A</v>
      </c>
      <c r="B1868" s="451" t="str">
        <f>IFERROR(__xludf.DUMMYFUNCTION("""COMPUTED_VALUE"""),"#N/A")</f>
        <v>#N/A</v>
      </c>
    </row>
    <row r="1869">
      <c r="A1869" t="str">
        <f>IFERROR(__xludf.DUMMYFUNCTION("""COMPUTED_VALUE"""),"#N/A")</f>
        <v>#N/A</v>
      </c>
      <c r="B1869" s="451" t="str">
        <f>IFERROR(__xludf.DUMMYFUNCTION("""COMPUTED_VALUE"""),"#N/A")</f>
        <v>#N/A</v>
      </c>
    </row>
    <row r="1870">
      <c r="A1870" t="str">
        <f>IFERROR(__xludf.DUMMYFUNCTION("""COMPUTED_VALUE"""),"#N/A")</f>
        <v>#N/A</v>
      </c>
      <c r="B1870" s="451" t="str">
        <f>IFERROR(__xludf.DUMMYFUNCTION("""COMPUTED_VALUE"""),"#N/A")</f>
        <v>#N/A</v>
      </c>
    </row>
    <row r="1871">
      <c r="A1871" t="str">
        <f>IFERROR(__xludf.DUMMYFUNCTION("""COMPUTED_VALUE"""),"#N/A")</f>
        <v>#N/A</v>
      </c>
      <c r="B1871" s="451" t="str">
        <f>IFERROR(__xludf.DUMMYFUNCTION("""COMPUTED_VALUE"""),"#N/A")</f>
        <v>#N/A</v>
      </c>
    </row>
    <row r="1872">
      <c r="A1872" t="str">
        <f>IFERROR(__xludf.DUMMYFUNCTION("""COMPUTED_VALUE"""),"#N/A")</f>
        <v>#N/A</v>
      </c>
      <c r="B1872" s="451" t="str">
        <f>IFERROR(__xludf.DUMMYFUNCTION("""COMPUTED_VALUE"""),"#N/A")</f>
        <v>#N/A</v>
      </c>
    </row>
    <row r="1873">
      <c r="A1873" t="str">
        <f>IFERROR(__xludf.DUMMYFUNCTION("""COMPUTED_VALUE"""),"#N/A")</f>
        <v>#N/A</v>
      </c>
      <c r="B1873" s="451" t="str">
        <f>IFERROR(__xludf.DUMMYFUNCTION("""COMPUTED_VALUE"""),"#N/A")</f>
        <v>#N/A</v>
      </c>
    </row>
    <row r="1874">
      <c r="A1874" t="str">
        <f>IFERROR(__xludf.DUMMYFUNCTION("""COMPUTED_VALUE"""),"#N/A")</f>
        <v>#N/A</v>
      </c>
      <c r="B1874" s="451" t="str">
        <f>IFERROR(__xludf.DUMMYFUNCTION("""COMPUTED_VALUE"""),"#N/A")</f>
        <v>#N/A</v>
      </c>
    </row>
    <row r="1875">
      <c r="A1875" t="str">
        <f>IFERROR(__xludf.DUMMYFUNCTION("""COMPUTED_VALUE"""),"#N/A")</f>
        <v>#N/A</v>
      </c>
      <c r="B1875" s="451" t="str">
        <f>IFERROR(__xludf.DUMMYFUNCTION("""COMPUTED_VALUE"""),"#N/A")</f>
        <v>#N/A</v>
      </c>
    </row>
    <row r="1876">
      <c r="A1876" t="str">
        <f>IFERROR(__xludf.DUMMYFUNCTION("""COMPUTED_VALUE"""),"#N/A")</f>
        <v>#N/A</v>
      </c>
      <c r="B1876" s="451" t="str">
        <f>IFERROR(__xludf.DUMMYFUNCTION("""COMPUTED_VALUE"""),"#N/A")</f>
        <v>#N/A</v>
      </c>
    </row>
    <row r="1877">
      <c r="A1877" t="str">
        <f>IFERROR(__xludf.DUMMYFUNCTION("""COMPUTED_VALUE"""),"#N/A")</f>
        <v>#N/A</v>
      </c>
      <c r="B1877" s="451" t="str">
        <f>IFERROR(__xludf.DUMMYFUNCTION("""COMPUTED_VALUE"""),"#N/A")</f>
        <v>#N/A</v>
      </c>
    </row>
    <row r="1878">
      <c r="A1878" t="str">
        <f>IFERROR(__xludf.DUMMYFUNCTION("""COMPUTED_VALUE"""),"#N/A")</f>
        <v>#N/A</v>
      </c>
      <c r="B1878" s="451" t="str">
        <f>IFERROR(__xludf.DUMMYFUNCTION("""COMPUTED_VALUE"""),"#N/A")</f>
        <v>#N/A</v>
      </c>
    </row>
    <row r="1879">
      <c r="A1879" t="str">
        <f>IFERROR(__xludf.DUMMYFUNCTION("""COMPUTED_VALUE"""),"#N/A")</f>
        <v>#N/A</v>
      </c>
      <c r="B1879" s="451" t="str">
        <f>IFERROR(__xludf.DUMMYFUNCTION("""COMPUTED_VALUE"""),"#N/A")</f>
        <v>#N/A</v>
      </c>
    </row>
    <row r="1880">
      <c r="A1880" t="str">
        <f>IFERROR(__xludf.DUMMYFUNCTION("""COMPUTED_VALUE"""),"#N/A")</f>
        <v>#N/A</v>
      </c>
      <c r="B1880" s="451" t="str">
        <f>IFERROR(__xludf.DUMMYFUNCTION("""COMPUTED_VALUE"""),"#N/A")</f>
        <v>#N/A</v>
      </c>
    </row>
    <row r="1881">
      <c r="A1881" t="str">
        <f>IFERROR(__xludf.DUMMYFUNCTION("""COMPUTED_VALUE"""),"#N/A")</f>
        <v>#N/A</v>
      </c>
      <c r="B1881" s="451" t="str">
        <f>IFERROR(__xludf.DUMMYFUNCTION("""COMPUTED_VALUE"""),"#N/A")</f>
        <v>#N/A</v>
      </c>
    </row>
    <row r="1882">
      <c r="A1882" t="str">
        <f>IFERROR(__xludf.DUMMYFUNCTION("""COMPUTED_VALUE"""),"#N/A")</f>
        <v>#N/A</v>
      </c>
      <c r="B1882" s="451" t="str">
        <f>IFERROR(__xludf.DUMMYFUNCTION("""COMPUTED_VALUE"""),"#N/A")</f>
        <v>#N/A</v>
      </c>
    </row>
    <row r="1883">
      <c r="A1883" t="str">
        <f>IFERROR(__xludf.DUMMYFUNCTION("""COMPUTED_VALUE"""),"#N/A")</f>
        <v>#N/A</v>
      </c>
      <c r="B1883" s="451" t="str">
        <f>IFERROR(__xludf.DUMMYFUNCTION("""COMPUTED_VALUE"""),"#N/A")</f>
        <v>#N/A</v>
      </c>
    </row>
    <row r="1884">
      <c r="A1884" t="str">
        <f>IFERROR(__xludf.DUMMYFUNCTION("""COMPUTED_VALUE"""),"#N/A")</f>
        <v>#N/A</v>
      </c>
      <c r="B1884" s="451" t="str">
        <f>IFERROR(__xludf.DUMMYFUNCTION("""COMPUTED_VALUE"""),"#N/A")</f>
        <v>#N/A</v>
      </c>
    </row>
    <row r="1885">
      <c r="A1885" t="str">
        <f>IFERROR(__xludf.DUMMYFUNCTION("""COMPUTED_VALUE"""),"#N/A")</f>
        <v>#N/A</v>
      </c>
      <c r="B1885" s="451" t="str">
        <f>IFERROR(__xludf.DUMMYFUNCTION("""COMPUTED_VALUE"""),"#N/A")</f>
        <v>#N/A</v>
      </c>
    </row>
    <row r="1886">
      <c r="A1886" t="str">
        <f>IFERROR(__xludf.DUMMYFUNCTION("""COMPUTED_VALUE"""),"#N/A")</f>
        <v>#N/A</v>
      </c>
      <c r="B1886" s="451" t="str">
        <f>IFERROR(__xludf.DUMMYFUNCTION("""COMPUTED_VALUE"""),"#N/A")</f>
        <v>#N/A</v>
      </c>
    </row>
    <row r="1887">
      <c r="A1887" t="str">
        <f>IFERROR(__xludf.DUMMYFUNCTION("""COMPUTED_VALUE"""),"#N/A")</f>
        <v>#N/A</v>
      </c>
      <c r="B1887" s="451" t="str">
        <f>IFERROR(__xludf.DUMMYFUNCTION("""COMPUTED_VALUE"""),"#N/A")</f>
        <v>#N/A</v>
      </c>
    </row>
    <row r="1888">
      <c r="A1888" t="str">
        <f>IFERROR(__xludf.DUMMYFUNCTION("""COMPUTED_VALUE"""),"#N/A")</f>
        <v>#N/A</v>
      </c>
      <c r="B1888" s="451" t="str">
        <f>IFERROR(__xludf.DUMMYFUNCTION("""COMPUTED_VALUE"""),"#N/A")</f>
        <v>#N/A</v>
      </c>
    </row>
    <row r="1889">
      <c r="A1889" t="str">
        <f>IFERROR(__xludf.DUMMYFUNCTION("""COMPUTED_VALUE"""),"#N/A")</f>
        <v>#N/A</v>
      </c>
      <c r="B1889" s="451" t="str">
        <f>IFERROR(__xludf.DUMMYFUNCTION("""COMPUTED_VALUE"""),"#N/A")</f>
        <v>#N/A</v>
      </c>
    </row>
    <row r="1890">
      <c r="A1890" t="str">
        <f>IFERROR(__xludf.DUMMYFUNCTION("""COMPUTED_VALUE"""),"#N/A")</f>
        <v>#N/A</v>
      </c>
      <c r="B1890" s="451" t="str">
        <f>IFERROR(__xludf.DUMMYFUNCTION("""COMPUTED_VALUE"""),"#N/A")</f>
        <v>#N/A</v>
      </c>
    </row>
    <row r="1891">
      <c r="A1891" t="str">
        <f>IFERROR(__xludf.DUMMYFUNCTION("""COMPUTED_VALUE"""),"#N/A")</f>
        <v>#N/A</v>
      </c>
      <c r="B1891" s="451" t="str">
        <f>IFERROR(__xludf.DUMMYFUNCTION("""COMPUTED_VALUE"""),"#N/A")</f>
        <v>#N/A</v>
      </c>
    </row>
    <row r="1892">
      <c r="A1892" t="str">
        <f>IFERROR(__xludf.DUMMYFUNCTION("""COMPUTED_VALUE"""),"#N/A")</f>
        <v>#N/A</v>
      </c>
      <c r="B1892" s="451" t="str">
        <f>IFERROR(__xludf.DUMMYFUNCTION("""COMPUTED_VALUE"""),"#N/A")</f>
        <v>#N/A</v>
      </c>
    </row>
    <row r="1893">
      <c r="A1893" t="str">
        <f>IFERROR(__xludf.DUMMYFUNCTION("""COMPUTED_VALUE"""),"#N/A")</f>
        <v>#N/A</v>
      </c>
      <c r="B1893" s="451" t="str">
        <f>IFERROR(__xludf.DUMMYFUNCTION("""COMPUTED_VALUE"""),"#N/A")</f>
        <v>#N/A</v>
      </c>
    </row>
    <row r="1894">
      <c r="A1894" t="str">
        <f>IFERROR(__xludf.DUMMYFUNCTION("""COMPUTED_VALUE"""),"#N/A")</f>
        <v>#N/A</v>
      </c>
      <c r="B1894" s="451" t="str">
        <f>IFERROR(__xludf.DUMMYFUNCTION("""COMPUTED_VALUE"""),"#N/A")</f>
        <v>#N/A</v>
      </c>
    </row>
    <row r="1895">
      <c r="A1895" t="str">
        <f>IFERROR(__xludf.DUMMYFUNCTION("""COMPUTED_VALUE"""),"#N/A")</f>
        <v>#N/A</v>
      </c>
      <c r="B1895" s="451" t="str">
        <f>IFERROR(__xludf.DUMMYFUNCTION("""COMPUTED_VALUE"""),"#N/A")</f>
        <v>#N/A</v>
      </c>
    </row>
    <row r="1896">
      <c r="A1896" t="str">
        <f>IFERROR(__xludf.DUMMYFUNCTION("""COMPUTED_VALUE"""),"#N/A")</f>
        <v>#N/A</v>
      </c>
      <c r="B1896" s="451" t="str">
        <f>IFERROR(__xludf.DUMMYFUNCTION("""COMPUTED_VALUE"""),"#N/A")</f>
        <v>#N/A</v>
      </c>
    </row>
    <row r="1897">
      <c r="A1897" t="str">
        <f>IFERROR(__xludf.DUMMYFUNCTION("""COMPUTED_VALUE"""),"#N/A")</f>
        <v>#N/A</v>
      </c>
      <c r="B1897" s="451" t="str">
        <f>IFERROR(__xludf.DUMMYFUNCTION("""COMPUTED_VALUE"""),"#N/A")</f>
        <v>#N/A</v>
      </c>
    </row>
    <row r="1898">
      <c r="A1898" t="str">
        <f>IFERROR(__xludf.DUMMYFUNCTION("""COMPUTED_VALUE"""),"#N/A")</f>
        <v>#N/A</v>
      </c>
      <c r="B1898" s="451" t="str">
        <f>IFERROR(__xludf.DUMMYFUNCTION("""COMPUTED_VALUE"""),"#N/A")</f>
        <v>#N/A</v>
      </c>
    </row>
    <row r="1899">
      <c r="A1899" t="str">
        <f>IFERROR(__xludf.DUMMYFUNCTION("""COMPUTED_VALUE"""),"#N/A")</f>
        <v>#N/A</v>
      </c>
      <c r="B1899" s="451" t="str">
        <f>IFERROR(__xludf.DUMMYFUNCTION("""COMPUTED_VALUE"""),"#N/A")</f>
        <v>#N/A</v>
      </c>
    </row>
    <row r="1900">
      <c r="A1900" t="str">
        <f>IFERROR(__xludf.DUMMYFUNCTION("""COMPUTED_VALUE"""),"#N/A")</f>
        <v>#N/A</v>
      </c>
      <c r="B1900" s="451" t="str">
        <f>IFERROR(__xludf.DUMMYFUNCTION("""COMPUTED_VALUE"""),"#N/A")</f>
        <v>#N/A</v>
      </c>
    </row>
    <row r="1901">
      <c r="A1901" t="str">
        <f>IFERROR(__xludf.DUMMYFUNCTION("""COMPUTED_VALUE"""),"#N/A")</f>
        <v>#N/A</v>
      </c>
      <c r="B1901" s="451" t="str">
        <f>IFERROR(__xludf.DUMMYFUNCTION("""COMPUTED_VALUE"""),"#N/A")</f>
        <v>#N/A</v>
      </c>
    </row>
    <row r="1902">
      <c r="A1902" t="str">
        <f>IFERROR(__xludf.DUMMYFUNCTION("""COMPUTED_VALUE"""),"#N/A")</f>
        <v>#N/A</v>
      </c>
      <c r="B1902" s="451" t="str">
        <f>IFERROR(__xludf.DUMMYFUNCTION("""COMPUTED_VALUE"""),"#N/A")</f>
        <v>#N/A</v>
      </c>
    </row>
    <row r="1903">
      <c r="A1903" t="str">
        <f>IFERROR(__xludf.DUMMYFUNCTION("""COMPUTED_VALUE"""),"#N/A")</f>
        <v>#N/A</v>
      </c>
      <c r="B1903" s="451" t="str">
        <f>IFERROR(__xludf.DUMMYFUNCTION("""COMPUTED_VALUE"""),"#N/A")</f>
        <v>#N/A</v>
      </c>
    </row>
    <row r="1904">
      <c r="A1904" t="str">
        <f>IFERROR(__xludf.DUMMYFUNCTION("""COMPUTED_VALUE"""),"#N/A")</f>
        <v>#N/A</v>
      </c>
      <c r="B1904" s="451" t="str">
        <f>IFERROR(__xludf.DUMMYFUNCTION("""COMPUTED_VALUE"""),"#N/A")</f>
        <v>#N/A</v>
      </c>
    </row>
    <row r="1905">
      <c r="A1905" t="str">
        <f>IFERROR(__xludf.DUMMYFUNCTION("""COMPUTED_VALUE"""),"#N/A")</f>
        <v>#N/A</v>
      </c>
      <c r="B1905" s="451" t="str">
        <f>IFERROR(__xludf.DUMMYFUNCTION("""COMPUTED_VALUE"""),"#N/A")</f>
        <v>#N/A</v>
      </c>
    </row>
    <row r="1906">
      <c r="A1906" t="str">
        <f>IFERROR(__xludf.DUMMYFUNCTION("""COMPUTED_VALUE"""),"#N/A")</f>
        <v>#N/A</v>
      </c>
      <c r="B1906" s="451" t="str">
        <f>IFERROR(__xludf.DUMMYFUNCTION("""COMPUTED_VALUE"""),"#N/A")</f>
        <v>#N/A</v>
      </c>
    </row>
    <row r="1907">
      <c r="A1907" t="str">
        <f>IFERROR(__xludf.DUMMYFUNCTION("""COMPUTED_VALUE"""),"#N/A")</f>
        <v>#N/A</v>
      </c>
      <c r="B1907" s="451" t="str">
        <f>IFERROR(__xludf.DUMMYFUNCTION("""COMPUTED_VALUE"""),"#N/A")</f>
        <v>#N/A</v>
      </c>
    </row>
    <row r="1908">
      <c r="A1908" t="str">
        <f>IFERROR(__xludf.DUMMYFUNCTION("""COMPUTED_VALUE"""),"#N/A")</f>
        <v>#N/A</v>
      </c>
      <c r="B1908" s="451" t="str">
        <f>IFERROR(__xludf.DUMMYFUNCTION("""COMPUTED_VALUE"""),"#N/A")</f>
        <v>#N/A</v>
      </c>
    </row>
    <row r="1909">
      <c r="A1909" t="str">
        <f>IFERROR(__xludf.DUMMYFUNCTION("""COMPUTED_VALUE"""),"#N/A")</f>
        <v>#N/A</v>
      </c>
      <c r="B1909" s="451" t="str">
        <f>IFERROR(__xludf.DUMMYFUNCTION("""COMPUTED_VALUE"""),"#N/A")</f>
        <v>#N/A</v>
      </c>
    </row>
    <row r="1910">
      <c r="A1910" t="str">
        <f>IFERROR(__xludf.DUMMYFUNCTION("""COMPUTED_VALUE"""),"#N/A")</f>
        <v>#N/A</v>
      </c>
      <c r="B1910" s="451" t="str">
        <f>IFERROR(__xludf.DUMMYFUNCTION("""COMPUTED_VALUE"""),"#N/A")</f>
        <v>#N/A</v>
      </c>
    </row>
    <row r="1911">
      <c r="A1911" t="str">
        <f>IFERROR(__xludf.DUMMYFUNCTION("""COMPUTED_VALUE"""),"#N/A")</f>
        <v>#N/A</v>
      </c>
      <c r="B1911" s="451" t="str">
        <f>IFERROR(__xludf.DUMMYFUNCTION("""COMPUTED_VALUE"""),"#N/A")</f>
        <v>#N/A</v>
      </c>
    </row>
    <row r="1912">
      <c r="A1912" t="str">
        <f>IFERROR(__xludf.DUMMYFUNCTION("""COMPUTED_VALUE"""),"#N/A")</f>
        <v>#N/A</v>
      </c>
      <c r="B1912" s="451" t="str">
        <f>IFERROR(__xludf.DUMMYFUNCTION("""COMPUTED_VALUE"""),"#N/A")</f>
        <v>#N/A</v>
      </c>
    </row>
    <row r="1913">
      <c r="A1913" t="str">
        <f>IFERROR(__xludf.DUMMYFUNCTION("""COMPUTED_VALUE"""),"#N/A")</f>
        <v>#N/A</v>
      </c>
      <c r="B1913" s="451" t="str">
        <f>IFERROR(__xludf.DUMMYFUNCTION("""COMPUTED_VALUE"""),"#N/A")</f>
        <v>#N/A</v>
      </c>
    </row>
    <row r="1914">
      <c r="A1914" t="str">
        <f>IFERROR(__xludf.DUMMYFUNCTION("""COMPUTED_VALUE"""),"#N/A")</f>
        <v>#N/A</v>
      </c>
      <c r="B1914" s="451" t="str">
        <f>IFERROR(__xludf.DUMMYFUNCTION("""COMPUTED_VALUE"""),"#N/A")</f>
        <v>#N/A</v>
      </c>
    </row>
    <row r="1915">
      <c r="A1915" t="str">
        <f>IFERROR(__xludf.DUMMYFUNCTION("""COMPUTED_VALUE"""),"#N/A")</f>
        <v>#N/A</v>
      </c>
      <c r="B1915" s="451" t="str">
        <f>IFERROR(__xludf.DUMMYFUNCTION("""COMPUTED_VALUE"""),"#N/A")</f>
        <v>#N/A</v>
      </c>
    </row>
    <row r="1916">
      <c r="A1916" t="str">
        <f>IFERROR(__xludf.DUMMYFUNCTION("""COMPUTED_VALUE"""),"#N/A")</f>
        <v>#N/A</v>
      </c>
      <c r="B1916" s="451" t="str">
        <f>IFERROR(__xludf.DUMMYFUNCTION("""COMPUTED_VALUE"""),"#N/A")</f>
        <v>#N/A</v>
      </c>
    </row>
    <row r="1917">
      <c r="A1917" t="str">
        <f>IFERROR(__xludf.DUMMYFUNCTION("""COMPUTED_VALUE"""),"#N/A")</f>
        <v>#N/A</v>
      </c>
      <c r="B1917" s="451" t="str">
        <f>IFERROR(__xludf.DUMMYFUNCTION("""COMPUTED_VALUE"""),"#N/A")</f>
        <v>#N/A</v>
      </c>
    </row>
    <row r="1918">
      <c r="A1918" t="str">
        <f>IFERROR(__xludf.DUMMYFUNCTION("""COMPUTED_VALUE"""),"#N/A")</f>
        <v>#N/A</v>
      </c>
      <c r="B1918" s="451" t="str">
        <f>IFERROR(__xludf.DUMMYFUNCTION("""COMPUTED_VALUE"""),"#N/A")</f>
        <v>#N/A</v>
      </c>
    </row>
    <row r="1919">
      <c r="A1919" t="str">
        <f>IFERROR(__xludf.DUMMYFUNCTION("""COMPUTED_VALUE"""),"#N/A")</f>
        <v>#N/A</v>
      </c>
      <c r="B1919" s="451" t="str">
        <f>IFERROR(__xludf.DUMMYFUNCTION("""COMPUTED_VALUE"""),"#N/A")</f>
        <v>#N/A</v>
      </c>
    </row>
    <row r="1920">
      <c r="A1920" t="str">
        <f>IFERROR(__xludf.DUMMYFUNCTION("""COMPUTED_VALUE"""),"#N/A")</f>
        <v>#N/A</v>
      </c>
      <c r="B1920" s="451" t="str">
        <f>IFERROR(__xludf.DUMMYFUNCTION("""COMPUTED_VALUE"""),"#N/A")</f>
        <v>#N/A</v>
      </c>
    </row>
    <row r="1921">
      <c r="A1921" t="str">
        <f>IFERROR(__xludf.DUMMYFUNCTION("""COMPUTED_VALUE"""),"#N/A")</f>
        <v>#N/A</v>
      </c>
      <c r="B1921" s="451" t="str">
        <f>IFERROR(__xludf.DUMMYFUNCTION("""COMPUTED_VALUE"""),"#N/A")</f>
        <v>#N/A</v>
      </c>
    </row>
    <row r="1922">
      <c r="A1922" t="str">
        <f>IFERROR(__xludf.DUMMYFUNCTION("""COMPUTED_VALUE"""),"#N/A")</f>
        <v>#N/A</v>
      </c>
      <c r="B1922" s="451" t="str">
        <f>IFERROR(__xludf.DUMMYFUNCTION("""COMPUTED_VALUE"""),"#N/A")</f>
        <v>#N/A</v>
      </c>
    </row>
    <row r="1923">
      <c r="A1923" t="str">
        <f>IFERROR(__xludf.DUMMYFUNCTION("""COMPUTED_VALUE"""),"#N/A")</f>
        <v>#N/A</v>
      </c>
      <c r="B1923" s="451" t="str">
        <f>IFERROR(__xludf.DUMMYFUNCTION("""COMPUTED_VALUE"""),"#N/A")</f>
        <v>#N/A</v>
      </c>
    </row>
    <row r="1924">
      <c r="A1924" t="str">
        <f>IFERROR(__xludf.DUMMYFUNCTION("""COMPUTED_VALUE"""),"#N/A")</f>
        <v>#N/A</v>
      </c>
      <c r="B1924" s="451" t="str">
        <f>IFERROR(__xludf.DUMMYFUNCTION("""COMPUTED_VALUE"""),"#N/A")</f>
        <v>#N/A</v>
      </c>
    </row>
    <row r="1925">
      <c r="A1925" t="str">
        <f>IFERROR(__xludf.DUMMYFUNCTION("""COMPUTED_VALUE"""),"#N/A")</f>
        <v>#N/A</v>
      </c>
      <c r="B1925" s="451" t="str">
        <f>IFERROR(__xludf.DUMMYFUNCTION("""COMPUTED_VALUE"""),"#N/A")</f>
        <v>#N/A</v>
      </c>
    </row>
    <row r="1926">
      <c r="A1926" t="str">
        <f>IFERROR(__xludf.DUMMYFUNCTION("""COMPUTED_VALUE"""),"#N/A")</f>
        <v>#N/A</v>
      </c>
      <c r="B1926" s="451" t="str">
        <f>IFERROR(__xludf.DUMMYFUNCTION("""COMPUTED_VALUE"""),"#N/A")</f>
        <v>#N/A</v>
      </c>
    </row>
    <row r="1927">
      <c r="A1927" t="str">
        <f>IFERROR(__xludf.DUMMYFUNCTION("""COMPUTED_VALUE"""),"#N/A")</f>
        <v>#N/A</v>
      </c>
      <c r="B1927" s="451" t="str">
        <f>IFERROR(__xludf.DUMMYFUNCTION("""COMPUTED_VALUE"""),"#N/A")</f>
        <v>#N/A</v>
      </c>
    </row>
    <row r="1928">
      <c r="A1928" t="str">
        <f>IFERROR(__xludf.DUMMYFUNCTION("""COMPUTED_VALUE"""),"#N/A")</f>
        <v>#N/A</v>
      </c>
      <c r="B1928" s="451" t="str">
        <f>IFERROR(__xludf.DUMMYFUNCTION("""COMPUTED_VALUE"""),"#N/A")</f>
        <v>#N/A</v>
      </c>
    </row>
    <row r="1929">
      <c r="A1929" t="str">
        <f>IFERROR(__xludf.DUMMYFUNCTION("""COMPUTED_VALUE"""),"#N/A")</f>
        <v>#N/A</v>
      </c>
      <c r="B1929" s="451" t="str">
        <f>IFERROR(__xludf.DUMMYFUNCTION("""COMPUTED_VALUE"""),"#N/A")</f>
        <v>#N/A</v>
      </c>
    </row>
    <row r="1930">
      <c r="A1930" t="str">
        <f>IFERROR(__xludf.DUMMYFUNCTION("""COMPUTED_VALUE"""),"#N/A")</f>
        <v>#N/A</v>
      </c>
      <c r="B1930" s="451" t="str">
        <f>IFERROR(__xludf.DUMMYFUNCTION("""COMPUTED_VALUE"""),"#N/A")</f>
        <v>#N/A</v>
      </c>
    </row>
    <row r="1931">
      <c r="A1931" t="str">
        <f>IFERROR(__xludf.DUMMYFUNCTION("""COMPUTED_VALUE"""),"#N/A")</f>
        <v>#N/A</v>
      </c>
      <c r="B1931" s="451" t="str">
        <f>IFERROR(__xludf.DUMMYFUNCTION("""COMPUTED_VALUE"""),"#N/A")</f>
        <v>#N/A</v>
      </c>
    </row>
    <row r="1932">
      <c r="A1932" t="str">
        <f>IFERROR(__xludf.DUMMYFUNCTION("""COMPUTED_VALUE"""),"#N/A")</f>
        <v>#N/A</v>
      </c>
      <c r="B1932" s="451" t="str">
        <f>IFERROR(__xludf.DUMMYFUNCTION("""COMPUTED_VALUE"""),"#N/A")</f>
        <v>#N/A</v>
      </c>
    </row>
    <row r="1933">
      <c r="A1933" t="str">
        <f>IFERROR(__xludf.DUMMYFUNCTION("""COMPUTED_VALUE"""),"#N/A")</f>
        <v>#N/A</v>
      </c>
      <c r="B1933" s="451" t="str">
        <f>IFERROR(__xludf.DUMMYFUNCTION("""COMPUTED_VALUE"""),"#N/A")</f>
        <v>#N/A</v>
      </c>
    </row>
    <row r="1934">
      <c r="A1934" t="str">
        <f>IFERROR(__xludf.DUMMYFUNCTION("""COMPUTED_VALUE"""),"#N/A")</f>
        <v>#N/A</v>
      </c>
      <c r="B1934" s="451" t="str">
        <f>IFERROR(__xludf.DUMMYFUNCTION("""COMPUTED_VALUE"""),"#N/A")</f>
        <v>#N/A</v>
      </c>
    </row>
    <row r="1935">
      <c r="A1935" t="str">
        <f>IFERROR(__xludf.DUMMYFUNCTION("""COMPUTED_VALUE"""),"#N/A")</f>
        <v>#N/A</v>
      </c>
      <c r="B1935" s="451" t="str">
        <f>IFERROR(__xludf.DUMMYFUNCTION("""COMPUTED_VALUE"""),"#N/A")</f>
        <v>#N/A</v>
      </c>
    </row>
    <row r="1936">
      <c r="A1936" t="str">
        <f>IFERROR(__xludf.DUMMYFUNCTION("""COMPUTED_VALUE"""),"#N/A")</f>
        <v>#N/A</v>
      </c>
      <c r="B1936" s="451" t="str">
        <f>IFERROR(__xludf.DUMMYFUNCTION("""COMPUTED_VALUE"""),"#N/A")</f>
        <v>#N/A</v>
      </c>
    </row>
    <row r="1937">
      <c r="A1937" t="str">
        <f>IFERROR(__xludf.DUMMYFUNCTION("""COMPUTED_VALUE"""),"#N/A")</f>
        <v>#N/A</v>
      </c>
      <c r="B1937" s="451" t="str">
        <f>IFERROR(__xludf.DUMMYFUNCTION("""COMPUTED_VALUE"""),"#N/A")</f>
        <v>#N/A</v>
      </c>
    </row>
    <row r="1938">
      <c r="A1938" t="str">
        <f>IFERROR(__xludf.DUMMYFUNCTION("""COMPUTED_VALUE"""),"#N/A")</f>
        <v>#N/A</v>
      </c>
      <c r="B1938" s="451" t="str">
        <f>IFERROR(__xludf.DUMMYFUNCTION("""COMPUTED_VALUE"""),"#N/A")</f>
        <v>#N/A</v>
      </c>
    </row>
    <row r="1939">
      <c r="A1939" t="str">
        <f>IFERROR(__xludf.DUMMYFUNCTION("""COMPUTED_VALUE"""),"#N/A")</f>
        <v>#N/A</v>
      </c>
      <c r="B1939" s="451" t="str">
        <f>IFERROR(__xludf.DUMMYFUNCTION("""COMPUTED_VALUE"""),"#N/A")</f>
        <v>#N/A</v>
      </c>
    </row>
    <row r="1940">
      <c r="A1940" t="str">
        <f>IFERROR(__xludf.DUMMYFUNCTION("""COMPUTED_VALUE"""),"#N/A")</f>
        <v>#N/A</v>
      </c>
      <c r="B1940" s="451" t="str">
        <f>IFERROR(__xludf.DUMMYFUNCTION("""COMPUTED_VALUE"""),"#N/A")</f>
        <v>#N/A</v>
      </c>
    </row>
    <row r="1941">
      <c r="A1941" t="str">
        <f>IFERROR(__xludf.DUMMYFUNCTION("""COMPUTED_VALUE"""),"#N/A")</f>
        <v>#N/A</v>
      </c>
      <c r="B1941" s="451" t="str">
        <f>IFERROR(__xludf.DUMMYFUNCTION("""COMPUTED_VALUE"""),"#N/A")</f>
        <v>#N/A</v>
      </c>
    </row>
    <row r="1942">
      <c r="A1942" t="str">
        <f>IFERROR(__xludf.DUMMYFUNCTION("""COMPUTED_VALUE"""),"#N/A")</f>
        <v>#N/A</v>
      </c>
      <c r="B1942" s="451" t="str">
        <f>IFERROR(__xludf.DUMMYFUNCTION("""COMPUTED_VALUE"""),"#N/A")</f>
        <v>#N/A</v>
      </c>
    </row>
    <row r="1943">
      <c r="A1943" t="str">
        <f>IFERROR(__xludf.DUMMYFUNCTION("""COMPUTED_VALUE"""),"#N/A")</f>
        <v>#N/A</v>
      </c>
      <c r="B1943" s="451" t="str">
        <f>IFERROR(__xludf.DUMMYFUNCTION("""COMPUTED_VALUE"""),"#N/A")</f>
        <v>#N/A</v>
      </c>
    </row>
    <row r="1944">
      <c r="A1944" t="str">
        <f>IFERROR(__xludf.DUMMYFUNCTION("""COMPUTED_VALUE"""),"#N/A")</f>
        <v>#N/A</v>
      </c>
      <c r="B1944" s="451" t="str">
        <f>IFERROR(__xludf.DUMMYFUNCTION("""COMPUTED_VALUE"""),"#N/A")</f>
        <v>#N/A</v>
      </c>
    </row>
    <row r="1945">
      <c r="A1945" t="str">
        <f>IFERROR(__xludf.DUMMYFUNCTION("""COMPUTED_VALUE"""),"#N/A")</f>
        <v>#N/A</v>
      </c>
      <c r="B1945" s="451" t="str">
        <f>IFERROR(__xludf.DUMMYFUNCTION("""COMPUTED_VALUE"""),"#N/A")</f>
        <v>#N/A</v>
      </c>
    </row>
    <row r="1946">
      <c r="A1946" t="str">
        <f>IFERROR(__xludf.DUMMYFUNCTION("""COMPUTED_VALUE"""),"#N/A")</f>
        <v>#N/A</v>
      </c>
      <c r="B1946" s="451" t="str">
        <f>IFERROR(__xludf.DUMMYFUNCTION("""COMPUTED_VALUE"""),"#N/A")</f>
        <v>#N/A</v>
      </c>
    </row>
    <row r="1947">
      <c r="A1947" t="str">
        <f>IFERROR(__xludf.DUMMYFUNCTION("""COMPUTED_VALUE"""),"#N/A")</f>
        <v>#N/A</v>
      </c>
      <c r="B1947" s="451" t="str">
        <f>IFERROR(__xludf.DUMMYFUNCTION("""COMPUTED_VALUE"""),"#N/A")</f>
        <v>#N/A</v>
      </c>
    </row>
    <row r="1948">
      <c r="A1948" t="str">
        <f>IFERROR(__xludf.DUMMYFUNCTION("""COMPUTED_VALUE"""),"#N/A")</f>
        <v>#N/A</v>
      </c>
      <c r="B1948" s="451" t="str">
        <f>IFERROR(__xludf.DUMMYFUNCTION("""COMPUTED_VALUE"""),"#N/A")</f>
        <v>#N/A</v>
      </c>
    </row>
    <row r="1949">
      <c r="A1949" t="str">
        <f>IFERROR(__xludf.DUMMYFUNCTION("""COMPUTED_VALUE"""),"#N/A")</f>
        <v>#N/A</v>
      </c>
      <c r="B1949" s="451" t="str">
        <f>IFERROR(__xludf.DUMMYFUNCTION("""COMPUTED_VALUE"""),"#N/A")</f>
        <v>#N/A</v>
      </c>
    </row>
    <row r="1950">
      <c r="A1950" t="str">
        <f>IFERROR(__xludf.DUMMYFUNCTION("""COMPUTED_VALUE"""),"#N/A")</f>
        <v>#N/A</v>
      </c>
      <c r="B1950" s="451" t="str">
        <f>IFERROR(__xludf.DUMMYFUNCTION("""COMPUTED_VALUE"""),"#N/A")</f>
        <v>#N/A</v>
      </c>
    </row>
    <row r="1951">
      <c r="A1951" t="str">
        <f>IFERROR(__xludf.DUMMYFUNCTION("""COMPUTED_VALUE"""),"#N/A")</f>
        <v>#N/A</v>
      </c>
      <c r="B1951" s="451" t="str">
        <f>IFERROR(__xludf.DUMMYFUNCTION("""COMPUTED_VALUE"""),"#N/A")</f>
        <v>#N/A</v>
      </c>
    </row>
    <row r="1952">
      <c r="A1952" t="str">
        <f>IFERROR(__xludf.DUMMYFUNCTION("""COMPUTED_VALUE"""),"#N/A")</f>
        <v>#N/A</v>
      </c>
      <c r="B1952" s="451" t="str">
        <f>IFERROR(__xludf.DUMMYFUNCTION("""COMPUTED_VALUE"""),"#N/A")</f>
        <v>#N/A</v>
      </c>
    </row>
    <row r="1953">
      <c r="A1953" t="str">
        <f>IFERROR(__xludf.DUMMYFUNCTION("""COMPUTED_VALUE"""),"#N/A")</f>
        <v>#N/A</v>
      </c>
      <c r="B1953" s="451" t="str">
        <f>IFERROR(__xludf.DUMMYFUNCTION("""COMPUTED_VALUE"""),"#N/A")</f>
        <v>#N/A</v>
      </c>
    </row>
    <row r="1954">
      <c r="A1954" t="str">
        <f>IFERROR(__xludf.DUMMYFUNCTION("""COMPUTED_VALUE"""),"#N/A")</f>
        <v>#N/A</v>
      </c>
      <c r="B1954" s="451" t="str">
        <f>IFERROR(__xludf.DUMMYFUNCTION("""COMPUTED_VALUE"""),"#N/A")</f>
        <v>#N/A</v>
      </c>
    </row>
    <row r="1955">
      <c r="A1955" t="str">
        <f>IFERROR(__xludf.DUMMYFUNCTION("""COMPUTED_VALUE"""),"#N/A")</f>
        <v>#N/A</v>
      </c>
      <c r="B1955" s="451" t="str">
        <f>IFERROR(__xludf.DUMMYFUNCTION("""COMPUTED_VALUE"""),"#N/A")</f>
        <v>#N/A</v>
      </c>
    </row>
    <row r="1956">
      <c r="A1956" t="str">
        <f>IFERROR(__xludf.DUMMYFUNCTION("""COMPUTED_VALUE"""),"#N/A")</f>
        <v>#N/A</v>
      </c>
      <c r="B1956" s="451" t="str">
        <f>IFERROR(__xludf.DUMMYFUNCTION("""COMPUTED_VALUE"""),"#N/A")</f>
        <v>#N/A</v>
      </c>
    </row>
    <row r="1957">
      <c r="A1957" t="str">
        <f>IFERROR(__xludf.DUMMYFUNCTION("""COMPUTED_VALUE"""),"#N/A")</f>
        <v>#N/A</v>
      </c>
      <c r="B1957" s="451" t="str">
        <f>IFERROR(__xludf.DUMMYFUNCTION("""COMPUTED_VALUE"""),"#N/A")</f>
        <v>#N/A</v>
      </c>
    </row>
    <row r="1958">
      <c r="A1958" t="str">
        <f>IFERROR(__xludf.DUMMYFUNCTION("""COMPUTED_VALUE"""),"#N/A")</f>
        <v>#N/A</v>
      </c>
      <c r="B1958" s="451" t="str">
        <f>IFERROR(__xludf.DUMMYFUNCTION("""COMPUTED_VALUE"""),"#N/A")</f>
        <v>#N/A</v>
      </c>
    </row>
    <row r="1959">
      <c r="A1959" t="str">
        <f>IFERROR(__xludf.DUMMYFUNCTION("""COMPUTED_VALUE"""),"#N/A")</f>
        <v>#N/A</v>
      </c>
      <c r="B1959" s="451" t="str">
        <f>IFERROR(__xludf.DUMMYFUNCTION("""COMPUTED_VALUE"""),"#N/A")</f>
        <v>#N/A</v>
      </c>
    </row>
    <row r="1960">
      <c r="A1960" t="str">
        <f>IFERROR(__xludf.DUMMYFUNCTION("""COMPUTED_VALUE"""),"#N/A")</f>
        <v>#N/A</v>
      </c>
      <c r="B1960" s="451" t="str">
        <f>IFERROR(__xludf.DUMMYFUNCTION("""COMPUTED_VALUE"""),"#N/A")</f>
        <v>#N/A</v>
      </c>
    </row>
    <row r="1961">
      <c r="A1961" t="str">
        <f>IFERROR(__xludf.DUMMYFUNCTION("""COMPUTED_VALUE"""),"#N/A")</f>
        <v>#N/A</v>
      </c>
      <c r="B1961" s="451" t="str">
        <f>IFERROR(__xludf.DUMMYFUNCTION("""COMPUTED_VALUE"""),"#N/A")</f>
        <v>#N/A</v>
      </c>
    </row>
    <row r="1962">
      <c r="A1962" t="str">
        <f>IFERROR(__xludf.DUMMYFUNCTION("""COMPUTED_VALUE"""),"#N/A")</f>
        <v>#N/A</v>
      </c>
      <c r="B1962" s="451" t="str">
        <f>IFERROR(__xludf.DUMMYFUNCTION("""COMPUTED_VALUE"""),"#N/A")</f>
        <v>#N/A</v>
      </c>
    </row>
    <row r="1963">
      <c r="A1963" t="str">
        <f>IFERROR(__xludf.DUMMYFUNCTION("""COMPUTED_VALUE"""),"#N/A")</f>
        <v>#N/A</v>
      </c>
      <c r="B1963" s="451" t="str">
        <f>IFERROR(__xludf.DUMMYFUNCTION("""COMPUTED_VALUE"""),"#N/A")</f>
        <v>#N/A</v>
      </c>
    </row>
    <row r="1964">
      <c r="A1964" t="str">
        <f>IFERROR(__xludf.DUMMYFUNCTION("""COMPUTED_VALUE"""),"#N/A")</f>
        <v>#N/A</v>
      </c>
      <c r="B1964" s="451" t="str">
        <f>IFERROR(__xludf.DUMMYFUNCTION("""COMPUTED_VALUE"""),"#N/A")</f>
        <v>#N/A</v>
      </c>
    </row>
    <row r="1965">
      <c r="A1965" t="str">
        <f>IFERROR(__xludf.DUMMYFUNCTION("""COMPUTED_VALUE"""),"#N/A")</f>
        <v>#N/A</v>
      </c>
      <c r="B1965" s="451" t="str">
        <f>IFERROR(__xludf.DUMMYFUNCTION("""COMPUTED_VALUE"""),"#N/A")</f>
        <v>#N/A</v>
      </c>
    </row>
    <row r="1966">
      <c r="A1966" t="str">
        <f>IFERROR(__xludf.DUMMYFUNCTION("""COMPUTED_VALUE"""),"#N/A")</f>
        <v>#N/A</v>
      </c>
      <c r="B1966" s="451" t="str">
        <f>IFERROR(__xludf.DUMMYFUNCTION("""COMPUTED_VALUE"""),"#N/A")</f>
        <v>#N/A</v>
      </c>
    </row>
    <row r="1967">
      <c r="A1967" t="str">
        <f>IFERROR(__xludf.DUMMYFUNCTION("""COMPUTED_VALUE"""),"#N/A")</f>
        <v>#N/A</v>
      </c>
      <c r="B1967" s="451" t="str">
        <f>IFERROR(__xludf.DUMMYFUNCTION("""COMPUTED_VALUE"""),"#N/A")</f>
        <v>#N/A</v>
      </c>
    </row>
    <row r="1968">
      <c r="A1968" t="str">
        <f>IFERROR(__xludf.DUMMYFUNCTION("""COMPUTED_VALUE"""),"#N/A")</f>
        <v>#N/A</v>
      </c>
      <c r="B1968" s="451" t="str">
        <f>IFERROR(__xludf.DUMMYFUNCTION("""COMPUTED_VALUE"""),"#N/A")</f>
        <v>#N/A</v>
      </c>
    </row>
    <row r="1969">
      <c r="A1969" t="str">
        <f>IFERROR(__xludf.DUMMYFUNCTION("""COMPUTED_VALUE"""),"#N/A")</f>
        <v>#N/A</v>
      </c>
      <c r="B1969" s="451" t="str">
        <f>IFERROR(__xludf.DUMMYFUNCTION("""COMPUTED_VALUE"""),"#N/A")</f>
        <v>#N/A</v>
      </c>
    </row>
    <row r="1970">
      <c r="A1970" t="str">
        <f>IFERROR(__xludf.DUMMYFUNCTION("""COMPUTED_VALUE"""),"#N/A")</f>
        <v>#N/A</v>
      </c>
      <c r="B1970" s="451" t="str">
        <f>IFERROR(__xludf.DUMMYFUNCTION("""COMPUTED_VALUE"""),"#N/A")</f>
        <v>#N/A</v>
      </c>
    </row>
    <row r="1971">
      <c r="A1971" t="str">
        <f>IFERROR(__xludf.DUMMYFUNCTION("""COMPUTED_VALUE"""),"#N/A")</f>
        <v>#N/A</v>
      </c>
      <c r="B1971" s="451" t="str">
        <f>IFERROR(__xludf.DUMMYFUNCTION("""COMPUTED_VALUE"""),"#N/A")</f>
        <v>#N/A</v>
      </c>
    </row>
    <row r="1972">
      <c r="A1972" t="str">
        <f>IFERROR(__xludf.DUMMYFUNCTION("""COMPUTED_VALUE"""),"#N/A")</f>
        <v>#N/A</v>
      </c>
      <c r="B1972" s="451" t="str">
        <f>IFERROR(__xludf.DUMMYFUNCTION("""COMPUTED_VALUE"""),"#N/A")</f>
        <v>#N/A</v>
      </c>
    </row>
    <row r="1973">
      <c r="A1973" t="str">
        <f>IFERROR(__xludf.DUMMYFUNCTION("""COMPUTED_VALUE"""),"#N/A")</f>
        <v>#N/A</v>
      </c>
      <c r="B1973" s="451" t="str">
        <f>IFERROR(__xludf.DUMMYFUNCTION("""COMPUTED_VALUE"""),"#N/A")</f>
        <v>#N/A</v>
      </c>
    </row>
    <row r="1974">
      <c r="A1974" t="str">
        <f>IFERROR(__xludf.DUMMYFUNCTION("""COMPUTED_VALUE"""),"#N/A")</f>
        <v>#N/A</v>
      </c>
      <c r="B1974" s="451" t="str">
        <f>IFERROR(__xludf.DUMMYFUNCTION("""COMPUTED_VALUE"""),"#N/A")</f>
        <v>#N/A</v>
      </c>
    </row>
    <row r="1975">
      <c r="A1975" t="str">
        <f>IFERROR(__xludf.DUMMYFUNCTION("""COMPUTED_VALUE"""),"#N/A")</f>
        <v>#N/A</v>
      </c>
      <c r="B1975" s="451" t="str">
        <f>IFERROR(__xludf.DUMMYFUNCTION("""COMPUTED_VALUE"""),"#N/A")</f>
        <v>#N/A</v>
      </c>
    </row>
    <row r="1976">
      <c r="A1976" t="str">
        <f>IFERROR(__xludf.DUMMYFUNCTION("""COMPUTED_VALUE"""),"#N/A")</f>
        <v>#N/A</v>
      </c>
      <c r="B1976" s="451" t="str">
        <f>IFERROR(__xludf.DUMMYFUNCTION("""COMPUTED_VALUE"""),"#N/A")</f>
        <v>#N/A</v>
      </c>
    </row>
    <row r="1977">
      <c r="A1977" t="str">
        <f>IFERROR(__xludf.DUMMYFUNCTION("""COMPUTED_VALUE"""),"#N/A")</f>
        <v>#N/A</v>
      </c>
      <c r="B1977" s="451" t="str">
        <f>IFERROR(__xludf.DUMMYFUNCTION("""COMPUTED_VALUE"""),"#N/A")</f>
        <v>#N/A</v>
      </c>
    </row>
    <row r="1978">
      <c r="A1978" t="str">
        <f>IFERROR(__xludf.DUMMYFUNCTION("""COMPUTED_VALUE"""),"#N/A")</f>
        <v>#N/A</v>
      </c>
      <c r="B1978" s="451" t="str">
        <f>IFERROR(__xludf.DUMMYFUNCTION("""COMPUTED_VALUE"""),"#N/A")</f>
        <v>#N/A</v>
      </c>
    </row>
    <row r="1979">
      <c r="A1979" t="str">
        <f>IFERROR(__xludf.DUMMYFUNCTION("""COMPUTED_VALUE"""),"#N/A")</f>
        <v>#N/A</v>
      </c>
      <c r="B1979" s="451" t="str">
        <f>IFERROR(__xludf.DUMMYFUNCTION("""COMPUTED_VALUE"""),"#N/A")</f>
        <v>#N/A</v>
      </c>
    </row>
    <row r="1980">
      <c r="A1980" t="str">
        <f>IFERROR(__xludf.DUMMYFUNCTION("""COMPUTED_VALUE"""),"#N/A")</f>
        <v>#N/A</v>
      </c>
      <c r="B1980" s="451" t="str">
        <f>IFERROR(__xludf.DUMMYFUNCTION("""COMPUTED_VALUE"""),"#N/A")</f>
        <v>#N/A</v>
      </c>
    </row>
    <row r="1981">
      <c r="A1981" t="str">
        <f>IFERROR(__xludf.DUMMYFUNCTION("""COMPUTED_VALUE"""),"#N/A")</f>
        <v>#N/A</v>
      </c>
      <c r="B1981" s="451" t="str">
        <f>IFERROR(__xludf.DUMMYFUNCTION("""COMPUTED_VALUE"""),"#N/A")</f>
        <v>#N/A</v>
      </c>
    </row>
    <row r="1982">
      <c r="A1982" t="str">
        <f>IFERROR(__xludf.DUMMYFUNCTION("""COMPUTED_VALUE"""),"#N/A")</f>
        <v>#N/A</v>
      </c>
      <c r="B1982" s="451" t="str">
        <f>IFERROR(__xludf.DUMMYFUNCTION("""COMPUTED_VALUE"""),"#N/A")</f>
        <v>#N/A</v>
      </c>
    </row>
    <row r="1983">
      <c r="A1983" t="str">
        <f>IFERROR(__xludf.DUMMYFUNCTION("""COMPUTED_VALUE"""),"#N/A")</f>
        <v>#N/A</v>
      </c>
      <c r="B1983" s="451" t="str">
        <f>IFERROR(__xludf.DUMMYFUNCTION("""COMPUTED_VALUE"""),"#N/A")</f>
        <v>#N/A</v>
      </c>
    </row>
    <row r="1984">
      <c r="A1984" t="str">
        <f>IFERROR(__xludf.DUMMYFUNCTION("""COMPUTED_VALUE"""),"#N/A")</f>
        <v>#N/A</v>
      </c>
      <c r="B1984" s="451" t="str">
        <f>IFERROR(__xludf.DUMMYFUNCTION("""COMPUTED_VALUE"""),"#N/A")</f>
        <v>#N/A</v>
      </c>
    </row>
    <row r="1985">
      <c r="A1985" t="str">
        <f>IFERROR(__xludf.DUMMYFUNCTION("""COMPUTED_VALUE"""),"#N/A")</f>
        <v>#N/A</v>
      </c>
      <c r="B1985" s="451" t="str">
        <f>IFERROR(__xludf.DUMMYFUNCTION("""COMPUTED_VALUE"""),"#N/A")</f>
        <v>#N/A</v>
      </c>
    </row>
    <row r="1986">
      <c r="A1986" t="str">
        <f>IFERROR(__xludf.DUMMYFUNCTION("""COMPUTED_VALUE"""),"#N/A")</f>
        <v>#N/A</v>
      </c>
      <c r="B1986" s="451" t="str">
        <f>IFERROR(__xludf.DUMMYFUNCTION("""COMPUTED_VALUE"""),"#N/A")</f>
        <v>#N/A</v>
      </c>
    </row>
    <row r="1987">
      <c r="A1987" t="str">
        <f>IFERROR(__xludf.DUMMYFUNCTION("""COMPUTED_VALUE"""),"#N/A")</f>
        <v>#N/A</v>
      </c>
      <c r="B1987" s="451" t="str">
        <f>IFERROR(__xludf.DUMMYFUNCTION("""COMPUTED_VALUE"""),"#N/A")</f>
        <v>#N/A</v>
      </c>
    </row>
    <row r="1988">
      <c r="A1988" t="str">
        <f>IFERROR(__xludf.DUMMYFUNCTION("""COMPUTED_VALUE"""),"#N/A")</f>
        <v>#N/A</v>
      </c>
      <c r="B1988" s="451" t="str">
        <f>IFERROR(__xludf.DUMMYFUNCTION("""COMPUTED_VALUE"""),"#N/A")</f>
        <v>#N/A</v>
      </c>
    </row>
    <row r="1989">
      <c r="A1989" t="str">
        <f>IFERROR(__xludf.DUMMYFUNCTION("""COMPUTED_VALUE"""),"#N/A")</f>
        <v>#N/A</v>
      </c>
      <c r="B1989" s="451" t="str">
        <f>IFERROR(__xludf.DUMMYFUNCTION("""COMPUTED_VALUE"""),"#N/A")</f>
        <v>#N/A</v>
      </c>
    </row>
    <row r="1990">
      <c r="A1990" t="str">
        <f>IFERROR(__xludf.DUMMYFUNCTION("""COMPUTED_VALUE"""),"#N/A")</f>
        <v>#N/A</v>
      </c>
      <c r="B1990" s="451" t="str">
        <f>IFERROR(__xludf.DUMMYFUNCTION("""COMPUTED_VALUE"""),"#N/A")</f>
        <v>#N/A</v>
      </c>
    </row>
    <row r="1991">
      <c r="A1991" t="str">
        <f>IFERROR(__xludf.DUMMYFUNCTION("""COMPUTED_VALUE"""),"#N/A")</f>
        <v>#N/A</v>
      </c>
      <c r="B1991" s="451" t="str">
        <f>IFERROR(__xludf.DUMMYFUNCTION("""COMPUTED_VALUE"""),"#N/A")</f>
        <v>#N/A</v>
      </c>
    </row>
    <row r="1992">
      <c r="A1992" t="str">
        <f>IFERROR(__xludf.DUMMYFUNCTION("""COMPUTED_VALUE"""),"#N/A")</f>
        <v>#N/A</v>
      </c>
      <c r="B1992" s="451" t="str">
        <f>IFERROR(__xludf.DUMMYFUNCTION("""COMPUTED_VALUE"""),"#N/A")</f>
        <v>#N/A</v>
      </c>
    </row>
    <row r="1993">
      <c r="A1993" t="str">
        <f>IFERROR(__xludf.DUMMYFUNCTION("""COMPUTED_VALUE"""),"#N/A")</f>
        <v>#N/A</v>
      </c>
      <c r="B1993" s="451" t="str">
        <f>IFERROR(__xludf.DUMMYFUNCTION("""COMPUTED_VALUE"""),"#N/A")</f>
        <v>#N/A</v>
      </c>
    </row>
    <row r="1994">
      <c r="A1994" t="str">
        <f>IFERROR(__xludf.DUMMYFUNCTION("""COMPUTED_VALUE"""),"#N/A")</f>
        <v>#N/A</v>
      </c>
      <c r="B1994" s="451" t="str">
        <f>IFERROR(__xludf.DUMMYFUNCTION("""COMPUTED_VALUE"""),"#N/A")</f>
        <v>#N/A</v>
      </c>
    </row>
    <row r="1995">
      <c r="A1995" t="str">
        <f>IFERROR(__xludf.DUMMYFUNCTION("""COMPUTED_VALUE"""),"#N/A")</f>
        <v>#N/A</v>
      </c>
      <c r="B1995" s="451" t="str">
        <f>IFERROR(__xludf.DUMMYFUNCTION("""COMPUTED_VALUE"""),"#N/A")</f>
        <v>#N/A</v>
      </c>
    </row>
    <row r="1996">
      <c r="A1996" t="str">
        <f>IFERROR(__xludf.DUMMYFUNCTION("""COMPUTED_VALUE"""),"#N/A")</f>
        <v>#N/A</v>
      </c>
      <c r="B1996" s="451" t="str">
        <f>IFERROR(__xludf.DUMMYFUNCTION("""COMPUTED_VALUE"""),"#N/A")</f>
        <v>#N/A</v>
      </c>
    </row>
    <row r="1997">
      <c r="A1997" t="str">
        <f>IFERROR(__xludf.DUMMYFUNCTION("""COMPUTED_VALUE"""),"#N/A")</f>
        <v>#N/A</v>
      </c>
      <c r="B1997" s="451" t="str">
        <f>IFERROR(__xludf.DUMMYFUNCTION("""COMPUTED_VALUE"""),"#N/A")</f>
        <v>#N/A</v>
      </c>
    </row>
    <row r="1998">
      <c r="A1998" t="str">
        <f>IFERROR(__xludf.DUMMYFUNCTION("""COMPUTED_VALUE"""),"#N/A")</f>
        <v>#N/A</v>
      </c>
      <c r="B1998" s="451" t="str">
        <f>IFERROR(__xludf.DUMMYFUNCTION("""COMPUTED_VALUE"""),"#N/A")</f>
        <v>#N/A</v>
      </c>
    </row>
    <row r="1999">
      <c r="A1999" t="str">
        <f>IFERROR(__xludf.DUMMYFUNCTION("""COMPUTED_VALUE"""),"#N/A")</f>
        <v>#N/A</v>
      </c>
      <c r="B1999" s="451" t="str">
        <f>IFERROR(__xludf.DUMMYFUNCTION("""COMPUTED_VALUE"""),"#N/A")</f>
        <v>#N/A</v>
      </c>
    </row>
    <row r="2000">
      <c r="A2000" t="str">
        <f>IFERROR(__xludf.DUMMYFUNCTION("""COMPUTED_VALUE"""),"#N/A")</f>
        <v>#N/A</v>
      </c>
      <c r="B2000" s="451" t="str">
        <f>IFERROR(__xludf.DUMMYFUNCTION("""COMPUTED_VALUE"""),"#N/A")</f>
        <v>#N/A</v>
      </c>
    </row>
    <row r="2001">
      <c r="A2001" t="str">
        <f>IFERROR(__xludf.DUMMYFUNCTION("""COMPUTED_VALUE"""),"#N/A")</f>
        <v>#N/A</v>
      </c>
      <c r="B2001" s="451" t="str">
        <f>IFERROR(__xludf.DUMMYFUNCTION("""COMPUTED_VALUE"""),"#N/A")</f>
        <v>#N/A</v>
      </c>
    </row>
    <row r="2002">
      <c r="A2002" t="str">
        <f>IFERROR(__xludf.DUMMYFUNCTION("""COMPUTED_VALUE"""),"#N/A")</f>
        <v>#N/A</v>
      </c>
      <c r="B2002" s="451" t="str">
        <f>IFERROR(__xludf.DUMMYFUNCTION("""COMPUTED_VALUE"""),"#N/A")</f>
        <v>#N/A</v>
      </c>
    </row>
    <row r="2003">
      <c r="A2003" t="str">
        <f>IFERROR(__xludf.DUMMYFUNCTION("""COMPUTED_VALUE"""),"#N/A")</f>
        <v>#N/A</v>
      </c>
      <c r="B2003" s="451" t="str">
        <f>IFERROR(__xludf.DUMMYFUNCTION("""COMPUTED_VALUE"""),"#N/A")</f>
        <v>#N/A</v>
      </c>
    </row>
    <row r="2004">
      <c r="A2004" t="str">
        <f>IFERROR(__xludf.DUMMYFUNCTION("""COMPUTED_VALUE"""),"#N/A")</f>
        <v>#N/A</v>
      </c>
      <c r="B2004" s="451" t="str">
        <f>IFERROR(__xludf.DUMMYFUNCTION("""COMPUTED_VALUE"""),"#N/A")</f>
        <v>#N/A</v>
      </c>
    </row>
    <row r="2005">
      <c r="A2005" t="str">
        <f>IFERROR(__xludf.DUMMYFUNCTION("""COMPUTED_VALUE"""),"#N/A")</f>
        <v>#N/A</v>
      </c>
      <c r="B2005" s="451" t="str">
        <f>IFERROR(__xludf.DUMMYFUNCTION("""COMPUTED_VALUE"""),"#N/A")</f>
        <v>#N/A</v>
      </c>
    </row>
    <row r="2006">
      <c r="A2006" t="str">
        <f>IFERROR(__xludf.DUMMYFUNCTION("""COMPUTED_VALUE"""),"#N/A")</f>
        <v>#N/A</v>
      </c>
      <c r="B2006" s="451" t="str">
        <f>IFERROR(__xludf.DUMMYFUNCTION("""COMPUTED_VALUE"""),"#N/A")</f>
        <v>#N/A</v>
      </c>
    </row>
    <row r="2007">
      <c r="A2007" t="str">
        <f>IFERROR(__xludf.DUMMYFUNCTION("""COMPUTED_VALUE"""),"#N/A")</f>
        <v>#N/A</v>
      </c>
      <c r="B2007" s="451" t="str">
        <f>IFERROR(__xludf.DUMMYFUNCTION("""COMPUTED_VALUE"""),"#N/A")</f>
        <v>#N/A</v>
      </c>
    </row>
    <row r="2008">
      <c r="A2008" t="str">
        <f>IFERROR(__xludf.DUMMYFUNCTION("""COMPUTED_VALUE"""),"#N/A")</f>
        <v>#N/A</v>
      </c>
      <c r="B2008" s="451" t="str">
        <f>IFERROR(__xludf.DUMMYFUNCTION("""COMPUTED_VALUE"""),"#N/A")</f>
        <v>#N/A</v>
      </c>
    </row>
    <row r="2009">
      <c r="A2009" t="str">
        <f>IFERROR(__xludf.DUMMYFUNCTION("""COMPUTED_VALUE"""),"#N/A")</f>
        <v>#N/A</v>
      </c>
      <c r="B2009" s="451" t="str">
        <f>IFERROR(__xludf.DUMMYFUNCTION("""COMPUTED_VALUE"""),"#N/A")</f>
        <v>#N/A</v>
      </c>
    </row>
    <row r="2010">
      <c r="A2010" t="str">
        <f>IFERROR(__xludf.DUMMYFUNCTION("""COMPUTED_VALUE"""),"#N/A")</f>
        <v>#N/A</v>
      </c>
      <c r="B2010" s="451" t="str">
        <f>IFERROR(__xludf.DUMMYFUNCTION("""COMPUTED_VALUE"""),"#N/A")</f>
        <v>#N/A</v>
      </c>
    </row>
    <row r="2011">
      <c r="A2011" t="str">
        <f>IFERROR(__xludf.DUMMYFUNCTION("""COMPUTED_VALUE"""),"#N/A")</f>
        <v>#N/A</v>
      </c>
      <c r="B2011" s="451" t="str">
        <f>IFERROR(__xludf.DUMMYFUNCTION("""COMPUTED_VALUE"""),"#N/A")</f>
        <v>#N/A</v>
      </c>
    </row>
    <row r="2012">
      <c r="A2012" t="str">
        <f>IFERROR(__xludf.DUMMYFUNCTION("""COMPUTED_VALUE"""),"#N/A")</f>
        <v>#N/A</v>
      </c>
      <c r="B2012" s="451" t="str">
        <f>IFERROR(__xludf.DUMMYFUNCTION("""COMPUTED_VALUE"""),"#N/A")</f>
        <v>#N/A</v>
      </c>
    </row>
    <row r="2013">
      <c r="A2013" t="str">
        <f>IFERROR(__xludf.DUMMYFUNCTION("""COMPUTED_VALUE"""),"#N/A")</f>
        <v>#N/A</v>
      </c>
      <c r="B2013" s="451" t="str">
        <f>IFERROR(__xludf.DUMMYFUNCTION("""COMPUTED_VALUE"""),"#N/A")</f>
        <v>#N/A</v>
      </c>
    </row>
    <row r="2014">
      <c r="A2014" t="str">
        <f>IFERROR(__xludf.DUMMYFUNCTION("""COMPUTED_VALUE"""),"#N/A")</f>
        <v>#N/A</v>
      </c>
      <c r="B2014" s="451" t="str">
        <f>IFERROR(__xludf.DUMMYFUNCTION("""COMPUTED_VALUE"""),"#N/A")</f>
        <v>#N/A</v>
      </c>
    </row>
    <row r="2015">
      <c r="A2015" t="str">
        <f>IFERROR(__xludf.DUMMYFUNCTION("""COMPUTED_VALUE"""),"#N/A")</f>
        <v>#N/A</v>
      </c>
      <c r="B2015" s="451" t="str">
        <f>IFERROR(__xludf.DUMMYFUNCTION("""COMPUTED_VALUE"""),"#N/A")</f>
        <v>#N/A</v>
      </c>
    </row>
    <row r="2016">
      <c r="A2016" t="str">
        <f>IFERROR(__xludf.DUMMYFUNCTION("""COMPUTED_VALUE"""),"#N/A")</f>
        <v>#N/A</v>
      </c>
      <c r="B2016" s="451" t="str">
        <f>IFERROR(__xludf.DUMMYFUNCTION("""COMPUTED_VALUE"""),"#N/A")</f>
        <v>#N/A</v>
      </c>
    </row>
    <row r="2017">
      <c r="A2017" t="str">
        <f>IFERROR(__xludf.DUMMYFUNCTION("""COMPUTED_VALUE"""),"#N/A")</f>
        <v>#N/A</v>
      </c>
      <c r="B2017" s="451" t="str">
        <f>IFERROR(__xludf.DUMMYFUNCTION("""COMPUTED_VALUE"""),"#N/A")</f>
        <v>#N/A</v>
      </c>
    </row>
    <row r="2018">
      <c r="A2018" t="str">
        <f>IFERROR(__xludf.DUMMYFUNCTION("""COMPUTED_VALUE"""),"#N/A")</f>
        <v>#N/A</v>
      </c>
      <c r="B2018" s="451" t="str">
        <f>IFERROR(__xludf.DUMMYFUNCTION("""COMPUTED_VALUE"""),"#N/A")</f>
        <v>#N/A</v>
      </c>
    </row>
    <row r="2019">
      <c r="A2019" t="str">
        <f>IFERROR(__xludf.DUMMYFUNCTION("""COMPUTED_VALUE"""),"#N/A")</f>
        <v>#N/A</v>
      </c>
      <c r="B2019" s="451" t="str">
        <f>IFERROR(__xludf.DUMMYFUNCTION("""COMPUTED_VALUE"""),"#N/A")</f>
        <v>#N/A</v>
      </c>
    </row>
    <row r="2020">
      <c r="A2020" t="str">
        <f>IFERROR(__xludf.DUMMYFUNCTION("""COMPUTED_VALUE"""),"#N/A")</f>
        <v>#N/A</v>
      </c>
      <c r="B2020" s="451" t="str">
        <f>IFERROR(__xludf.DUMMYFUNCTION("""COMPUTED_VALUE"""),"#N/A")</f>
        <v>#N/A</v>
      </c>
    </row>
    <row r="2021">
      <c r="A2021" t="str">
        <f>IFERROR(__xludf.DUMMYFUNCTION("""COMPUTED_VALUE"""),"#N/A")</f>
        <v>#N/A</v>
      </c>
      <c r="B2021" s="451" t="str">
        <f>IFERROR(__xludf.DUMMYFUNCTION("""COMPUTED_VALUE"""),"#N/A")</f>
        <v>#N/A</v>
      </c>
    </row>
    <row r="2022">
      <c r="A2022" t="str">
        <f>IFERROR(__xludf.DUMMYFUNCTION("""COMPUTED_VALUE"""),"#N/A")</f>
        <v>#N/A</v>
      </c>
      <c r="B2022" s="451" t="str">
        <f>IFERROR(__xludf.DUMMYFUNCTION("""COMPUTED_VALUE"""),"#N/A")</f>
        <v>#N/A</v>
      </c>
    </row>
    <row r="2023">
      <c r="A2023" t="str">
        <f>IFERROR(__xludf.DUMMYFUNCTION("""COMPUTED_VALUE"""),"#N/A")</f>
        <v>#N/A</v>
      </c>
      <c r="B2023" s="451" t="str">
        <f>IFERROR(__xludf.DUMMYFUNCTION("""COMPUTED_VALUE"""),"#N/A")</f>
        <v>#N/A</v>
      </c>
    </row>
    <row r="2024">
      <c r="A2024" t="str">
        <f>IFERROR(__xludf.DUMMYFUNCTION("""COMPUTED_VALUE"""),"#N/A")</f>
        <v>#N/A</v>
      </c>
      <c r="B2024" s="451" t="str">
        <f>IFERROR(__xludf.DUMMYFUNCTION("""COMPUTED_VALUE"""),"#N/A")</f>
        <v>#N/A</v>
      </c>
    </row>
    <row r="2025">
      <c r="A2025" t="str">
        <f>IFERROR(__xludf.DUMMYFUNCTION("""COMPUTED_VALUE"""),"#N/A")</f>
        <v>#N/A</v>
      </c>
      <c r="B2025" s="451" t="str">
        <f>IFERROR(__xludf.DUMMYFUNCTION("""COMPUTED_VALUE"""),"#N/A")</f>
        <v>#N/A</v>
      </c>
    </row>
    <row r="2026">
      <c r="A2026" t="str">
        <f>IFERROR(__xludf.DUMMYFUNCTION("""COMPUTED_VALUE"""),"#N/A")</f>
        <v>#N/A</v>
      </c>
      <c r="B2026" s="451" t="str">
        <f>IFERROR(__xludf.DUMMYFUNCTION("""COMPUTED_VALUE"""),"#N/A")</f>
        <v>#N/A</v>
      </c>
    </row>
    <row r="2027">
      <c r="A2027" t="str">
        <f>IFERROR(__xludf.DUMMYFUNCTION("""COMPUTED_VALUE"""),"#N/A")</f>
        <v>#N/A</v>
      </c>
      <c r="B2027" s="451" t="str">
        <f>IFERROR(__xludf.DUMMYFUNCTION("""COMPUTED_VALUE"""),"#N/A")</f>
        <v>#N/A</v>
      </c>
    </row>
    <row r="2028">
      <c r="A2028" t="str">
        <f>IFERROR(__xludf.DUMMYFUNCTION("""COMPUTED_VALUE"""),"#N/A")</f>
        <v>#N/A</v>
      </c>
      <c r="B2028" s="451" t="str">
        <f>IFERROR(__xludf.DUMMYFUNCTION("""COMPUTED_VALUE"""),"#N/A")</f>
        <v>#N/A</v>
      </c>
    </row>
    <row r="2029">
      <c r="A2029" t="str">
        <f>IFERROR(__xludf.DUMMYFUNCTION("""COMPUTED_VALUE"""),"#N/A")</f>
        <v>#N/A</v>
      </c>
      <c r="B2029" s="451" t="str">
        <f>IFERROR(__xludf.DUMMYFUNCTION("""COMPUTED_VALUE"""),"#N/A")</f>
        <v>#N/A</v>
      </c>
    </row>
    <row r="2030">
      <c r="A2030" t="str">
        <f>IFERROR(__xludf.DUMMYFUNCTION("""COMPUTED_VALUE"""),"#N/A")</f>
        <v>#N/A</v>
      </c>
      <c r="B2030" s="451" t="str">
        <f>IFERROR(__xludf.DUMMYFUNCTION("""COMPUTED_VALUE"""),"#N/A")</f>
        <v>#N/A</v>
      </c>
    </row>
    <row r="2031">
      <c r="A2031" t="str">
        <f>IFERROR(__xludf.DUMMYFUNCTION("""COMPUTED_VALUE"""),"#N/A")</f>
        <v>#N/A</v>
      </c>
      <c r="B2031" s="451" t="str">
        <f>IFERROR(__xludf.DUMMYFUNCTION("""COMPUTED_VALUE"""),"#N/A")</f>
        <v>#N/A</v>
      </c>
    </row>
    <row r="2032">
      <c r="A2032" t="str">
        <f>IFERROR(__xludf.DUMMYFUNCTION("""COMPUTED_VALUE"""),"#N/A")</f>
        <v>#N/A</v>
      </c>
      <c r="B2032" s="451" t="str">
        <f>IFERROR(__xludf.DUMMYFUNCTION("""COMPUTED_VALUE"""),"#N/A")</f>
        <v>#N/A</v>
      </c>
    </row>
    <row r="2033">
      <c r="A2033" t="str">
        <f>IFERROR(__xludf.DUMMYFUNCTION("""COMPUTED_VALUE"""),"#N/A")</f>
        <v>#N/A</v>
      </c>
      <c r="B2033" s="451" t="str">
        <f>IFERROR(__xludf.DUMMYFUNCTION("""COMPUTED_VALUE"""),"#N/A")</f>
        <v>#N/A</v>
      </c>
    </row>
    <row r="2034">
      <c r="A2034" t="str">
        <f>IFERROR(__xludf.DUMMYFUNCTION("""COMPUTED_VALUE"""),"#N/A")</f>
        <v>#N/A</v>
      </c>
      <c r="B2034" s="451" t="str">
        <f>IFERROR(__xludf.DUMMYFUNCTION("""COMPUTED_VALUE"""),"#N/A")</f>
        <v>#N/A</v>
      </c>
    </row>
    <row r="2035">
      <c r="A2035" t="str">
        <f>IFERROR(__xludf.DUMMYFUNCTION("""COMPUTED_VALUE"""),"#N/A")</f>
        <v>#N/A</v>
      </c>
      <c r="B2035" s="451" t="str">
        <f>IFERROR(__xludf.DUMMYFUNCTION("""COMPUTED_VALUE"""),"#N/A")</f>
        <v>#N/A</v>
      </c>
    </row>
    <row r="2036">
      <c r="A2036" t="str">
        <f>IFERROR(__xludf.DUMMYFUNCTION("""COMPUTED_VALUE"""),"#N/A")</f>
        <v>#N/A</v>
      </c>
      <c r="B2036" s="451" t="str">
        <f>IFERROR(__xludf.DUMMYFUNCTION("""COMPUTED_VALUE"""),"#N/A")</f>
        <v>#N/A</v>
      </c>
    </row>
    <row r="2037">
      <c r="A2037" t="str">
        <f>IFERROR(__xludf.DUMMYFUNCTION("""COMPUTED_VALUE"""),"#N/A")</f>
        <v>#N/A</v>
      </c>
      <c r="B2037" s="451" t="str">
        <f>IFERROR(__xludf.DUMMYFUNCTION("""COMPUTED_VALUE"""),"#N/A")</f>
        <v>#N/A</v>
      </c>
    </row>
    <row r="2038">
      <c r="A2038" t="str">
        <f>IFERROR(__xludf.DUMMYFUNCTION("""COMPUTED_VALUE"""),"#N/A")</f>
        <v>#N/A</v>
      </c>
      <c r="B2038" s="451" t="str">
        <f>IFERROR(__xludf.DUMMYFUNCTION("""COMPUTED_VALUE"""),"#N/A")</f>
        <v>#N/A</v>
      </c>
    </row>
    <row r="2039">
      <c r="A2039" t="str">
        <f>IFERROR(__xludf.DUMMYFUNCTION("""COMPUTED_VALUE"""),"#N/A")</f>
        <v>#N/A</v>
      </c>
      <c r="B2039" s="451" t="str">
        <f>IFERROR(__xludf.DUMMYFUNCTION("""COMPUTED_VALUE"""),"#N/A")</f>
        <v>#N/A</v>
      </c>
    </row>
    <row r="2040">
      <c r="A2040" t="str">
        <f>IFERROR(__xludf.DUMMYFUNCTION("""COMPUTED_VALUE"""),"#N/A")</f>
        <v>#N/A</v>
      </c>
      <c r="B2040" s="451" t="str">
        <f>IFERROR(__xludf.DUMMYFUNCTION("""COMPUTED_VALUE"""),"#N/A")</f>
        <v>#N/A</v>
      </c>
    </row>
    <row r="2041">
      <c r="A2041" t="str">
        <f>IFERROR(__xludf.DUMMYFUNCTION("""COMPUTED_VALUE"""),"#N/A")</f>
        <v>#N/A</v>
      </c>
      <c r="B2041" s="451" t="str">
        <f>IFERROR(__xludf.DUMMYFUNCTION("""COMPUTED_VALUE"""),"#N/A")</f>
        <v>#N/A</v>
      </c>
    </row>
    <row r="2042">
      <c r="A2042" t="str">
        <f>IFERROR(__xludf.DUMMYFUNCTION("""COMPUTED_VALUE"""),"#N/A")</f>
        <v>#N/A</v>
      </c>
      <c r="B2042" s="451" t="str">
        <f>IFERROR(__xludf.DUMMYFUNCTION("""COMPUTED_VALUE"""),"#N/A")</f>
        <v>#N/A</v>
      </c>
    </row>
    <row r="2043">
      <c r="A2043" t="str">
        <f>IFERROR(__xludf.DUMMYFUNCTION("""COMPUTED_VALUE"""),"#N/A")</f>
        <v>#N/A</v>
      </c>
      <c r="B2043" s="451" t="str">
        <f>IFERROR(__xludf.DUMMYFUNCTION("""COMPUTED_VALUE"""),"#N/A")</f>
        <v>#N/A</v>
      </c>
    </row>
    <row r="2044">
      <c r="A2044" t="str">
        <f>IFERROR(__xludf.DUMMYFUNCTION("""COMPUTED_VALUE"""),"#N/A")</f>
        <v>#N/A</v>
      </c>
      <c r="B2044" s="451" t="str">
        <f>IFERROR(__xludf.DUMMYFUNCTION("""COMPUTED_VALUE"""),"#N/A")</f>
        <v>#N/A</v>
      </c>
    </row>
    <row r="2045">
      <c r="A2045" t="str">
        <f>IFERROR(__xludf.DUMMYFUNCTION("""COMPUTED_VALUE"""),"#N/A")</f>
        <v>#N/A</v>
      </c>
      <c r="B2045" s="451" t="str">
        <f>IFERROR(__xludf.DUMMYFUNCTION("""COMPUTED_VALUE"""),"#N/A")</f>
        <v>#N/A</v>
      </c>
    </row>
    <row r="2046">
      <c r="A2046" t="str">
        <f>IFERROR(__xludf.DUMMYFUNCTION("""COMPUTED_VALUE"""),"#N/A")</f>
        <v>#N/A</v>
      </c>
      <c r="B2046" s="451" t="str">
        <f>IFERROR(__xludf.DUMMYFUNCTION("""COMPUTED_VALUE"""),"#N/A")</f>
        <v>#N/A</v>
      </c>
    </row>
    <row r="2047">
      <c r="A2047" t="str">
        <f>IFERROR(__xludf.DUMMYFUNCTION("""COMPUTED_VALUE"""),"#N/A")</f>
        <v>#N/A</v>
      </c>
      <c r="B2047" s="451" t="str">
        <f>IFERROR(__xludf.DUMMYFUNCTION("""COMPUTED_VALUE"""),"#N/A")</f>
        <v>#N/A</v>
      </c>
    </row>
    <row r="2048">
      <c r="A2048" t="str">
        <f>IFERROR(__xludf.DUMMYFUNCTION("""COMPUTED_VALUE"""),"#N/A")</f>
        <v>#N/A</v>
      </c>
      <c r="B2048" s="451" t="str">
        <f>IFERROR(__xludf.DUMMYFUNCTION("""COMPUTED_VALUE"""),"#N/A")</f>
        <v>#N/A</v>
      </c>
    </row>
    <row r="2049">
      <c r="A2049" t="str">
        <f>IFERROR(__xludf.DUMMYFUNCTION("""COMPUTED_VALUE"""),"#N/A")</f>
        <v>#N/A</v>
      </c>
      <c r="B2049" s="451" t="str">
        <f>IFERROR(__xludf.DUMMYFUNCTION("""COMPUTED_VALUE"""),"#N/A")</f>
        <v>#N/A</v>
      </c>
    </row>
    <row r="2050">
      <c r="A2050" t="str">
        <f>IFERROR(__xludf.DUMMYFUNCTION("""COMPUTED_VALUE"""),"#N/A")</f>
        <v>#N/A</v>
      </c>
      <c r="B2050" s="451" t="str">
        <f>IFERROR(__xludf.DUMMYFUNCTION("""COMPUTED_VALUE"""),"#N/A")</f>
        <v>#N/A</v>
      </c>
    </row>
    <row r="2051">
      <c r="A2051" t="str">
        <f>IFERROR(__xludf.DUMMYFUNCTION("""COMPUTED_VALUE"""),"#N/A")</f>
        <v>#N/A</v>
      </c>
      <c r="B2051" s="451" t="str">
        <f>IFERROR(__xludf.DUMMYFUNCTION("""COMPUTED_VALUE"""),"#N/A")</f>
        <v>#N/A</v>
      </c>
    </row>
    <row r="2052">
      <c r="A2052" t="str">
        <f>IFERROR(__xludf.DUMMYFUNCTION("""COMPUTED_VALUE"""),"#N/A")</f>
        <v>#N/A</v>
      </c>
      <c r="B2052" s="451" t="str">
        <f>IFERROR(__xludf.DUMMYFUNCTION("""COMPUTED_VALUE"""),"#N/A")</f>
        <v>#N/A</v>
      </c>
    </row>
    <row r="2053">
      <c r="A2053" t="str">
        <f>IFERROR(__xludf.DUMMYFUNCTION("""COMPUTED_VALUE"""),"#N/A")</f>
        <v>#N/A</v>
      </c>
      <c r="B2053" s="451" t="str">
        <f>IFERROR(__xludf.DUMMYFUNCTION("""COMPUTED_VALUE"""),"#N/A")</f>
        <v>#N/A</v>
      </c>
    </row>
    <row r="2054">
      <c r="A2054" t="str">
        <f>IFERROR(__xludf.DUMMYFUNCTION("""COMPUTED_VALUE"""),"#N/A")</f>
        <v>#N/A</v>
      </c>
      <c r="B2054" s="451" t="str">
        <f>IFERROR(__xludf.DUMMYFUNCTION("""COMPUTED_VALUE"""),"#N/A")</f>
        <v>#N/A</v>
      </c>
    </row>
    <row r="2055">
      <c r="A2055" t="str">
        <f>IFERROR(__xludf.DUMMYFUNCTION("""COMPUTED_VALUE"""),"#N/A")</f>
        <v>#N/A</v>
      </c>
      <c r="B2055" s="451" t="str">
        <f>IFERROR(__xludf.DUMMYFUNCTION("""COMPUTED_VALUE"""),"#N/A")</f>
        <v>#N/A</v>
      </c>
    </row>
    <row r="2056">
      <c r="A2056" t="str">
        <f>IFERROR(__xludf.DUMMYFUNCTION("""COMPUTED_VALUE"""),"#N/A")</f>
        <v>#N/A</v>
      </c>
      <c r="B2056" s="451" t="str">
        <f>IFERROR(__xludf.DUMMYFUNCTION("""COMPUTED_VALUE"""),"#N/A")</f>
        <v>#N/A</v>
      </c>
    </row>
    <row r="2057">
      <c r="A2057" t="str">
        <f>IFERROR(__xludf.DUMMYFUNCTION("""COMPUTED_VALUE"""),"#N/A")</f>
        <v>#N/A</v>
      </c>
      <c r="B2057" s="451" t="str">
        <f>IFERROR(__xludf.DUMMYFUNCTION("""COMPUTED_VALUE"""),"#N/A")</f>
        <v>#N/A</v>
      </c>
    </row>
    <row r="2058">
      <c r="A2058" t="str">
        <f>IFERROR(__xludf.DUMMYFUNCTION("""COMPUTED_VALUE"""),"#N/A")</f>
        <v>#N/A</v>
      </c>
      <c r="B2058" s="451" t="str">
        <f>IFERROR(__xludf.DUMMYFUNCTION("""COMPUTED_VALUE"""),"#N/A")</f>
        <v>#N/A</v>
      </c>
    </row>
    <row r="2059">
      <c r="A2059" t="str">
        <f>IFERROR(__xludf.DUMMYFUNCTION("""COMPUTED_VALUE"""),"#N/A")</f>
        <v>#N/A</v>
      </c>
      <c r="B2059" s="451" t="str">
        <f>IFERROR(__xludf.DUMMYFUNCTION("""COMPUTED_VALUE"""),"#N/A")</f>
        <v>#N/A</v>
      </c>
    </row>
    <row r="2060">
      <c r="A2060" t="str">
        <f>IFERROR(__xludf.DUMMYFUNCTION("""COMPUTED_VALUE"""),"#N/A")</f>
        <v>#N/A</v>
      </c>
      <c r="B2060" s="451" t="str">
        <f>IFERROR(__xludf.DUMMYFUNCTION("""COMPUTED_VALUE"""),"#N/A")</f>
        <v>#N/A</v>
      </c>
    </row>
    <row r="2061">
      <c r="A2061" t="str">
        <f>IFERROR(__xludf.DUMMYFUNCTION("""COMPUTED_VALUE"""),"#N/A")</f>
        <v>#N/A</v>
      </c>
      <c r="B2061" s="451" t="str">
        <f>IFERROR(__xludf.DUMMYFUNCTION("""COMPUTED_VALUE"""),"#N/A")</f>
        <v>#N/A</v>
      </c>
    </row>
    <row r="2062">
      <c r="A2062" t="str">
        <f>IFERROR(__xludf.DUMMYFUNCTION("""COMPUTED_VALUE"""),"#N/A")</f>
        <v>#N/A</v>
      </c>
      <c r="B2062" s="451" t="str">
        <f>IFERROR(__xludf.DUMMYFUNCTION("""COMPUTED_VALUE"""),"#N/A")</f>
        <v>#N/A</v>
      </c>
    </row>
    <row r="2063">
      <c r="A2063" t="str">
        <f>IFERROR(__xludf.DUMMYFUNCTION("""COMPUTED_VALUE"""),"#N/A")</f>
        <v>#N/A</v>
      </c>
      <c r="B2063" s="451" t="str">
        <f>IFERROR(__xludf.DUMMYFUNCTION("""COMPUTED_VALUE"""),"#N/A")</f>
        <v>#N/A</v>
      </c>
    </row>
    <row r="2064">
      <c r="A2064" t="str">
        <f>IFERROR(__xludf.DUMMYFUNCTION("""COMPUTED_VALUE"""),"#N/A")</f>
        <v>#N/A</v>
      </c>
      <c r="B2064" s="451" t="str">
        <f>IFERROR(__xludf.DUMMYFUNCTION("""COMPUTED_VALUE"""),"#N/A")</f>
        <v>#N/A</v>
      </c>
    </row>
    <row r="2065">
      <c r="A2065" t="str">
        <f>IFERROR(__xludf.DUMMYFUNCTION("""COMPUTED_VALUE"""),"#N/A")</f>
        <v>#N/A</v>
      </c>
      <c r="B2065" s="451" t="str">
        <f>IFERROR(__xludf.DUMMYFUNCTION("""COMPUTED_VALUE"""),"#N/A")</f>
        <v>#N/A</v>
      </c>
    </row>
    <row r="2066">
      <c r="A2066" t="str">
        <f>IFERROR(__xludf.DUMMYFUNCTION("""COMPUTED_VALUE"""),"#N/A")</f>
        <v>#N/A</v>
      </c>
      <c r="B2066" s="451" t="str">
        <f>IFERROR(__xludf.DUMMYFUNCTION("""COMPUTED_VALUE"""),"#N/A")</f>
        <v>#N/A</v>
      </c>
    </row>
    <row r="2067">
      <c r="A2067" t="str">
        <f>IFERROR(__xludf.DUMMYFUNCTION("""COMPUTED_VALUE"""),"#N/A")</f>
        <v>#N/A</v>
      </c>
      <c r="B2067" s="451" t="str">
        <f>IFERROR(__xludf.DUMMYFUNCTION("""COMPUTED_VALUE"""),"#N/A")</f>
        <v>#N/A</v>
      </c>
    </row>
    <row r="2068">
      <c r="A2068" t="str">
        <f>IFERROR(__xludf.DUMMYFUNCTION("""COMPUTED_VALUE"""),"#N/A")</f>
        <v>#N/A</v>
      </c>
      <c r="B2068" s="451" t="str">
        <f>IFERROR(__xludf.DUMMYFUNCTION("""COMPUTED_VALUE"""),"#N/A")</f>
        <v>#N/A</v>
      </c>
    </row>
    <row r="2069">
      <c r="A2069" t="str">
        <f>IFERROR(__xludf.DUMMYFUNCTION("""COMPUTED_VALUE"""),"#N/A")</f>
        <v>#N/A</v>
      </c>
      <c r="B2069" s="451" t="str">
        <f>IFERROR(__xludf.DUMMYFUNCTION("""COMPUTED_VALUE"""),"#N/A")</f>
        <v>#N/A</v>
      </c>
    </row>
    <row r="2070">
      <c r="A2070" t="str">
        <f>IFERROR(__xludf.DUMMYFUNCTION("""COMPUTED_VALUE"""),"#N/A")</f>
        <v>#N/A</v>
      </c>
      <c r="B2070" s="451" t="str">
        <f>IFERROR(__xludf.DUMMYFUNCTION("""COMPUTED_VALUE"""),"#N/A")</f>
        <v>#N/A</v>
      </c>
    </row>
    <row r="2071">
      <c r="A2071" t="str">
        <f>IFERROR(__xludf.DUMMYFUNCTION("""COMPUTED_VALUE"""),"#N/A")</f>
        <v>#N/A</v>
      </c>
      <c r="B2071" s="451" t="str">
        <f>IFERROR(__xludf.DUMMYFUNCTION("""COMPUTED_VALUE"""),"#N/A")</f>
        <v>#N/A</v>
      </c>
    </row>
    <row r="2072">
      <c r="A2072" t="str">
        <f>IFERROR(__xludf.DUMMYFUNCTION("""COMPUTED_VALUE"""),"#N/A")</f>
        <v>#N/A</v>
      </c>
      <c r="B2072" s="451" t="str">
        <f>IFERROR(__xludf.DUMMYFUNCTION("""COMPUTED_VALUE"""),"#N/A")</f>
        <v>#N/A</v>
      </c>
    </row>
    <row r="2073">
      <c r="A2073" t="str">
        <f>IFERROR(__xludf.DUMMYFUNCTION("""COMPUTED_VALUE"""),"#N/A")</f>
        <v>#N/A</v>
      </c>
      <c r="B2073" s="451" t="str">
        <f>IFERROR(__xludf.DUMMYFUNCTION("""COMPUTED_VALUE"""),"#N/A")</f>
        <v>#N/A</v>
      </c>
    </row>
    <row r="2074">
      <c r="A2074" t="str">
        <f>IFERROR(__xludf.DUMMYFUNCTION("""COMPUTED_VALUE"""),"#N/A")</f>
        <v>#N/A</v>
      </c>
      <c r="B2074" s="451" t="str">
        <f>IFERROR(__xludf.DUMMYFUNCTION("""COMPUTED_VALUE"""),"#N/A")</f>
        <v>#N/A</v>
      </c>
    </row>
    <row r="2075">
      <c r="A2075" t="str">
        <f>IFERROR(__xludf.DUMMYFUNCTION("""COMPUTED_VALUE"""),"#N/A")</f>
        <v>#N/A</v>
      </c>
      <c r="B2075" s="451" t="str">
        <f>IFERROR(__xludf.DUMMYFUNCTION("""COMPUTED_VALUE"""),"#N/A")</f>
        <v>#N/A</v>
      </c>
    </row>
    <row r="2076">
      <c r="A2076" t="str">
        <f>IFERROR(__xludf.DUMMYFUNCTION("""COMPUTED_VALUE"""),"#N/A")</f>
        <v>#N/A</v>
      </c>
      <c r="B2076" s="451" t="str">
        <f>IFERROR(__xludf.DUMMYFUNCTION("""COMPUTED_VALUE"""),"#N/A")</f>
        <v>#N/A</v>
      </c>
    </row>
    <row r="2077">
      <c r="A2077" t="str">
        <f>IFERROR(__xludf.DUMMYFUNCTION("""COMPUTED_VALUE"""),"#N/A")</f>
        <v>#N/A</v>
      </c>
      <c r="B2077" s="451" t="str">
        <f>IFERROR(__xludf.DUMMYFUNCTION("""COMPUTED_VALUE"""),"#N/A")</f>
        <v>#N/A</v>
      </c>
    </row>
    <row r="2078">
      <c r="A2078" t="str">
        <f>IFERROR(__xludf.DUMMYFUNCTION("""COMPUTED_VALUE"""),"#N/A")</f>
        <v>#N/A</v>
      </c>
      <c r="B2078" s="451" t="str">
        <f>IFERROR(__xludf.DUMMYFUNCTION("""COMPUTED_VALUE"""),"#N/A")</f>
        <v>#N/A</v>
      </c>
    </row>
    <row r="2079">
      <c r="A2079" t="str">
        <f>IFERROR(__xludf.DUMMYFUNCTION("""COMPUTED_VALUE"""),"#N/A")</f>
        <v>#N/A</v>
      </c>
      <c r="B2079" s="451" t="str">
        <f>IFERROR(__xludf.DUMMYFUNCTION("""COMPUTED_VALUE"""),"#N/A")</f>
        <v>#N/A</v>
      </c>
    </row>
    <row r="2080">
      <c r="A2080" t="str">
        <f>IFERROR(__xludf.DUMMYFUNCTION("""COMPUTED_VALUE"""),"#N/A")</f>
        <v>#N/A</v>
      </c>
      <c r="B2080" s="451" t="str">
        <f>IFERROR(__xludf.DUMMYFUNCTION("""COMPUTED_VALUE"""),"#N/A")</f>
        <v>#N/A</v>
      </c>
    </row>
    <row r="2081">
      <c r="A2081" t="str">
        <f>IFERROR(__xludf.DUMMYFUNCTION("""COMPUTED_VALUE"""),"#N/A")</f>
        <v>#N/A</v>
      </c>
      <c r="B2081" s="451" t="str">
        <f>IFERROR(__xludf.DUMMYFUNCTION("""COMPUTED_VALUE"""),"#N/A")</f>
        <v>#N/A</v>
      </c>
    </row>
    <row r="2082">
      <c r="A2082" t="str">
        <f>IFERROR(__xludf.DUMMYFUNCTION("""COMPUTED_VALUE"""),"#N/A")</f>
        <v>#N/A</v>
      </c>
      <c r="B2082" s="451" t="str">
        <f>IFERROR(__xludf.DUMMYFUNCTION("""COMPUTED_VALUE"""),"#N/A")</f>
        <v>#N/A</v>
      </c>
    </row>
    <row r="2083">
      <c r="A2083" t="str">
        <f>IFERROR(__xludf.DUMMYFUNCTION("""COMPUTED_VALUE"""),"#N/A")</f>
        <v>#N/A</v>
      </c>
      <c r="B2083" s="451" t="str">
        <f>IFERROR(__xludf.DUMMYFUNCTION("""COMPUTED_VALUE"""),"#N/A")</f>
        <v>#N/A</v>
      </c>
    </row>
    <row r="2084">
      <c r="A2084" t="str">
        <f>IFERROR(__xludf.DUMMYFUNCTION("""COMPUTED_VALUE"""),"#N/A")</f>
        <v>#N/A</v>
      </c>
      <c r="B2084" s="451" t="str">
        <f>IFERROR(__xludf.DUMMYFUNCTION("""COMPUTED_VALUE"""),"#N/A")</f>
        <v>#N/A</v>
      </c>
    </row>
    <row r="2085">
      <c r="A2085" t="str">
        <f>IFERROR(__xludf.DUMMYFUNCTION("""COMPUTED_VALUE"""),"#N/A")</f>
        <v>#N/A</v>
      </c>
      <c r="B2085" s="451" t="str">
        <f>IFERROR(__xludf.DUMMYFUNCTION("""COMPUTED_VALUE"""),"#N/A")</f>
        <v>#N/A</v>
      </c>
    </row>
    <row r="2086">
      <c r="A2086" t="str">
        <f>IFERROR(__xludf.DUMMYFUNCTION("""COMPUTED_VALUE"""),"#N/A")</f>
        <v>#N/A</v>
      </c>
      <c r="B2086" s="451" t="str">
        <f>IFERROR(__xludf.DUMMYFUNCTION("""COMPUTED_VALUE"""),"#N/A")</f>
        <v>#N/A</v>
      </c>
    </row>
    <row r="2087">
      <c r="A2087" t="str">
        <f>IFERROR(__xludf.DUMMYFUNCTION("""COMPUTED_VALUE"""),"#N/A")</f>
        <v>#N/A</v>
      </c>
      <c r="B2087" s="451" t="str">
        <f>IFERROR(__xludf.DUMMYFUNCTION("""COMPUTED_VALUE"""),"#N/A")</f>
        <v>#N/A</v>
      </c>
    </row>
    <row r="2088">
      <c r="A2088" t="str">
        <f>IFERROR(__xludf.DUMMYFUNCTION("""COMPUTED_VALUE"""),"#N/A")</f>
        <v>#N/A</v>
      </c>
      <c r="B2088" s="451" t="str">
        <f>IFERROR(__xludf.DUMMYFUNCTION("""COMPUTED_VALUE"""),"#N/A")</f>
        <v>#N/A</v>
      </c>
    </row>
    <row r="2089">
      <c r="A2089" t="str">
        <f>IFERROR(__xludf.DUMMYFUNCTION("""COMPUTED_VALUE"""),"#N/A")</f>
        <v>#N/A</v>
      </c>
      <c r="B2089" s="451" t="str">
        <f>IFERROR(__xludf.DUMMYFUNCTION("""COMPUTED_VALUE"""),"#N/A")</f>
        <v>#N/A</v>
      </c>
    </row>
    <row r="2090">
      <c r="A2090" t="str">
        <f>IFERROR(__xludf.DUMMYFUNCTION("""COMPUTED_VALUE"""),"#N/A")</f>
        <v>#N/A</v>
      </c>
      <c r="B2090" s="451" t="str">
        <f>IFERROR(__xludf.DUMMYFUNCTION("""COMPUTED_VALUE"""),"#N/A")</f>
        <v>#N/A</v>
      </c>
    </row>
    <row r="2091">
      <c r="A2091" t="str">
        <f>IFERROR(__xludf.DUMMYFUNCTION("""COMPUTED_VALUE"""),"#N/A")</f>
        <v>#N/A</v>
      </c>
      <c r="B2091" s="451" t="str">
        <f>IFERROR(__xludf.DUMMYFUNCTION("""COMPUTED_VALUE"""),"#N/A")</f>
        <v>#N/A</v>
      </c>
    </row>
    <row r="2092">
      <c r="A2092" t="str">
        <f>IFERROR(__xludf.DUMMYFUNCTION("""COMPUTED_VALUE"""),"#N/A")</f>
        <v>#N/A</v>
      </c>
      <c r="B2092" s="451" t="str">
        <f>IFERROR(__xludf.DUMMYFUNCTION("""COMPUTED_VALUE"""),"#N/A")</f>
        <v>#N/A</v>
      </c>
    </row>
    <row r="2093">
      <c r="A2093" t="str">
        <f>IFERROR(__xludf.DUMMYFUNCTION("""COMPUTED_VALUE"""),"#N/A")</f>
        <v>#N/A</v>
      </c>
      <c r="B2093" s="451" t="str">
        <f>IFERROR(__xludf.DUMMYFUNCTION("""COMPUTED_VALUE"""),"#N/A")</f>
        <v>#N/A</v>
      </c>
    </row>
    <row r="2094">
      <c r="A2094" t="str">
        <f>IFERROR(__xludf.DUMMYFUNCTION("""COMPUTED_VALUE"""),"#N/A")</f>
        <v>#N/A</v>
      </c>
      <c r="B2094" s="451" t="str">
        <f>IFERROR(__xludf.DUMMYFUNCTION("""COMPUTED_VALUE"""),"#N/A")</f>
        <v>#N/A</v>
      </c>
    </row>
    <row r="2095">
      <c r="A2095" t="str">
        <f>IFERROR(__xludf.DUMMYFUNCTION("""COMPUTED_VALUE"""),"#N/A")</f>
        <v>#N/A</v>
      </c>
      <c r="B2095" s="451" t="str">
        <f>IFERROR(__xludf.DUMMYFUNCTION("""COMPUTED_VALUE"""),"#N/A")</f>
        <v>#N/A</v>
      </c>
    </row>
    <row r="2096">
      <c r="A2096" t="str">
        <f>IFERROR(__xludf.DUMMYFUNCTION("""COMPUTED_VALUE"""),"#N/A")</f>
        <v>#N/A</v>
      </c>
      <c r="B2096" s="451" t="str">
        <f>IFERROR(__xludf.DUMMYFUNCTION("""COMPUTED_VALUE"""),"#N/A")</f>
        <v>#N/A</v>
      </c>
    </row>
    <row r="2097">
      <c r="A2097" t="str">
        <f>IFERROR(__xludf.DUMMYFUNCTION("""COMPUTED_VALUE"""),"#N/A")</f>
        <v>#N/A</v>
      </c>
      <c r="B2097" s="451" t="str">
        <f>IFERROR(__xludf.DUMMYFUNCTION("""COMPUTED_VALUE"""),"#N/A")</f>
        <v>#N/A</v>
      </c>
    </row>
    <row r="2098">
      <c r="A2098" t="str">
        <f>IFERROR(__xludf.DUMMYFUNCTION("""COMPUTED_VALUE"""),"#N/A")</f>
        <v>#N/A</v>
      </c>
      <c r="B2098" s="451" t="str">
        <f>IFERROR(__xludf.DUMMYFUNCTION("""COMPUTED_VALUE"""),"#N/A")</f>
        <v>#N/A</v>
      </c>
    </row>
    <row r="2099">
      <c r="A2099" t="str">
        <f>IFERROR(__xludf.DUMMYFUNCTION("""COMPUTED_VALUE"""),"#N/A")</f>
        <v>#N/A</v>
      </c>
      <c r="B2099" s="451" t="str">
        <f>IFERROR(__xludf.DUMMYFUNCTION("""COMPUTED_VALUE"""),"#N/A")</f>
        <v>#N/A</v>
      </c>
    </row>
    <row r="2100">
      <c r="A2100" t="str">
        <f>IFERROR(__xludf.DUMMYFUNCTION("""COMPUTED_VALUE"""),"#N/A")</f>
        <v>#N/A</v>
      </c>
      <c r="B2100" s="451" t="str">
        <f>IFERROR(__xludf.DUMMYFUNCTION("""COMPUTED_VALUE"""),"#N/A")</f>
        <v>#N/A</v>
      </c>
    </row>
    <row r="2101">
      <c r="A2101" t="str">
        <f>IFERROR(__xludf.DUMMYFUNCTION("""COMPUTED_VALUE"""),"#N/A")</f>
        <v>#N/A</v>
      </c>
      <c r="B2101" s="451" t="str">
        <f>IFERROR(__xludf.DUMMYFUNCTION("""COMPUTED_VALUE"""),"#N/A")</f>
        <v>#N/A</v>
      </c>
    </row>
    <row r="2102">
      <c r="A2102" t="str">
        <f>IFERROR(__xludf.DUMMYFUNCTION("""COMPUTED_VALUE"""),"#N/A")</f>
        <v>#N/A</v>
      </c>
      <c r="B2102" s="451" t="str">
        <f>IFERROR(__xludf.DUMMYFUNCTION("""COMPUTED_VALUE"""),"#N/A")</f>
        <v>#N/A</v>
      </c>
    </row>
    <row r="2103">
      <c r="A2103" t="str">
        <f>IFERROR(__xludf.DUMMYFUNCTION("""COMPUTED_VALUE"""),"#N/A")</f>
        <v>#N/A</v>
      </c>
      <c r="B2103" s="451" t="str">
        <f>IFERROR(__xludf.DUMMYFUNCTION("""COMPUTED_VALUE"""),"#N/A")</f>
        <v>#N/A</v>
      </c>
    </row>
    <row r="2104">
      <c r="A2104" t="str">
        <f>IFERROR(__xludf.DUMMYFUNCTION("""COMPUTED_VALUE"""),"#N/A")</f>
        <v>#N/A</v>
      </c>
      <c r="B2104" s="451" t="str">
        <f>IFERROR(__xludf.DUMMYFUNCTION("""COMPUTED_VALUE"""),"#N/A")</f>
        <v>#N/A</v>
      </c>
    </row>
    <row r="2105">
      <c r="A2105" t="str">
        <f>IFERROR(__xludf.DUMMYFUNCTION("""COMPUTED_VALUE"""),"#N/A")</f>
        <v>#N/A</v>
      </c>
      <c r="B2105" s="451" t="str">
        <f>IFERROR(__xludf.DUMMYFUNCTION("""COMPUTED_VALUE"""),"#N/A")</f>
        <v>#N/A</v>
      </c>
    </row>
    <row r="2106">
      <c r="A2106" t="str">
        <f>IFERROR(__xludf.DUMMYFUNCTION("""COMPUTED_VALUE"""),"#N/A")</f>
        <v>#N/A</v>
      </c>
      <c r="B2106" s="451" t="str">
        <f>IFERROR(__xludf.DUMMYFUNCTION("""COMPUTED_VALUE"""),"#N/A")</f>
        <v>#N/A</v>
      </c>
    </row>
    <row r="2107">
      <c r="A2107" t="str">
        <f>IFERROR(__xludf.DUMMYFUNCTION("""COMPUTED_VALUE"""),"#N/A")</f>
        <v>#N/A</v>
      </c>
      <c r="B2107" s="451" t="str">
        <f>IFERROR(__xludf.DUMMYFUNCTION("""COMPUTED_VALUE"""),"#N/A")</f>
        <v>#N/A</v>
      </c>
    </row>
    <row r="2108">
      <c r="A2108" t="str">
        <f>IFERROR(__xludf.DUMMYFUNCTION("""COMPUTED_VALUE"""),"#N/A")</f>
        <v>#N/A</v>
      </c>
      <c r="B2108" s="451" t="str">
        <f>IFERROR(__xludf.DUMMYFUNCTION("""COMPUTED_VALUE"""),"#N/A")</f>
        <v>#N/A</v>
      </c>
    </row>
    <row r="2109">
      <c r="A2109" t="str">
        <f>IFERROR(__xludf.DUMMYFUNCTION("""COMPUTED_VALUE"""),"#N/A")</f>
        <v>#N/A</v>
      </c>
      <c r="B2109" s="451" t="str">
        <f>IFERROR(__xludf.DUMMYFUNCTION("""COMPUTED_VALUE"""),"#N/A")</f>
        <v>#N/A</v>
      </c>
    </row>
    <row r="2110">
      <c r="A2110" t="str">
        <f>IFERROR(__xludf.DUMMYFUNCTION("""COMPUTED_VALUE"""),"#N/A")</f>
        <v>#N/A</v>
      </c>
      <c r="B2110" s="451" t="str">
        <f>IFERROR(__xludf.DUMMYFUNCTION("""COMPUTED_VALUE"""),"#N/A")</f>
        <v>#N/A</v>
      </c>
    </row>
    <row r="2111">
      <c r="A2111" t="str">
        <f>IFERROR(__xludf.DUMMYFUNCTION("""COMPUTED_VALUE"""),"#N/A")</f>
        <v>#N/A</v>
      </c>
      <c r="B2111" s="451" t="str">
        <f>IFERROR(__xludf.DUMMYFUNCTION("""COMPUTED_VALUE"""),"#N/A")</f>
        <v>#N/A</v>
      </c>
    </row>
    <row r="2112">
      <c r="A2112" t="str">
        <f>IFERROR(__xludf.DUMMYFUNCTION("""COMPUTED_VALUE"""),"#N/A")</f>
        <v>#N/A</v>
      </c>
      <c r="B2112" s="451" t="str">
        <f>IFERROR(__xludf.DUMMYFUNCTION("""COMPUTED_VALUE"""),"#N/A")</f>
        <v>#N/A</v>
      </c>
    </row>
    <row r="2113">
      <c r="A2113" t="str">
        <f>IFERROR(__xludf.DUMMYFUNCTION("""COMPUTED_VALUE"""),"#N/A")</f>
        <v>#N/A</v>
      </c>
      <c r="B2113" s="451" t="str">
        <f>IFERROR(__xludf.DUMMYFUNCTION("""COMPUTED_VALUE"""),"#N/A")</f>
        <v>#N/A</v>
      </c>
    </row>
    <row r="2114">
      <c r="A2114" t="str">
        <f>IFERROR(__xludf.DUMMYFUNCTION("""COMPUTED_VALUE"""),"#N/A")</f>
        <v>#N/A</v>
      </c>
      <c r="B2114" s="451" t="str">
        <f>IFERROR(__xludf.DUMMYFUNCTION("""COMPUTED_VALUE"""),"#N/A")</f>
        <v>#N/A</v>
      </c>
    </row>
    <row r="2115">
      <c r="A2115" t="str">
        <f>IFERROR(__xludf.DUMMYFUNCTION("""COMPUTED_VALUE"""),"#N/A")</f>
        <v>#N/A</v>
      </c>
      <c r="B2115" s="451" t="str">
        <f>IFERROR(__xludf.DUMMYFUNCTION("""COMPUTED_VALUE"""),"#N/A")</f>
        <v>#N/A</v>
      </c>
    </row>
    <row r="2116">
      <c r="A2116" t="str">
        <f>IFERROR(__xludf.DUMMYFUNCTION("""COMPUTED_VALUE"""),"#N/A")</f>
        <v>#N/A</v>
      </c>
      <c r="B2116" s="451" t="str">
        <f>IFERROR(__xludf.DUMMYFUNCTION("""COMPUTED_VALUE"""),"#N/A")</f>
        <v>#N/A</v>
      </c>
    </row>
    <row r="2117">
      <c r="A2117" t="str">
        <f>IFERROR(__xludf.DUMMYFUNCTION("""COMPUTED_VALUE"""),"#N/A")</f>
        <v>#N/A</v>
      </c>
      <c r="B2117" s="451" t="str">
        <f>IFERROR(__xludf.DUMMYFUNCTION("""COMPUTED_VALUE"""),"#N/A")</f>
        <v>#N/A</v>
      </c>
    </row>
    <row r="2118">
      <c r="A2118" t="str">
        <f>IFERROR(__xludf.DUMMYFUNCTION("""COMPUTED_VALUE"""),"#N/A")</f>
        <v>#N/A</v>
      </c>
      <c r="B2118" s="451" t="str">
        <f>IFERROR(__xludf.DUMMYFUNCTION("""COMPUTED_VALUE"""),"#N/A")</f>
        <v>#N/A</v>
      </c>
    </row>
    <row r="2119">
      <c r="A2119" t="str">
        <f>IFERROR(__xludf.DUMMYFUNCTION("""COMPUTED_VALUE"""),"#N/A")</f>
        <v>#N/A</v>
      </c>
      <c r="B2119" s="451" t="str">
        <f>IFERROR(__xludf.DUMMYFUNCTION("""COMPUTED_VALUE"""),"#N/A")</f>
        <v>#N/A</v>
      </c>
    </row>
    <row r="2120">
      <c r="A2120" t="str">
        <f>IFERROR(__xludf.DUMMYFUNCTION("""COMPUTED_VALUE"""),"#N/A")</f>
        <v>#N/A</v>
      </c>
      <c r="B2120" s="451" t="str">
        <f>IFERROR(__xludf.DUMMYFUNCTION("""COMPUTED_VALUE"""),"#N/A")</f>
        <v>#N/A</v>
      </c>
    </row>
    <row r="2121">
      <c r="A2121" t="str">
        <f>IFERROR(__xludf.DUMMYFUNCTION("""COMPUTED_VALUE"""),"#N/A")</f>
        <v>#N/A</v>
      </c>
      <c r="B2121" s="451" t="str">
        <f>IFERROR(__xludf.DUMMYFUNCTION("""COMPUTED_VALUE"""),"#N/A")</f>
        <v>#N/A</v>
      </c>
    </row>
    <row r="2122">
      <c r="A2122" t="str">
        <f>IFERROR(__xludf.DUMMYFUNCTION("""COMPUTED_VALUE"""),"#N/A")</f>
        <v>#N/A</v>
      </c>
      <c r="B2122" s="451" t="str">
        <f>IFERROR(__xludf.DUMMYFUNCTION("""COMPUTED_VALUE"""),"#N/A")</f>
        <v>#N/A</v>
      </c>
    </row>
    <row r="2123">
      <c r="A2123" t="str">
        <f>IFERROR(__xludf.DUMMYFUNCTION("""COMPUTED_VALUE"""),"#N/A")</f>
        <v>#N/A</v>
      </c>
      <c r="B2123" s="451" t="str">
        <f>IFERROR(__xludf.DUMMYFUNCTION("""COMPUTED_VALUE"""),"#N/A")</f>
        <v>#N/A</v>
      </c>
    </row>
    <row r="2124">
      <c r="A2124" t="str">
        <f>IFERROR(__xludf.DUMMYFUNCTION("""COMPUTED_VALUE"""),"#N/A")</f>
        <v>#N/A</v>
      </c>
      <c r="B2124" s="451" t="str">
        <f>IFERROR(__xludf.DUMMYFUNCTION("""COMPUTED_VALUE"""),"#N/A")</f>
        <v>#N/A</v>
      </c>
    </row>
    <row r="2125">
      <c r="A2125" t="str">
        <f>IFERROR(__xludf.DUMMYFUNCTION("""COMPUTED_VALUE"""),"#N/A")</f>
        <v>#N/A</v>
      </c>
      <c r="B2125" s="451" t="str">
        <f>IFERROR(__xludf.DUMMYFUNCTION("""COMPUTED_VALUE"""),"#N/A")</f>
        <v>#N/A</v>
      </c>
    </row>
    <row r="2126">
      <c r="A2126" t="str">
        <f>IFERROR(__xludf.DUMMYFUNCTION("""COMPUTED_VALUE"""),"#N/A")</f>
        <v>#N/A</v>
      </c>
      <c r="B2126" s="451" t="str">
        <f>IFERROR(__xludf.DUMMYFUNCTION("""COMPUTED_VALUE"""),"#N/A")</f>
        <v>#N/A</v>
      </c>
    </row>
    <row r="2127">
      <c r="A2127" t="str">
        <f>IFERROR(__xludf.DUMMYFUNCTION("""COMPUTED_VALUE"""),"#N/A")</f>
        <v>#N/A</v>
      </c>
      <c r="B2127" s="451" t="str">
        <f>IFERROR(__xludf.DUMMYFUNCTION("""COMPUTED_VALUE"""),"#N/A")</f>
        <v>#N/A</v>
      </c>
    </row>
    <row r="2128">
      <c r="A2128" t="str">
        <f>IFERROR(__xludf.DUMMYFUNCTION("""COMPUTED_VALUE"""),"#N/A")</f>
        <v>#N/A</v>
      </c>
      <c r="B2128" s="451" t="str">
        <f>IFERROR(__xludf.DUMMYFUNCTION("""COMPUTED_VALUE"""),"#N/A")</f>
        <v>#N/A</v>
      </c>
    </row>
    <row r="2129">
      <c r="A2129" t="str">
        <f>IFERROR(__xludf.DUMMYFUNCTION("""COMPUTED_VALUE"""),"#N/A")</f>
        <v>#N/A</v>
      </c>
      <c r="B2129" s="451" t="str">
        <f>IFERROR(__xludf.DUMMYFUNCTION("""COMPUTED_VALUE"""),"#N/A")</f>
        <v>#N/A</v>
      </c>
    </row>
    <row r="2130">
      <c r="A2130" t="str">
        <f>IFERROR(__xludf.DUMMYFUNCTION("""COMPUTED_VALUE"""),"#N/A")</f>
        <v>#N/A</v>
      </c>
      <c r="B2130" s="451" t="str">
        <f>IFERROR(__xludf.DUMMYFUNCTION("""COMPUTED_VALUE"""),"#N/A")</f>
        <v>#N/A</v>
      </c>
    </row>
    <row r="2131">
      <c r="A2131" t="str">
        <f>IFERROR(__xludf.DUMMYFUNCTION("""COMPUTED_VALUE"""),"#N/A")</f>
        <v>#N/A</v>
      </c>
      <c r="B2131" s="451" t="str">
        <f>IFERROR(__xludf.DUMMYFUNCTION("""COMPUTED_VALUE"""),"#N/A")</f>
        <v>#N/A</v>
      </c>
    </row>
    <row r="2132">
      <c r="A2132" t="str">
        <f>IFERROR(__xludf.DUMMYFUNCTION("""COMPUTED_VALUE"""),"#N/A")</f>
        <v>#N/A</v>
      </c>
      <c r="B2132" s="451" t="str">
        <f>IFERROR(__xludf.DUMMYFUNCTION("""COMPUTED_VALUE"""),"#N/A")</f>
        <v>#N/A</v>
      </c>
    </row>
    <row r="2133">
      <c r="A2133" t="str">
        <f>IFERROR(__xludf.DUMMYFUNCTION("""COMPUTED_VALUE"""),"#N/A")</f>
        <v>#N/A</v>
      </c>
      <c r="B2133" s="451" t="str">
        <f>IFERROR(__xludf.DUMMYFUNCTION("""COMPUTED_VALUE"""),"#N/A")</f>
        <v>#N/A</v>
      </c>
    </row>
    <row r="2134">
      <c r="A2134" t="str">
        <f>IFERROR(__xludf.DUMMYFUNCTION("""COMPUTED_VALUE"""),"#N/A")</f>
        <v>#N/A</v>
      </c>
      <c r="B2134" s="451" t="str">
        <f>IFERROR(__xludf.DUMMYFUNCTION("""COMPUTED_VALUE"""),"#N/A")</f>
        <v>#N/A</v>
      </c>
    </row>
    <row r="2135">
      <c r="A2135" t="str">
        <f>IFERROR(__xludf.DUMMYFUNCTION("""COMPUTED_VALUE"""),"#N/A")</f>
        <v>#N/A</v>
      </c>
      <c r="B2135" s="451" t="str">
        <f>IFERROR(__xludf.DUMMYFUNCTION("""COMPUTED_VALUE"""),"#N/A")</f>
        <v>#N/A</v>
      </c>
    </row>
    <row r="2136">
      <c r="A2136" t="str">
        <f>IFERROR(__xludf.DUMMYFUNCTION("""COMPUTED_VALUE"""),"#N/A")</f>
        <v>#N/A</v>
      </c>
      <c r="B2136" s="451" t="str">
        <f>IFERROR(__xludf.DUMMYFUNCTION("""COMPUTED_VALUE"""),"#N/A")</f>
        <v>#N/A</v>
      </c>
    </row>
    <row r="2137">
      <c r="A2137" t="str">
        <f>IFERROR(__xludf.DUMMYFUNCTION("""COMPUTED_VALUE"""),"#N/A")</f>
        <v>#N/A</v>
      </c>
      <c r="B2137" s="451" t="str">
        <f>IFERROR(__xludf.DUMMYFUNCTION("""COMPUTED_VALUE"""),"#N/A")</f>
        <v>#N/A</v>
      </c>
    </row>
    <row r="2138">
      <c r="A2138" t="str">
        <f>IFERROR(__xludf.DUMMYFUNCTION("""COMPUTED_VALUE"""),"#N/A")</f>
        <v>#N/A</v>
      </c>
      <c r="B2138" s="451" t="str">
        <f>IFERROR(__xludf.DUMMYFUNCTION("""COMPUTED_VALUE"""),"#N/A")</f>
        <v>#N/A</v>
      </c>
    </row>
    <row r="2139">
      <c r="A2139" t="str">
        <f>IFERROR(__xludf.DUMMYFUNCTION("""COMPUTED_VALUE"""),"#N/A")</f>
        <v>#N/A</v>
      </c>
      <c r="B2139" s="451" t="str">
        <f>IFERROR(__xludf.DUMMYFUNCTION("""COMPUTED_VALUE"""),"#N/A")</f>
        <v>#N/A</v>
      </c>
    </row>
    <row r="2140">
      <c r="A2140" t="str">
        <f>IFERROR(__xludf.DUMMYFUNCTION("""COMPUTED_VALUE"""),"#N/A")</f>
        <v>#N/A</v>
      </c>
      <c r="B2140" s="451" t="str">
        <f>IFERROR(__xludf.DUMMYFUNCTION("""COMPUTED_VALUE"""),"#N/A")</f>
        <v>#N/A</v>
      </c>
    </row>
    <row r="2141">
      <c r="A2141" t="str">
        <f>IFERROR(__xludf.DUMMYFUNCTION("""COMPUTED_VALUE"""),"#N/A")</f>
        <v>#N/A</v>
      </c>
      <c r="B2141" s="451" t="str">
        <f>IFERROR(__xludf.DUMMYFUNCTION("""COMPUTED_VALUE"""),"#N/A")</f>
        <v>#N/A</v>
      </c>
    </row>
    <row r="2142">
      <c r="A2142" t="str">
        <f>IFERROR(__xludf.DUMMYFUNCTION("""COMPUTED_VALUE"""),"#N/A")</f>
        <v>#N/A</v>
      </c>
      <c r="B2142" s="451" t="str">
        <f>IFERROR(__xludf.DUMMYFUNCTION("""COMPUTED_VALUE"""),"#N/A")</f>
        <v>#N/A</v>
      </c>
    </row>
    <row r="2143">
      <c r="A2143" t="str">
        <f>IFERROR(__xludf.DUMMYFUNCTION("""COMPUTED_VALUE"""),"#N/A")</f>
        <v>#N/A</v>
      </c>
      <c r="B2143" s="451" t="str">
        <f>IFERROR(__xludf.DUMMYFUNCTION("""COMPUTED_VALUE"""),"#N/A")</f>
        <v>#N/A</v>
      </c>
    </row>
    <row r="2144">
      <c r="A2144" t="str">
        <f>IFERROR(__xludf.DUMMYFUNCTION("""COMPUTED_VALUE"""),"#N/A")</f>
        <v>#N/A</v>
      </c>
      <c r="B2144" s="451" t="str">
        <f>IFERROR(__xludf.DUMMYFUNCTION("""COMPUTED_VALUE"""),"#N/A")</f>
        <v>#N/A</v>
      </c>
    </row>
    <row r="2145">
      <c r="A2145" t="str">
        <f>IFERROR(__xludf.DUMMYFUNCTION("""COMPUTED_VALUE"""),"#N/A")</f>
        <v>#N/A</v>
      </c>
      <c r="B2145" s="451" t="str">
        <f>IFERROR(__xludf.DUMMYFUNCTION("""COMPUTED_VALUE"""),"#N/A")</f>
        <v>#N/A</v>
      </c>
    </row>
    <row r="2146">
      <c r="A2146" t="str">
        <f>IFERROR(__xludf.DUMMYFUNCTION("""COMPUTED_VALUE"""),"#N/A")</f>
        <v>#N/A</v>
      </c>
      <c r="B2146" s="451" t="str">
        <f>IFERROR(__xludf.DUMMYFUNCTION("""COMPUTED_VALUE"""),"#N/A")</f>
        <v>#N/A</v>
      </c>
    </row>
    <row r="2147">
      <c r="A2147" t="str">
        <f>IFERROR(__xludf.DUMMYFUNCTION("""COMPUTED_VALUE"""),"#N/A")</f>
        <v>#N/A</v>
      </c>
      <c r="B2147" s="451" t="str">
        <f>IFERROR(__xludf.DUMMYFUNCTION("""COMPUTED_VALUE"""),"#N/A")</f>
        <v>#N/A</v>
      </c>
    </row>
    <row r="2148">
      <c r="A2148" t="str">
        <f>IFERROR(__xludf.DUMMYFUNCTION("""COMPUTED_VALUE"""),"#N/A")</f>
        <v>#N/A</v>
      </c>
      <c r="B2148" s="451" t="str">
        <f>IFERROR(__xludf.DUMMYFUNCTION("""COMPUTED_VALUE"""),"#N/A")</f>
        <v>#N/A</v>
      </c>
    </row>
    <row r="2149">
      <c r="A2149" t="str">
        <f>IFERROR(__xludf.DUMMYFUNCTION("""COMPUTED_VALUE"""),"#N/A")</f>
        <v>#N/A</v>
      </c>
      <c r="B2149" s="451" t="str">
        <f>IFERROR(__xludf.DUMMYFUNCTION("""COMPUTED_VALUE"""),"#N/A")</f>
        <v>#N/A</v>
      </c>
    </row>
    <row r="2150">
      <c r="A2150" t="str">
        <f>IFERROR(__xludf.DUMMYFUNCTION("""COMPUTED_VALUE"""),"#N/A")</f>
        <v>#N/A</v>
      </c>
      <c r="B2150" s="451" t="str">
        <f>IFERROR(__xludf.DUMMYFUNCTION("""COMPUTED_VALUE"""),"#N/A")</f>
        <v>#N/A</v>
      </c>
    </row>
    <row r="2151">
      <c r="A2151" t="str">
        <f>IFERROR(__xludf.DUMMYFUNCTION("""COMPUTED_VALUE"""),"#N/A")</f>
        <v>#N/A</v>
      </c>
      <c r="B2151" s="451" t="str">
        <f>IFERROR(__xludf.DUMMYFUNCTION("""COMPUTED_VALUE"""),"#N/A")</f>
        <v>#N/A</v>
      </c>
    </row>
    <row r="2152">
      <c r="A2152" t="str">
        <f>IFERROR(__xludf.DUMMYFUNCTION("""COMPUTED_VALUE"""),"#N/A")</f>
        <v>#N/A</v>
      </c>
      <c r="B2152" s="451" t="str">
        <f>IFERROR(__xludf.DUMMYFUNCTION("""COMPUTED_VALUE"""),"#N/A")</f>
        <v>#N/A</v>
      </c>
    </row>
    <row r="2153">
      <c r="A2153" t="str">
        <f>IFERROR(__xludf.DUMMYFUNCTION("""COMPUTED_VALUE"""),"#N/A")</f>
        <v>#N/A</v>
      </c>
      <c r="B2153" s="451" t="str">
        <f>IFERROR(__xludf.DUMMYFUNCTION("""COMPUTED_VALUE"""),"#N/A")</f>
        <v>#N/A</v>
      </c>
    </row>
    <row r="2154">
      <c r="A2154" t="str">
        <f>IFERROR(__xludf.DUMMYFUNCTION("""COMPUTED_VALUE"""),"#N/A")</f>
        <v>#N/A</v>
      </c>
      <c r="B2154" s="451" t="str">
        <f>IFERROR(__xludf.DUMMYFUNCTION("""COMPUTED_VALUE"""),"#N/A")</f>
        <v>#N/A</v>
      </c>
    </row>
    <row r="2155">
      <c r="A2155" t="str">
        <f>IFERROR(__xludf.DUMMYFUNCTION("""COMPUTED_VALUE"""),"#N/A")</f>
        <v>#N/A</v>
      </c>
      <c r="B2155" s="451" t="str">
        <f>IFERROR(__xludf.DUMMYFUNCTION("""COMPUTED_VALUE"""),"#N/A")</f>
        <v>#N/A</v>
      </c>
    </row>
    <row r="2156">
      <c r="A2156" t="str">
        <f>IFERROR(__xludf.DUMMYFUNCTION("""COMPUTED_VALUE"""),"#N/A")</f>
        <v>#N/A</v>
      </c>
      <c r="B2156" s="451" t="str">
        <f>IFERROR(__xludf.DUMMYFUNCTION("""COMPUTED_VALUE"""),"#N/A")</f>
        <v>#N/A</v>
      </c>
    </row>
    <row r="2157">
      <c r="A2157" t="str">
        <f>IFERROR(__xludf.DUMMYFUNCTION("""COMPUTED_VALUE"""),"#N/A")</f>
        <v>#N/A</v>
      </c>
      <c r="B2157" s="451" t="str">
        <f>IFERROR(__xludf.DUMMYFUNCTION("""COMPUTED_VALUE"""),"#N/A")</f>
        <v>#N/A</v>
      </c>
    </row>
    <row r="2158">
      <c r="A2158" t="str">
        <f>IFERROR(__xludf.DUMMYFUNCTION("""COMPUTED_VALUE"""),"#N/A")</f>
        <v>#N/A</v>
      </c>
      <c r="B2158" s="451" t="str">
        <f>IFERROR(__xludf.DUMMYFUNCTION("""COMPUTED_VALUE"""),"#N/A")</f>
        <v>#N/A</v>
      </c>
    </row>
    <row r="2159">
      <c r="A2159" t="str">
        <f>IFERROR(__xludf.DUMMYFUNCTION("""COMPUTED_VALUE"""),"#N/A")</f>
        <v>#N/A</v>
      </c>
      <c r="B2159" s="451" t="str">
        <f>IFERROR(__xludf.DUMMYFUNCTION("""COMPUTED_VALUE"""),"#N/A")</f>
        <v>#N/A</v>
      </c>
    </row>
    <row r="2160">
      <c r="A2160" t="str">
        <f>IFERROR(__xludf.DUMMYFUNCTION("""COMPUTED_VALUE"""),"#N/A")</f>
        <v>#N/A</v>
      </c>
      <c r="B2160" s="451" t="str">
        <f>IFERROR(__xludf.DUMMYFUNCTION("""COMPUTED_VALUE"""),"#N/A")</f>
        <v>#N/A</v>
      </c>
    </row>
    <row r="2161">
      <c r="A2161" t="str">
        <f>IFERROR(__xludf.DUMMYFUNCTION("""COMPUTED_VALUE"""),"#N/A")</f>
        <v>#N/A</v>
      </c>
      <c r="B2161" s="451" t="str">
        <f>IFERROR(__xludf.DUMMYFUNCTION("""COMPUTED_VALUE"""),"#N/A")</f>
        <v>#N/A</v>
      </c>
    </row>
    <row r="2162">
      <c r="A2162" t="str">
        <f>IFERROR(__xludf.DUMMYFUNCTION("""COMPUTED_VALUE"""),"#N/A")</f>
        <v>#N/A</v>
      </c>
      <c r="B2162" s="451" t="str">
        <f>IFERROR(__xludf.DUMMYFUNCTION("""COMPUTED_VALUE"""),"#N/A")</f>
        <v>#N/A</v>
      </c>
    </row>
    <row r="2163">
      <c r="A2163" t="str">
        <f>IFERROR(__xludf.DUMMYFUNCTION("""COMPUTED_VALUE"""),"#N/A")</f>
        <v>#N/A</v>
      </c>
      <c r="B2163" s="451" t="str">
        <f>IFERROR(__xludf.DUMMYFUNCTION("""COMPUTED_VALUE"""),"#N/A")</f>
        <v>#N/A</v>
      </c>
    </row>
    <row r="2164">
      <c r="A2164" t="str">
        <f>IFERROR(__xludf.DUMMYFUNCTION("""COMPUTED_VALUE"""),"#N/A")</f>
        <v>#N/A</v>
      </c>
      <c r="B2164" s="451" t="str">
        <f>IFERROR(__xludf.DUMMYFUNCTION("""COMPUTED_VALUE"""),"#N/A")</f>
        <v>#N/A</v>
      </c>
    </row>
    <row r="2165">
      <c r="A2165" t="str">
        <f>IFERROR(__xludf.DUMMYFUNCTION("""COMPUTED_VALUE"""),"#N/A")</f>
        <v>#N/A</v>
      </c>
      <c r="B2165" s="451" t="str">
        <f>IFERROR(__xludf.DUMMYFUNCTION("""COMPUTED_VALUE"""),"#N/A")</f>
        <v>#N/A</v>
      </c>
    </row>
    <row r="2166">
      <c r="A2166" t="str">
        <f>IFERROR(__xludf.DUMMYFUNCTION("""COMPUTED_VALUE"""),"#N/A")</f>
        <v>#N/A</v>
      </c>
      <c r="B2166" s="451" t="str">
        <f>IFERROR(__xludf.DUMMYFUNCTION("""COMPUTED_VALUE"""),"#N/A")</f>
        <v>#N/A</v>
      </c>
    </row>
    <row r="2167">
      <c r="A2167" t="str">
        <f>IFERROR(__xludf.DUMMYFUNCTION("""COMPUTED_VALUE"""),"#N/A")</f>
        <v>#N/A</v>
      </c>
      <c r="B2167" s="451" t="str">
        <f>IFERROR(__xludf.DUMMYFUNCTION("""COMPUTED_VALUE"""),"#N/A")</f>
        <v>#N/A</v>
      </c>
    </row>
    <row r="2168">
      <c r="A2168" t="str">
        <f>IFERROR(__xludf.DUMMYFUNCTION("""COMPUTED_VALUE"""),"#N/A")</f>
        <v>#N/A</v>
      </c>
      <c r="B2168" s="451" t="str">
        <f>IFERROR(__xludf.DUMMYFUNCTION("""COMPUTED_VALUE"""),"#N/A")</f>
        <v>#N/A</v>
      </c>
    </row>
    <row r="2169">
      <c r="A2169" t="str">
        <f>IFERROR(__xludf.DUMMYFUNCTION("""COMPUTED_VALUE"""),"#N/A")</f>
        <v>#N/A</v>
      </c>
      <c r="B2169" s="451" t="str">
        <f>IFERROR(__xludf.DUMMYFUNCTION("""COMPUTED_VALUE"""),"#N/A")</f>
        <v>#N/A</v>
      </c>
    </row>
    <row r="2170">
      <c r="A2170" t="str">
        <f>IFERROR(__xludf.DUMMYFUNCTION("""COMPUTED_VALUE"""),"#N/A")</f>
        <v>#N/A</v>
      </c>
      <c r="B2170" s="451" t="str">
        <f>IFERROR(__xludf.DUMMYFUNCTION("""COMPUTED_VALUE"""),"#N/A")</f>
        <v>#N/A</v>
      </c>
    </row>
    <row r="2171">
      <c r="A2171" t="str">
        <f>IFERROR(__xludf.DUMMYFUNCTION("""COMPUTED_VALUE"""),"#N/A")</f>
        <v>#N/A</v>
      </c>
      <c r="B2171" s="451" t="str">
        <f>IFERROR(__xludf.DUMMYFUNCTION("""COMPUTED_VALUE"""),"#N/A")</f>
        <v>#N/A</v>
      </c>
    </row>
    <row r="2172">
      <c r="A2172" t="str">
        <f>IFERROR(__xludf.DUMMYFUNCTION("""COMPUTED_VALUE"""),"#N/A")</f>
        <v>#N/A</v>
      </c>
      <c r="B2172" s="451" t="str">
        <f>IFERROR(__xludf.DUMMYFUNCTION("""COMPUTED_VALUE"""),"#N/A")</f>
        <v>#N/A</v>
      </c>
    </row>
    <row r="2173">
      <c r="A2173" t="str">
        <f>IFERROR(__xludf.DUMMYFUNCTION("""COMPUTED_VALUE"""),"#N/A")</f>
        <v>#N/A</v>
      </c>
      <c r="B2173" s="451" t="str">
        <f>IFERROR(__xludf.DUMMYFUNCTION("""COMPUTED_VALUE"""),"#N/A")</f>
        <v>#N/A</v>
      </c>
    </row>
    <row r="2174">
      <c r="A2174" t="str">
        <f>IFERROR(__xludf.DUMMYFUNCTION("""COMPUTED_VALUE"""),"#N/A")</f>
        <v>#N/A</v>
      </c>
      <c r="B2174" s="451" t="str">
        <f>IFERROR(__xludf.DUMMYFUNCTION("""COMPUTED_VALUE"""),"#N/A")</f>
        <v>#N/A</v>
      </c>
    </row>
    <row r="2175">
      <c r="A2175" t="str">
        <f>IFERROR(__xludf.DUMMYFUNCTION("""COMPUTED_VALUE"""),"#N/A")</f>
        <v>#N/A</v>
      </c>
      <c r="B2175" s="451" t="str">
        <f>IFERROR(__xludf.DUMMYFUNCTION("""COMPUTED_VALUE"""),"#N/A")</f>
        <v>#N/A</v>
      </c>
    </row>
    <row r="2176">
      <c r="A2176" t="str">
        <f>IFERROR(__xludf.DUMMYFUNCTION("""COMPUTED_VALUE"""),"#N/A")</f>
        <v>#N/A</v>
      </c>
      <c r="B2176" s="451" t="str">
        <f>IFERROR(__xludf.DUMMYFUNCTION("""COMPUTED_VALUE"""),"#N/A")</f>
        <v>#N/A</v>
      </c>
    </row>
    <row r="2177">
      <c r="A2177" t="str">
        <f>IFERROR(__xludf.DUMMYFUNCTION("""COMPUTED_VALUE"""),"#N/A")</f>
        <v>#N/A</v>
      </c>
      <c r="B2177" s="451" t="str">
        <f>IFERROR(__xludf.DUMMYFUNCTION("""COMPUTED_VALUE"""),"#N/A")</f>
        <v>#N/A</v>
      </c>
    </row>
    <row r="2178">
      <c r="A2178" t="str">
        <f>IFERROR(__xludf.DUMMYFUNCTION("""COMPUTED_VALUE"""),"#N/A")</f>
        <v>#N/A</v>
      </c>
      <c r="B2178" s="451" t="str">
        <f>IFERROR(__xludf.DUMMYFUNCTION("""COMPUTED_VALUE"""),"#N/A")</f>
        <v>#N/A</v>
      </c>
    </row>
    <row r="2179">
      <c r="A2179" t="str">
        <f>IFERROR(__xludf.DUMMYFUNCTION("""COMPUTED_VALUE"""),"#N/A")</f>
        <v>#N/A</v>
      </c>
      <c r="B2179" s="451" t="str">
        <f>IFERROR(__xludf.DUMMYFUNCTION("""COMPUTED_VALUE"""),"#N/A")</f>
        <v>#N/A</v>
      </c>
    </row>
    <row r="2180">
      <c r="A2180" t="str">
        <f>IFERROR(__xludf.DUMMYFUNCTION("""COMPUTED_VALUE"""),"#N/A")</f>
        <v>#N/A</v>
      </c>
      <c r="B2180" s="451" t="str">
        <f>IFERROR(__xludf.DUMMYFUNCTION("""COMPUTED_VALUE"""),"#N/A")</f>
        <v>#N/A</v>
      </c>
    </row>
    <row r="2181">
      <c r="A2181" t="str">
        <f>IFERROR(__xludf.DUMMYFUNCTION("""COMPUTED_VALUE"""),"#N/A")</f>
        <v>#N/A</v>
      </c>
      <c r="B2181" s="451" t="str">
        <f>IFERROR(__xludf.DUMMYFUNCTION("""COMPUTED_VALUE"""),"#N/A")</f>
        <v>#N/A</v>
      </c>
    </row>
    <row r="2182">
      <c r="A2182" t="str">
        <f>IFERROR(__xludf.DUMMYFUNCTION("""COMPUTED_VALUE"""),"#N/A")</f>
        <v>#N/A</v>
      </c>
      <c r="B2182" s="451" t="str">
        <f>IFERROR(__xludf.DUMMYFUNCTION("""COMPUTED_VALUE"""),"#N/A")</f>
        <v>#N/A</v>
      </c>
    </row>
    <row r="2183">
      <c r="A2183" t="str">
        <f>IFERROR(__xludf.DUMMYFUNCTION("""COMPUTED_VALUE"""),"#N/A")</f>
        <v>#N/A</v>
      </c>
      <c r="B2183" s="451" t="str">
        <f>IFERROR(__xludf.DUMMYFUNCTION("""COMPUTED_VALUE"""),"#N/A")</f>
        <v>#N/A</v>
      </c>
    </row>
    <row r="2184">
      <c r="A2184" t="str">
        <f>IFERROR(__xludf.DUMMYFUNCTION("""COMPUTED_VALUE"""),"#N/A")</f>
        <v>#N/A</v>
      </c>
      <c r="B2184" s="451" t="str">
        <f>IFERROR(__xludf.DUMMYFUNCTION("""COMPUTED_VALUE"""),"#N/A")</f>
        <v>#N/A</v>
      </c>
    </row>
    <row r="2185">
      <c r="A2185" t="str">
        <f>IFERROR(__xludf.DUMMYFUNCTION("""COMPUTED_VALUE"""),"#N/A")</f>
        <v>#N/A</v>
      </c>
      <c r="B2185" s="451" t="str">
        <f>IFERROR(__xludf.DUMMYFUNCTION("""COMPUTED_VALUE"""),"#N/A")</f>
        <v>#N/A</v>
      </c>
    </row>
    <row r="2186">
      <c r="A2186" t="str">
        <f>IFERROR(__xludf.DUMMYFUNCTION("""COMPUTED_VALUE"""),"#N/A")</f>
        <v>#N/A</v>
      </c>
      <c r="B2186" s="451" t="str">
        <f>IFERROR(__xludf.DUMMYFUNCTION("""COMPUTED_VALUE"""),"#N/A")</f>
        <v>#N/A</v>
      </c>
    </row>
    <row r="2187">
      <c r="A2187" t="str">
        <f>IFERROR(__xludf.DUMMYFUNCTION("""COMPUTED_VALUE"""),"#N/A")</f>
        <v>#N/A</v>
      </c>
      <c r="B2187" s="451" t="str">
        <f>IFERROR(__xludf.DUMMYFUNCTION("""COMPUTED_VALUE"""),"#N/A")</f>
        <v>#N/A</v>
      </c>
    </row>
    <row r="2188">
      <c r="A2188" t="str">
        <f>IFERROR(__xludf.DUMMYFUNCTION("""COMPUTED_VALUE"""),"#N/A")</f>
        <v>#N/A</v>
      </c>
      <c r="B2188" s="451" t="str">
        <f>IFERROR(__xludf.DUMMYFUNCTION("""COMPUTED_VALUE"""),"#N/A")</f>
        <v>#N/A</v>
      </c>
    </row>
    <row r="2189">
      <c r="A2189" t="str">
        <f>IFERROR(__xludf.DUMMYFUNCTION("""COMPUTED_VALUE"""),"#N/A")</f>
        <v>#N/A</v>
      </c>
      <c r="B2189" s="451" t="str">
        <f>IFERROR(__xludf.DUMMYFUNCTION("""COMPUTED_VALUE"""),"#N/A")</f>
        <v>#N/A</v>
      </c>
    </row>
    <row r="2190">
      <c r="A2190" t="str">
        <f>IFERROR(__xludf.DUMMYFUNCTION("""COMPUTED_VALUE"""),"#N/A")</f>
        <v>#N/A</v>
      </c>
      <c r="B2190" s="451" t="str">
        <f>IFERROR(__xludf.DUMMYFUNCTION("""COMPUTED_VALUE"""),"#N/A")</f>
        <v>#N/A</v>
      </c>
    </row>
    <row r="2191">
      <c r="A2191" t="str">
        <f>IFERROR(__xludf.DUMMYFUNCTION("""COMPUTED_VALUE"""),"#N/A")</f>
        <v>#N/A</v>
      </c>
      <c r="B2191" s="451" t="str">
        <f>IFERROR(__xludf.DUMMYFUNCTION("""COMPUTED_VALUE"""),"#N/A")</f>
        <v>#N/A</v>
      </c>
    </row>
    <row r="2192">
      <c r="A2192" t="str">
        <f>IFERROR(__xludf.DUMMYFUNCTION("""COMPUTED_VALUE"""),"#N/A")</f>
        <v>#N/A</v>
      </c>
      <c r="B2192" s="451" t="str">
        <f>IFERROR(__xludf.DUMMYFUNCTION("""COMPUTED_VALUE"""),"#N/A")</f>
        <v>#N/A</v>
      </c>
    </row>
    <row r="2193">
      <c r="A2193" t="str">
        <f>IFERROR(__xludf.DUMMYFUNCTION("""COMPUTED_VALUE"""),"#N/A")</f>
        <v>#N/A</v>
      </c>
      <c r="B2193" s="451" t="str">
        <f>IFERROR(__xludf.DUMMYFUNCTION("""COMPUTED_VALUE"""),"#N/A")</f>
        <v>#N/A</v>
      </c>
    </row>
    <row r="2194">
      <c r="A2194" t="str">
        <f>IFERROR(__xludf.DUMMYFUNCTION("""COMPUTED_VALUE"""),"#N/A")</f>
        <v>#N/A</v>
      </c>
      <c r="B2194" s="451" t="str">
        <f>IFERROR(__xludf.DUMMYFUNCTION("""COMPUTED_VALUE"""),"#N/A")</f>
        <v>#N/A</v>
      </c>
    </row>
    <row r="2195">
      <c r="A2195" t="str">
        <f>IFERROR(__xludf.DUMMYFUNCTION("""COMPUTED_VALUE"""),"#N/A")</f>
        <v>#N/A</v>
      </c>
      <c r="B2195" s="451" t="str">
        <f>IFERROR(__xludf.DUMMYFUNCTION("""COMPUTED_VALUE"""),"#N/A")</f>
        <v>#N/A</v>
      </c>
    </row>
    <row r="2196">
      <c r="A2196" t="str">
        <f>IFERROR(__xludf.DUMMYFUNCTION("""COMPUTED_VALUE"""),"#N/A")</f>
        <v>#N/A</v>
      </c>
      <c r="B2196" s="451" t="str">
        <f>IFERROR(__xludf.DUMMYFUNCTION("""COMPUTED_VALUE"""),"#N/A")</f>
        <v>#N/A</v>
      </c>
    </row>
    <row r="2197">
      <c r="A2197" t="str">
        <f>IFERROR(__xludf.DUMMYFUNCTION("""COMPUTED_VALUE"""),"#N/A")</f>
        <v>#N/A</v>
      </c>
      <c r="B2197" s="451" t="str">
        <f>IFERROR(__xludf.DUMMYFUNCTION("""COMPUTED_VALUE"""),"#N/A")</f>
        <v>#N/A</v>
      </c>
    </row>
    <row r="2198">
      <c r="A2198" t="str">
        <f>IFERROR(__xludf.DUMMYFUNCTION("""COMPUTED_VALUE"""),"#N/A")</f>
        <v>#N/A</v>
      </c>
      <c r="B2198" s="451" t="str">
        <f>IFERROR(__xludf.DUMMYFUNCTION("""COMPUTED_VALUE"""),"#N/A")</f>
        <v>#N/A</v>
      </c>
    </row>
    <row r="2199">
      <c r="A2199" t="str">
        <f>IFERROR(__xludf.DUMMYFUNCTION("""COMPUTED_VALUE"""),"#N/A")</f>
        <v>#N/A</v>
      </c>
      <c r="B2199" s="451" t="str">
        <f>IFERROR(__xludf.DUMMYFUNCTION("""COMPUTED_VALUE"""),"#N/A")</f>
        <v>#N/A</v>
      </c>
    </row>
    <row r="2200">
      <c r="A2200" t="str">
        <f>IFERROR(__xludf.DUMMYFUNCTION("""COMPUTED_VALUE"""),"#N/A")</f>
        <v>#N/A</v>
      </c>
      <c r="B2200" s="451" t="str">
        <f>IFERROR(__xludf.DUMMYFUNCTION("""COMPUTED_VALUE"""),"#N/A")</f>
        <v>#N/A</v>
      </c>
    </row>
    <row r="2201">
      <c r="A2201" t="str">
        <f>IFERROR(__xludf.DUMMYFUNCTION("""COMPUTED_VALUE"""),"#N/A")</f>
        <v>#N/A</v>
      </c>
      <c r="B2201" s="451" t="str">
        <f>IFERROR(__xludf.DUMMYFUNCTION("""COMPUTED_VALUE"""),"#N/A")</f>
        <v>#N/A</v>
      </c>
    </row>
    <row r="2202">
      <c r="A2202" t="str">
        <f>IFERROR(__xludf.DUMMYFUNCTION("""COMPUTED_VALUE"""),"#N/A")</f>
        <v>#N/A</v>
      </c>
      <c r="B2202" s="451" t="str">
        <f>IFERROR(__xludf.DUMMYFUNCTION("""COMPUTED_VALUE"""),"#N/A")</f>
        <v>#N/A</v>
      </c>
    </row>
    <row r="2203">
      <c r="A2203" t="str">
        <f>IFERROR(__xludf.DUMMYFUNCTION("""COMPUTED_VALUE"""),"#N/A")</f>
        <v>#N/A</v>
      </c>
      <c r="B2203" s="451" t="str">
        <f>IFERROR(__xludf.DUMMYFUNCTION("""COMPUTED_VALUE"""),"#N/A")</f>
        <v>#N/A</v>
      </c>
    </row>
    <row r="2204">
      <c r="A2204" t="str">
        <f>IFERROR(__xludf.DUMMYFUNCTION("""COMPUTED_VALUE"""),"#N/A")</f>
        <v>#N/A</v>
      </c>
      <c r="B2204" s="451" t="str">
        <f>IFERROR(__xludf.DUMMYFUNCTION("""COMPUTED_VALUE"""),"#N/A")</f>
        <v>#N/A</v>
      </c>
    </row>
    <row r="2205">
      <c r="A2205" t="str">
        <f>IFERROR(__xludf.DUMMYFUNCTION("""COMPUTED_VALUE"""),"#N/A")</f>
        <v>#N/A</v>
      </c>
      <c r="B2205" s="451" t="str">
        <f>IFERROR(__xludf.DUMMYFUNCTION("""COMPUTED_VALUE"""),"#N/A")</f>
        <v>#N/A</v>
      </c>
    </row>
    <row r="2206">
      <c r="A2206" t="str">
        <f>IFERROR(__xludf.DUMMYFUNCTION("""COMPUTED_VALUE"""),"#N/A")</f>
        <v>#N/A</v>
      </c>
      <c r="B2206" s="451" t="str">
        <f>IFERROR(__xludf.DUMMYFUNCTION("""COMPUTED_VALUE"""),"#N/A")</f>
        <v>#N/A</v>
      </c>
    </row>
    <row r="2207">
      <c r="A2207" t="str">
        <f>IFERROR(__xludf.DUMMYFUNCTION("""COMPUTED_VALUE"""),"#N/A")</f>
        <v>#N/A</v>
      </c>
      <c r="B2207" s="451" t="str">
        <f>IFERROR(__xludf.DUMMYFUNCTION("""COMPUTED_VALUE"""),"#N/A")</f>
        <v>#N/A</v>
      </c>
    </row>
    <row r="2208">
      <c r="A2208" t="str">
        <f>IFERROR(__xludf.DUMMYFUNCTION("""COMPUTED_VALUE"""),"#N/A")</f>
        <v>#N/A</v>
      </c>
      <c r="B2208" s="451" t="str">
        <f>IFERROR(__xludf.DUMMYFUNCTION("""COMPUTED_VALUE"""),"#N/A")</f>
        <v>#N/A</v>
      </c>
    </row>
    <row r="2209">
      <c r="A2209" t="str">
        <f>IFERROR(__xludf.DUMMYFUNCTION("""COMPUTED_VALUE"""),"#N/A")</f>
        <v>#N/A</v>
      </c>
      <c r="B2209" s="451" t="str">
        <f>IFERROR(__xludf.DUMMYFUNCTION("""COMPUTED_VALUE"""),"#N/A")</f>
        <v>#N/A</v>
      </c>
    </row>
    <row r="2210">
      <c r="A2210" t="str">
        <f>IFERROR(__xludf.DUMMYFUNCTION("""COMPUTED_VALUE"""),"#N/A")</f>
        <v>#N/A</v>
      </c>
      <c r="B2210" s="451" t="str">
        <f>IFERROR(__xludf.DUMMYFUNCTION("""COMPUTED_VALUE"""),"#N/A")</f>
        <v>#N/A</v>
      </c>
    </row>
    <row r="2211">
      <c r="A2211" t="str">
        <f>IFERROR(__xludf.DUMMYFUNCTION("""COMPUTED_VALUE"""),"#N/A")</f>
        <v>#N/A</v>
      </c>
      <c r="B2211" s="451" t="str">
        <f>IFERROR(__xludf.DUMMYFUNCTION("""COMPUTED_VALUE"""),"#N/A")</f>
        <v>#N/A</v>
      </c>
    </row>
    <row r="2212">
      <c r="A2212" t="str">
        <f>IFERROR(__xludf.DUMMYFUNCTION("""COMPUTED_VALUE"""),"#N/A")</f>
        <v>#N/A</v>
      </c>
      <c r="B2212" s="451" t="str">
        <f>IFERROR(__xludf.DUMMYFUNCTION("""COMPUTED_VALUE"""),"#N/A")</f>
        <v>#N/A</v>
      </c>
    </row>
    <row r="2213">
      <c r="A2213" t="str">
        <f>IFERROR(__xludf.DUMMYFUNCTION("""COMPUTED_VALUE"""),"#N/A")</f>
        <v>#N/A</v>
      </c>
      <c r="B2213" s="451" t="str">
        <f>IFERROR(__xludf.DUMMYFUNCTION("""COMPUTED_VALUE"""),"#N/A")</f>
        <v>#N/A</v>
      </c>
    </row>
    <row r="2214">
      <c r="A2214" t="str">
        <f>IFERROR(__xludf.DUMMYFUNCTION("""COMPUTED_VALUE"""),"#N/A")</f>
        <v>#N/A</v>
      </c>
      <c r="B2214" s="451" t="str">
        <f>IFERROR(__xludf.DUMMYFUNCTION("""COMPUTED_VALUE"""),"#N/A")</f>
        <v>#N/A</v>
      </c>
    </row>
    <row r="2215">
      <c r="A2215" t="str">
        <f>IFERROR(__xludf.DUMMYFUNCTION("""COMPUTED_VALUE"""),"#N/A")</f>
        <v>#N/A</v>
      </c>
      <c r="B2215" s="451" t="str">
        <f>IFERROR(__xludf.DUMMYFUNCTION("""COMPUTED_VALUE"""),"#N/A")</f>
        <v>#N/A</v>
      </c>
    </row>
    <row r="2216">
      <c r="A2216" t="str">
        <f>IFERROR(__xludf.DUMMYFUNCTION("""COMPUTED_VALUE"""),"#N/A")</f>
        <v>#N/A</v>
      </c>
      <c r="B2216" s="451" t="str">
        <f>IFERROR(__xludf.DUMMYFUNCTION("""COMPUTED_VALUE"""),"#N/A")</f>
        <v>#N/A</v>
      </c>
    </row>
    <row r="2217">
      <c r="A2217" t="str">
        <f>IFERROR(__xludf.DUMMYFUNCTION("""COMPUTED_VALUE"""),"#N/A")</f>
        <v>#N/A</v>
      </c>
      <c r="B2217" s="451" t="str">
        <f>IFERROR(__xludf.DUMMYFUNCTION("""COMPUTED_VALUE"""),"#N/A")</f>
        <v>#N/A</v>
      </c>
    </row>
    <row r="2218">
      <c r="A2218" t="str">
        <f>IFERROR(__xludf.DUMMYFUNCTION("""COMPUTED_VALUE"""),"#N/A")</f>
        <v>#N/A</v>
      </c>
      <c r="B2218" s="451" t="str">
        <f>IFERROR(__xludf.DUMMYFUNCTION("""COMPUTED_VALUE"""),"#N/A")</f>
        <v>#N/A</v>
      </c>
    </row>
    <row r="2219">
      <c r="A2219" t="str">
        <f>IFERROR(__xludf.DUMMYFUNCTION("""COMPUTED_VALUE"""),"#N/A")</f>
        <v>#N/A</v>
      </c>
      <c r="B2219" s="451" t="str">
        <f>IFERROR(__xludf.DUMMYFUNCTION("""COMPUTED_VALUE"""),"#N/A")</f>
        <v>#N/A</v>
      </c>
    </row>
    <row r="2220">
      <c r="A2220" t="str">
        <f>IFERROR(__xludf.DUMMYFUNCTION("""COMPUTED_VALUE"""),"#N/A")</f>
        <v>#N/A</v>
      </c>
      <c r="B2220" s="451" t="str">
        <f>IFERROR(__xludf.DUMMYFUNCTION("""COMPUTED_VALUE"""),"#N/A")</f>
        <v>#N/A</v>
      </c>
    </row>
    <row r="2221">
      <c r="A2221" t="str">
        <f>IFERROR(__xludf.DUMMYFUNCTION("""COMPUTED_VALUE"""),"#N/A")</f>
        <v>#N/A</v>
      </c>
      <c r="B2221" s="451" t="str">
        <f>IFERROR(__xludf.DUMMYFUNCTION("""COMPUTED_VALUE"""),"#N/A")</f>
        <v>#N/A</v>
      </c>
    </row>
    <row r="2222">
      <c r="A2222" t="str">
        <f>IFERROR(__xludf.DUMMYFUNCTION("""COMPUTED_VALUE"""),"#N/A")</f>
        <v>#N/A</v>
      </c>
      <c r="B2222" s="451" t="str">
        <f>IFERROR(__xludf.DUMMYFUNCTION("""COMPUTED_VALUE"""),"#N/A")</f>
        <v>#N/A</v>
      </c>
    </row>
    <row r="2223">
      <c r="A2223" t="str">
        <f>IFERROR(__xludf.DUMMYFUNCTION("""COMPUTED_VALUE"""),"#N/A")</f>
        <v>#N/A</v>
      </c>
      <c r="B2223" s="451" t="str">
        <f>IFERROR(__xludf.DUMMYFUNCTION("""COMPUTED_VALUE"""),"#N/A")</f>
        <v>#N/A</v>
      </c>
    </row>
    <row r="2224">
      <c r="A2224" t="str">
        <f>IFERROR(__xludf.DUMMYFUNCTION("""COMPUTED_VALUE"""),"#N/A")</f>
        <v>#N/A</v>
      </c>
      <c r="B2224" s="451" t="str">
        <f>IFERROR(__xludf.DUMMYFUNCTION("""COMPUTED_VALUE"""),"#N/A")</f>
        <v>#N/A</v>
      </c>
    </row>
    <row r="2225">
      <c r="A2225" t="str">
        <f>IFERROR(__xludf.DUMMYFUNCTION("""COMPUTED_VALUE"""),"#N/A")</f>
        <v>#N/A</v>
      </c>
      <c r="B2225" s="451" t="str">
        <f>IFERROR(__xludf.DUMMYFUNCTION("""COMPUTED_VALUE"""),"#N/A")</f>
        <v>#N/A</v>
      </c>
    </row>
    <row r="2226">
      <c r="A2226" t="str">
        <f>IFERROR(__xludf.DUMMYFUNCTION("""COMPUTED_VALUE"""),"#N/A")</f>
        <v>#N/A</v>
      </c>
      <c r="B2226" s="451" t="str">
        <f>IFERROR(__xludf.DUMMYFUNCTION("""COMPUTED_VALUE"""),"#N/A")</f>
        <v>#N/A</v>
      </c>
    </row>
    <row r="2227">
      <c r="A2227" t="str">
        <f>IFERROR(__xludf.DUMMYFUNCTION("""COMPUTED_VALUE"""),"#N/A")</f>
        <v>#N/A</v>
      </c>
      <c r="B2227" s="451" t="str">
        <f>IFERROR(__xludf.DUMMYFUNCTION("""COMPUTED_VALUE"""),"#N/A")</f>
        <v>#N/A</v>
      </c>
    </row>
    <row r="2228">
      <c r="A2228" t="str">
        <f>IFERROR(__xludf.DUMMYFUNCTION("""COMPUTED_VALUE"""),"#N/A")</f>
        <v>#N/A</v>
      </c>
      <c r="B2228" s="451" t="str">
        <f>IFERROR(__xludf.DUMMYFUNCTION("""COMPUTED_VALUE"""),"#N/A")</f>
        <v>#N/A</v>
      </c>
    </row>
    <row r="2229">
      <c r="A2229" t="str">
        <f>IFERROR(__xludf.DUMMYFUNCTION("""COMPUTED_VALUE"""),"#N/A")</f>
        <v>#N/A</v>
      </c>
      <c r="B2229" s="451" t="str">
        <f>IFERROR(__xludf.DUMMYFUNCTION("""COMPUTED_VALUE"""),"#N/A")</f>
        <v>#N/A</v>
      </c>
    </row>
    <row r="2230">
      <c r="A2230" t="str">
        <f>IFERROR(__xludf.DUMMYFUNCTION("""COMPUTED_VALUE"""),"#N/A")</f>
        <v>#N/A</v>
      </c>
      <c r="B2230" s="451" t="str">
        <f>IFERROR(__xludf.DUMMYFUNCTION("""COMPUTED_VALUE"""),"#N/A")</f>
        <v>#N/A</v>
      </c>
    </row>
    <row r="2231">
      <c r="A2231" t="str">
        <f>IFERROR(__xludf.DUMMYFUNCTION("""COMPUTED_VALUE"""),"#N/A")</f>
        <v>#N/A</v>
      </c>
      <c r="B2231" s="451" t="str">
        <f>IFERROR(__xludf.DUMMYFUNCTION("""COMPUTED_VALUE"""),"#N/A")</f>
        <v>#N/A</v>
      </c>
    </row>
    <row r="2232">
      <c r="A2232" t="str">
        <f>IFERROR(__xludf.DUMMYFUNCTION("""COMPUTED_VALUE"""),"#N/A")</f>
        <v>#N/A</v>
      </c>
      <c r="B2232" s="451" t="str">
        <f>IFERROR(__xludf.DUMMYFUNCTION("""COMPUTED_VALUE"""),"#N/A")</f>
        <v>#N/A</v>
      </c>
    </row>
    <row r="2233">
      <c r="A2233" t="str">
        <f>IFERROR(__xludf.DUMMYFUNCTION("""COMPUTED_VALUE"""),"#N/A")</f>
        <v>#N/A</v>
      </c>
      <c r="B2233" s="451" t="str">
        <f>IFERROR(__xludf.DUMMYFUNCTION("""COMPUTED_VALUE"""),"#N/A")</f>
        <v>#N/A</v>
      </c>
    </row>
    <row r="2234">
      <c r="A2234" t="str">
        <f>IFERROR(__xludf.DUMMYFUNCTION("""COMPUTED_VALUE"""),"#N/A")</f>
        <v>#N/A</v>
      </c>
      <c r="B2234" s="451" t="str">
        <f>IFERROR(__xludf.DUMMYFUNCTION("""COMPUTED_VALUE"""),"#N/A")</f>
        <v>#N/A</v>
      </c>
    </row>
    <row r="2235">
      <c r="A2235" t="str">
        <f>IFERROR(__xludf.DUMMYFUNCTION("""COMPUTED_VALUE"""),"#N/A")</f>
        <v>#N/A</v>
      </c>
      <c r="B2235" s="451" t="str">
        <f>IFERROR(__xludf.DUMMYFUNCTION("""COMPUTED_VALUE"""),"#N/A")</f>
        <v>#N/A</v>
      </c>
    </row>
    <row r="2236">
      <c r="A2236" t="str">
        <f>IFERROR(__xludf.DUMMYFUNCTION("""COMPUTED_VALUE"""),"#N/A")</f>
        <v>#N/A</v>
      </c>
      <c r="B2236" s="451" t="str">
        <f>IFERROR(__xludf.DUMMYFUNCTION("""COMPUTED_VALUE"""),"#N/A")</f>
        <v>#N/A</v>
      </c>
    </row>
    <row r="2237">
      <c r="A2237" t="str">
        <f>IFERROR(__xludf.DUMMYFUNCTION("""COMPUTED_VALUE"""),"#N/A")</f>
        <v>#N/A</v>
      </c>
      <c r="B2237" s="451" t="str">
        <f>IFERROR(__xludf.DUMMYFUNCTION("""COMPUTED_VALUE"""),"#N/A")</f>
        <v>#N/A</v>
      </c>
    </row>
    <row r="2238">
      <c r="A2238" t="str">
        <f>IFERROR(__xludf.DUMMYFUNCTION("""COMPUTED_VALUE"""),"#N/A")</f>
        <v>#N/A</v>
      </c>
      <c r="B2238" s="451" t="str">
        <f>IFERROR(__xludf.DUMMYFUNCTION("""COMPUTED_VALUE"""),"#N/A")</f>
        <v>#N/A</v>
      </c>
    </row>
    <row r="2239">
      <c r="A2239" t="str">
        <f>IFERROR(__xludf.DUMMYFUNCTION("""COMPUTED_VALUE"""),"#N/A")</f>
        <v>#N/A</v>
      </c>
      <c r="B2239" s="451" t="str">
        <f>IFERROR(__xludf.DUMMYFUNCTION("""COMPUTED_VALUE"""),"#N/A")</f>
        <v>#N/A</v>
      </c>
    </row>
    <row r="2240">
      <c r="A2240" t="str">
        <f>IFERROR(__xludf.DUMMYFUNCTION("""COMPUTED_VALUE"""),"#N/A")</f>
        <v>#N/A</v>
      </c>
      <c r="B2240" s="451" t="str">
        <f>IFERROR(__xludf.DUMMYFUNCTION("""COMPUTED_VALUE"""),"#N/A")</f>
        <v>#N/A</v>
      </c>
    </row>
    <row r="2241">
      <c r="A2241" t="str">
        <f>IFERROR(__xludf.DUMMYFUNCTION("""COMPUTED_VALUE"""),"#N/A")</f>
        <v>#N/A</v>
      </c>
      <c r="B2241" s="451" t="str">
        <f>IFERROR(__xludf.DUMMYFUNCTION("""COMPUTED_VALUE"""),"#N/A")</f>
        <v>#N/A</v>
      </c>
    </row>
    <row r="2242">
      <c r="A2242" t="str">
        <f>IFERROR(__xludf.DUMMYFUNCTION("""COMPUTED_VALUE"""),"#N/A")</f>
        <v>#N/A</v>
      </c>
      <c r="B2242" s="451" t="str">
        <f>IFERROR(__xludf.DUMMYFUNCTION("""COMPUTED_VALUE"""),"#N/A")</f>
        <v>#N/A</v>
      </c>
    </row>
    <row r="2243">
      <c r="A2243" t="str">
        <f>IFERROR(__xludf.DUMMYFUNCTION("""COMPUTED_VALUE"""),"#N/A")</f>
        <v>#N/A</v>
      </c>
      <c r="B2243" s="451" t="str">
        <f>IFERROR(__xludf.DUMMYFUNCTION("""COMPUTED_VALUE"""),"#N/A")</f>
        <v>#N/A</v>
      </c>
    </row>
    <row r="2244">
      <c r="A2244" t="str">
        <f>IFERROR(__xludf.DUMMYFUNCTION("""COMPUTED_VALUE"""),"#N/A")</f>
        <v>#N/A</v>
      </c>
      <c r="B2244" s="451" t="str">
        <f>IFERROR(__xludf.DUMMYFUNCTION("""COMPUTED_VALUE"""),"#N/A")</f>
        <v>#N/A</v>
      </c>
    </row>
    <row r="2245">
      <c r="A2245" t="str">
        <f>IFERROR(__xludf.DUMMYFUNCTION("""COMPUTED_VALUE"""),"#N/A")</f>
        <v>#N/A</v>
      </c>
      <c r="B2245" s="451" t="str">
        <f>IFERROR(__xludf.DUMMYFUNCTION("""COMPUTED_VALUE"""),"#N/A")</f>
        <v>#N/A</v>
      </c>
    </row>
    <row r="2246">
      <c r="A2246" t="str">
        <f>IFERROR(__xludf.DUMMYFUNCTION("""COMPUTED_VALUE"""),"#N/A")</f>
        <v>#N/A</v>
      </c>
      <c r="B2246" s="451" t="str">
        <f>IFERROR(__xludf.DUMMYFUNCTION("""COMPUTED_VALUE"""),"#N/A")</f>
        <v>#N/A</v>
      </c>
    </row>
    <row r="2247">
      <c r="A2247" t="str">
        <f>IFERROR(__xludf.DUMMYFUNCTION("""COMPUTED_VALUE"""),"#N/A")</f>
        <v>#N/A</v>
      </c>
      <c r="B2247" s="451" t="str">
        <f>IFERROR(__xludf.DUMMYFUNCTION("""COMPUTED_VALUE"""),"#N/A")</f>
        <v>#N/A</v>
      </c>
    </row>
    <row r="2248">
      <c r="A2248" t="str">
        <f>IFERROR(__xludf.DUMMYFUNCTION("""COMPUTED_VALUE"""),"#N/A")</f>
        <v>#N/A</v>
      </c>
      <c r="B2248" s="451" t="str">
        <f>IFERROR(__xludf.DUMMYFUNCTION("""COMPUTED_VALUE"""),"#N/A")</f>
        <v>#N/A</v>
      </c>
    </row>
    <row r="2249">
      <c r="A2249" t="str">
        <f>IFERROR(__xludf.DUMMYFUNCTION("""COMPUTED_VALUE"""),"#N/A")</f>
        <v>#N/A</v>
      </c>
      <c r="B2249" s="451" t="str">
        <f>IFERROR(__xludf.DUMMYFUNCTION("""COMPUTED_VALUE"""),"#N/A")</f>
        <v>#N/A</v>
      </c>
    </row>
    <row r="2250">
      <c r="A2250" t="str">
        <f>IFERROR(__xludf.DUMMYFUNCTION("""COMPUTED_VALUE"""),"#N/A")</f>
        <v>#N/A</v>
      </c>
      <c r="B2250" s="451" t="str">
        <f>IFERROR(__xludf.DUMMYFUNCTION("""COMPUTED_VALUE"""),"#N/A")</f>
        <v>#N/A</v>
      </c>
    </row>
    <row r="2251">
      <c r="A2251" t="str">
        <f>IFERROR(__xludf.DUMMYFUNCTION("""COMPUTED_VALUE"""),"#N/A")</f>
        <v>#N/A</v>
      </c>
      <c r="B2251" s="451" t="str">
        <f>IFERROR(__xludf.DUMMYFUNCTION("""COMPUTED_VALUE"""),"#N/A")</f>
        <v>#N/A</v>
      </c>
    </row>
    <row r="2252">
      <c r="A2252" t="str">
        <f>IFERROR(__xludf.DUMMYFUNCTION("""COMPUTED_VALUE"""),"#N/A")</f>
        <v>#N/A</v>
      </c>
      <c r="B2252" s="451" t="str">
        <f>IFERROR(__xludf.DUMMYFUNCTION("""COMPUTED_VALUE"""),"#N/A")</f>
        <v>#N/A</v>
      </c>
    </row>
    <row r="2253">
      <c r="A2253" t="str">
        <f>IFERROR(__xludf.DUMMYFUNCTION("""COMPUTED_VALUE"""),"#N/A")</f>
        <v>#N/A</v>
      </c>
      <c r="B2253" s="451" t="str">
        <f>IFERROR(__xludf.DUMMYFUNCTION("""COMPUTED_VALUE"""),"#N/A")</f>
        <v>#N/A</v>
      </c>
    </row>
    <row r="2254">
      <c r="A2254" t="str">
        <f>IFERROR(__xludf.DUMMYFUNCTION("""COMPUTED_VALUE"""),"#N/A")</f>
        <v>#N/A</v>
      </c>
      <c r="B2254" s="451" t="str">
        <f>IFERROR(__xludf.DUMMYFUNCTION("""COMPUTED_VALUE"""),"#N/A")</f>
        <v>#N/A</v>
      </c>
    </row>
    <row r="2255">
      <c r="A2255" t="str">
        <f>IFERROR(__xludf.DUMMYFUNCTION("""COMPUTED_VALUE"""),"#N/A")</f>
        <v>#N/A</v>
      </c>
      <c r="B2255" s="451" t="str">
        <f>IFERROR(__xludf.DUMMYFUNCTION("""COMPUTED_VALUE"""),"#N/A")</f>
        <v>#N/A</v>
      </c>
    </row>
    <row r="2256">
      <c r="A2256" t="str">
        <f>IFERROR(__xludf.DUMMYFUNCTION("""COMPUTED_VALUE"""),"#N/A")</f>
        <v>#N/A</v>
      </c>
      <c r="B2256" s="451" t="str">
        <f>IFERROR(__xludf.DUMMYFUNCTION("""COMPUTED_VALUE"""),"#N/A")</f>
        <v>#N/A</v>
      </c>
    </row>
    <row r="2257">
      <c r="A2257" t="str">
        <f>IFERROR(__xludf.DUMMYFUNCTION("""COMPUTED_VALUE"""),"#N/A")</f>
        <v>#N/A</v>
      </c>
      <c r="B2257" s="451" t="str">
        <f>IFERROR(__xludf.DUMMYFUNCTION("""COMPUTED_VALUE"""),"#N/A")</f>
        <v>#N/A</v>
      </c>
    </row>
    <row r="2258">
      <c r="A2258" t="str">
        <f>IFERROR(__xludf.DUMMYFUNCTION("""COMPUTED_VALUE"""),"#N/A")</f>
        <v>#N/A</v>
      </c>
      <c r="B2258" s="451" t="str">
        <f>IFERROR(__xludf.DUMMYFUNCTION("""COMPUTED_VALUE"""),"#N/A")</f>
        <v>#N/A</v>
      </c>
    </row>
    <row r="2259">
      <c r="A2259" t="str">
        <f>IFERROR(__xludf.DUMMYFUNCTION("""COMPUTED_VALUE"""),"#N/A")</f>
        <v>#N/A</v>
      </c>
      <c r="B2259" s="451" t="str">
        <f>IFERROR(__xludf.DUMMYFUNCTION("""COMPUTED_VALUE"""),"#N/A")</f>
        <v>#N/A</v>
      </c>
    </row>
    <row r="2260">
      <c r="A2260" t="str">
        <f>IFERROR(__xludf.DUMMYFUNCTION("""COMPUTED_VALUE"""),"#N/A")</f>
        <v>#N/A</v>
      </c>
      <c r="B2260" s="451" t="str">
        <f>IFERROR(__xludf.DUMMYFUNCTION("""COMPUTED_VALUE"""),"#N/A")</f>
        <v>#N/A</v>
      </c>
    </row>
    <row r="2261">
      <c r="A2261" t="str">
        <f>IFERROR(__xludf.DUMMYFUNCTION("""COMPUTED_VALUE"""),"#N/A")</f>
        <v>#N/A</v>
      </c>
      <c r="B2261" s="451" t="str">
        <f>IFERROR(__xludf.DUMMYFUNCTION("""COMPUTED_VALUE"""),"#N/A")</f>
        <v>#N/A</v>
      </c>
    </row>
    <row r="2262">
      <c r="A2262" t="str">
        <f>IFERROR(__xludf.DUMMYFUNCTION("""COMPUTED_VALUE"""),"#N/A")</f>
        <v>#N/A</v>
      </c>
      <c r="B2262" s="451" t="str">
        <f>IFERROR(__xludf.DUMMYFUNCTION("""COMPUTED_VALUE"""),"#N/A")</f>
        <v>#N/A</v>
      </c>
    </row>
    <row r="2263">
      <c r="A2263" t="str">
        <f>IFERROR(__xludf.DUMMYFUNCTION("""COMPUTED_VALUE"""),"#N/A")</f>
        <v>#N/A</v>
      </c>
      <c r="B2263" s="451" t="str">
        <f>IFERROR(__xludf.DUMMYFUNCTION("""COMPUTED_VALUE"""),"#N/A")</f>
        <v>#N/A</v>
      </c>
    </row>
    <row r="2264">
      <c r="A2264" t="str">
        <f>IFERROR(__xludf.DUMMYFUNCTION("""COMPUTED_VALUE"""),"#N/A")</f>
        <v>#N/A</v>
      </c>
      <c r="B2264" s="451" t="str">
        <f>IFERROR(__xludf.DUMMYFUNCTION("""COMPUTED_VALUE"""),"#N/A")</f>
        <v>#N/A</v>
      </c>
    </row>
    <row r="2265">
      <c r="A2265" t="str">
        <f>IFERROR(__xludf.DUMMYFUNCTION("""COMPUTED_VALUE"""),"#N/A")</f>
        <v>#N/A</v>
      </c>
      <c r="B2265" s="451" t="str">
        <f>IFERROR(__xludf.DUMMYFUNCTION("""COMPUTED_VALUE"""),"#N/A")</f>
        <v>#N/A</v>
      </c>
    </row>
    <row r="2266">
      <c r="A2266" t="str">
        <f>IFERROR(__xludf.DUMMYFUNCTION("""COMPUTED_VALUE"""),"#N/A")</f>
        <v>#N/A</v>
      </c>
      <c r="B2266" s="451" t="str">
        <f>IFERROR(__xludf.DUMMYFUNCTION("""COMPUTED_VALUE"""),"#N/A")</f>
        <v>#N/A</v>
      </c>
    </row>
    <row r="2267">
      <c r="A2267" t="str">
        <f>IFERROR(__xludf.DUMMYFUNCTION("""COMPUTED_VALUE"""),"#N/A")</f>
        <v>#N/A</v>
      </c>
      <c r="B2267" s="451" t="str">
        <f>IFERROR(__xludf.DUMMYFUNCTION("""COMPUTED_VALUE"""),"#N/A")</f>
        <v>#N/A</v>
      </c>
    </row>
    <row r="2268">
      <c r="A2268" t="str">
        <f>IFERROR(__xludf.DUMMYFUNCTION("""COMPUTED_VALUE"""),"#N/A")</f>
        <v>#N/A</v>
      </c>
      <c r="B2268" s="451" t="str">
        <f>IFERROR(__xludf.DUMMYFUNCTION("""COMPUTED_VALUE"""),"#N/A")</f>
        <v>#N/A</v>
      </c>
    </row>
    <row r="2269">
      <c r="A2269" t="str">
        <f>IFERROR(__xludf.DUMMYFUNCTION("""COMPUTED_VALUE"""),"#N/A")</f>
        <v>#N/A</v>
      </c>
      <c r="B2269" s="451" t="str">
        <f>IFERROR(__xludf.DUMMYFUNCTION("""COMPUTED_VALUE"""),"#N/A")</f>
        <v>#N/A</v>
      </c>
    </row>
    <row r="2270">
      <c r="A2270" t="str">
        <f>IFERROR(__xludf.DUMMYFUNCTION("""COMPUTED_VALUE"""),"#N/A")</f>
        <v>#N/A</v>
      </c>
      <c r="B2270" s="451" t="str">
        <f>IFERROR(__xludf.DUMMYFUNCTION("""COMPUTED_VALUE"""),"#N/A")</f>
        <v>#N/A</v>
      </c>
    </row>
    <row r="2271">
      <c r="A2271" t="str">
        <f>IFERROR(__xludf.DUMMYFUNCTION("""COMPUTED_VALUE"""),"#N/A")</f>
        <v>#N/A</v>
      </c>
      <c r="B2271" s="451" t="str">
        <f>IFERROR(__xludf.DUMMYFUNCTION("""COMPUTED_VALUE"""),"#N/A")</f>
        <v>#N/A</v>
      </c>
    </row>
    <row r="2272">
      <c r="A2272" t="str">
        <f>IFERROR(__xludf.DUMMYFUNCTION("""COMPUTED_VALUE"""),"#N/A")</f>
        <v>#N/A</v>
      </c>
      <c r="B2272" s="451" t="str">
        <f>IFERROR(__xludf.DUMMYFUNCTION("""COMPUTED_VALUE"""),"#N/A")</f>
        <v>#N/A</v>
      </c>
    </row>
    <row r="2273">
      <c r="A2273" t="str">
        <f>IFERROR(__xludf.DUMMYFUNCTION("""COMPUTED_VALUE"""),"#N/A")</f>
        <v>#N/A</v>
      </c>
      <c r="B2273" s="451" t="str">
        <f>IFERROR(__xludf.DUMMYFUNCTION("""COMPUTED_VALUE"""),"#N/A")</f>
        <v>#N/A</v>
      </c>
    </row>
    <row r="2274">
      <c r="A2274" t="str">
        <f>IFERROR(__xludf.DUMMYFUNCTION("""COMPUTED_VALUE"""),"#N/A")</f>
        <v>#N/A</v>
      </c>
      <c r="B2274" s="451" t="str">
        <f>IFERROR(__xludf.DUMMYFUNCTION("""COMPUTED_VALUE"""),"#N/A")</f>
        <v>#N/A</v>
      </c>
    </row>
    <row r="2275">
      <c r="A2275" t="str">
        <f>IFERROR(__xludf.DUMMYFUNCTION("""COMPUTED_VALUE"""),"#N/A")</f>
        <v>#N/A</v>
      </c>
      <c r="B2275" s="451" t="str">
        <f>IFERROR(__xludf.DUMMYFUNCTION("""COMPUTED_VALUE"""),"#N/A")</f>
        <v>#N/A</v>
      </c>
    </row>
    <row r="2276">
      <c r="A2276" t="str">
        <f>IFERROR(__xludf.DUMMYFUNCTION("""COMPUTED_VALUE"""),"#N/A")</f>
        <v>#N/A</v>
      </c>
      <c r="B2276" s="451" t="str">
        <f>IFERROR(__xludf.DUMMYFUNCTION("""COMPUTED_VALUE"""),"#N/A")</f>
        <v>#N/A</v>
      </c>
    </row>
    <row r="2277">
      <c r="A2277" t="str">
        <f>IFERROR(__xludf.DUMMYFUNCTION("""COMPUTED_VALUE"""),"#N/A")</f>
        <v>#N/A</v>
      </c>
      <c r="B2277" s="451" t="str">
        <f>IFERROR(__xludf.DUMMYFUNCTION("""COMPUTED_VALUE"""),"#N/A")</f>
        <v>#N/A</v>
      </c>
    </row>
    <row r="2278">
      <c r="A2278" t="str">
        <f>IFERROR(__xludf.DUMMYFUNCTION("""COMPUTED_VALUE"""),"#N/A")</f>
        <v>#N/A</v>
      </c>
      <c r="B2278" s="451" t="str">
        <f>IFERROR(__xludf.DUMMYFUNCTION("""COMPUTED_VALUE"""),"#N/A")</f>
        <v>#N/A</v>
      </c>
    </row>
    <row r="2279">
      <c r="A2279" t="str">
        <f>IFERROR(__xludf.DUMMYFUNCTION("""COMPUTED_VALUE"""),"#N/A")</f>
        <v>#N/A</v>
      </c>
      <c r="B2279" s="451" t="str">
        <f>IFERROR(__xludf.DUMMYFUNCTION("""COMPUTED_VALUE"""),"#N/A")</f>
        <v>#N/A</v>
      </c>
    </row>
    <row r="2280">
      <c r="A2280" t="str">
        <f>IFERROR(__xludf.DUMMYFUNCTION("""COMPUTED_VALUE"""),"#N/A")</f>
        <v>#N/A</v>
      </c>
      <c r="B2280" s="451" t="str">
        <f>IFERROR(__xludf.DUMMYFUNCTION("""COMPUTED_VALUE"""),"#N/A")</f>
        <v>#N/A</v>
      </c>
    </row>
    <row r="2281">
      <c r="A2281" t="str">
        <f>IFERROR(__xludf.DUMMYFUNCTION("""COMPUTED_VALUE"""),"#N/A")</f>
        <v>#N/A</v>
      </c>
      <c r="B2281" s="451" t="str">
        <f>IFERROR(__xludf.DUMMYFUNCTION("""COMPUTED_VALUE"""),"#N/A")</f>
        <v>#N/A</v>
      </c>
    </row>
    <row r="2282">
      <c r="A2282" t="str">
        <f>IFERROR(__xludf.DUMMYFUNCTION("""COMPUTED_VALUE"""),"#N/A")</f>
        <v>#N/A</v>
      </c>
      <c r="B2282" s="451" t="str">
        <f>IFERROR(__xludf.DUMMYFUNCTION("""COMPUTED_VALUE"""),"#N/A")</f>
        <v>#N/A</v>
      </c>
    </row>
    <row r="2283">
      <c r="A2283" t="str">
        <f>IFERROR(__xludf.DUMMYFUNCTION("""COMPUTED_VALUE"""),"#N/A")</f>
        <v>#N/A</v>
      </c>
      <c r="B2283" s="451" t="str">
        <f>IFERROR(__xludf.DUMMYFUNCTION("""COMPUTED_VALUE"""),"#N/A")</f>
        <v>#N/A</v>
      </c>
    </row>
    <row r="2284">
      <c r="A2284" t="str">
        <f>IFERROR(__xludf.DUMMYFUNCTION("""COMPUTED_VALUE"""),"#N/A")</f>
        <v>#N/A</v>
      </c>
      <c r="B2284" s="451" t="str">
        <f>IFERROR(__xludf.DUMMYFUNCTION("""COMPUTED_VALUE"""),"#N/A")</f>
        <v>#N/A</v>
      </c>
    </row>
    <row r="2285">
      <c r="A2285" t="str">
        <f>IFERROR(__xludf.DUMMYFUNCTION("""COMPUTED_VALUE"""),"#N/A")</f>
        <v>#N/A</v>
      </c>
      <c r="B2285" s="451" t="str">
        <f>IFERROR(__xludf.DUMMYFUNCTION("""COMPUTED_VALUE"""),"#N/A")</f>
        <v>#N/A</v>
      </c>
    </row>
    <row r="2286">
      <c r="A2286" t="str">
        <f>IFERROR(__xludf.DUMMYFUNCTION("""COMPUTED_VALUE"""),"#N/A")</f>
        <v>#N/A</v>
      </c>
      <c r="B2286" s="451" t="str">
        <f>IFERROR(__xludf.DUMMYFUNCTION("""COMPUTED_VALUE"""),"#N/A")</f>
        <v>#N/A</v>
      </c>
    </row>
    <row r="2287">
      <c r="A2287" t="str">
        <f>IFERROR(__xludf.DUMMYFUNCTION("""COMPUTED_VALUE"""),"#N/A")</f>
        <v>#N/A</v>
      </c>
      <c r="B2287" s="451" t="str">
        <f>IFERROR(__xludf.DUMMYFUNCTION("""COMPUTED_VALUE"""),"#N/A")</f>
        <v>#N/A</v>
      </c>
    </row>
    <row r="2288">
      <c r="A2288" t="str">
        <f>IFERROR(__xludf.DUMMYFUNCTION("""COMPUTED_VALUE"""),"#N/A")</f>
        <v>#N/A</v>
      </c>
      <c r="B2288" s="451" t="str">
        <f>IFERROR(__xludf.DUMMYFUNCTION("""COMPUTED_VALUE"""),"#N/A")</f>
        <v>#N/A</v>
      </c>
    </row>
    <row r="2289">
      <c r="A2289" t="str">
        <f>IFERROR(__xludf.DUMMYFUNCTION("""COMPUTED_VALUE"""),"#N/A")</f>
        <v>#N/A</v>
      </c>
      <c r="B2289" s="451" t="str">
        <f>IFERROR(__xludf.DUMMYFUNCTION("""COMPUTED_VALUE"""),"#N/A")</f>
        <v>#N/A</v>
      </c>
    </row>
    <row r="2290">
      <c r="A2290" t="str">
        <f>IFERROR(__xludf.DUMMYFUNCTION("""COMPUTED_VALUE"""),"#N/A")</f>
        <v>#N/A</v>
      </c>
      <c r="B2290" s="451" t="str">
        <f>IFERROR(__xludf.DUMMYFUNCTION("""COMPUTED_VALUE"""),"#N/A")</f>
        <v>#N/A</v>
      </c>
    </row>
    <row r="2291">
      <c r="A2291" t="str">
        <f>IFERROR(__xludf.DUMMYFUNCTION("""COMPUTED_VALUE"""),"#N/A")</f>
        <v>#N/A</v>
      </c>
      <c r="B2291" s="451" t="str">
        <f>IFERROR(__xludf.DUMMYFUNCTION("""COMPUTED_VALUE"""),"#N/A")</f>
        <v>#N/A</v>
      </c>
    </row>
    <row r="2292">
      <c r="A2292" t="str">
        <f>IFERROR(__xludf.DUMMYFUNCTION("""COMPUTED_VALUE"""),"#N/A")</f>
        <v>#N/A</v>
      </c>
      <c r="B2292" s="451" t="str">
        <f>IFERROR(__xludf.DUMMYFUNCTION("""COMPUTED_VALUE"""),"#N/A")</f>
        <v>#N/A</v>
      </c>
    </row>
    <row r="2293">
      <c r="A2293" t="str">
        <f>IFERROR(__xludf.DUMMYFUNCTION("""COMPUTED_VALUE"""),"#N/A")</f>
        <v>#N/A</v>
      </c>
      <c r="B2293" s="451" t="str">
        <f>IFERROR(__xludf.DUMMYFUNCTION("""COMPUTED_VALUE"""),"#N/A")</f>
        <v>#N/A</v>
      </c>
    </row>
    <row r="2294">
      <c r="A2294" t="str">
        <f>IFERROR(__xludf.DUMMYFUNCTION("""COMPUTED_VALUE"""),"#N/A")</f>
        <v>#N/A</v>
      </c>
      <c r="B2294" s="451" t="str">
        <f>IFERROR(__xludf.DUMMYFUNCTION("""COMPUTED_VALUE"""),"#N/A")</f>
        <v>#N/A</v>
      </c>
    </row>
    <row r="2295">
      <c r="A2295" t="str">
        <f>IFERROR(__xludf.DUMMYFUNCTION("""COMPUTED_VALUE"""),"#N/A")</f>
        <v>#N/A</v>
      </c>
      <c r="B2295" s="451" t="str">
        <f>IFERROR(__xludf.DUMMYFUNCTION("""COMPUTED_VALUE"""),"#N/A")</f>
        <v>#N/A</v>
      </c>
    </row>
    <row r="2296">
      <c r="A2296" t="str">
        <f>IFERROR(__xludf.DUMMYFUNCTION("""COMPUTED_VALUE"""),"#N/A")</f>
        <v>#N/A</v>
      </c>
      <c r="B2296" s="451" t="str">
        <f>IFERROR(__xludf.DUMMYFUNCTION("""COMPUTED_VALUE"""),"#N/A")</f>
        <v>#N/A</v>
      </c>
    </row>
    <row r="2297">
      <c r="A2297" t="str">
        <f>IFERROR(__xludf.DUMMYFUNCTION("""COMPUTED_VALUE"""),"#N/A")</f>
        <v>#N/A</v>
      </c>
      <c r="B2297" s="451" t="str">
        <f>IFERROR(__xludf.DUMMYFUNCTION("""COMPUTED_VALUE"""),"#N/A")</f>
        <v>#N/A</v>
      </c>
    </row>
    <row r="2298">
      <c r="A2298" t="str">
        <f>IFERROR(__xludf.DUMMYFUNCTION("""COMPUTED_VALUE"""),"#N/A")</f>
        <v>#N/A</v>
      </c>
      <c r="B2298" s="451" t="str">
        <f>IFERROR(__xludf.DUMMYFUNCTION("""COMPUTED_VALUE"""),"#N/A")</f>
        <v>#N/A</v>
      </c>
    </row>
    <row r="2299">
      <c r="A2299" t="str">
        <f>IFERROR(__xludf.DUMMYFUNCTION("""COMPUTED_VALUE"""),"#N/A")</f>
        <v>#N/A</v>
      </c>
      <c r="B2299" s="451" t="str">
        <f>IFERROR(__xludf.DUMMYFUNCTION("""COMPUTED_VALUE"""),"#N/A")</f>
        <v>#N/A</v>
      </c>
    </row>
    <row r="2300">
      <c r="A2300" t="str">
        <f>IFERROR(__xludf.DUMMYFUNCTION("""COMPUTED_VALUE"""),"#N/A")</f>
        <v>#N/A</v>
      </c>
      <c r="B2300" s="451" t="str">
        <f>IFERROR(__xludf.DUMMYFUNCTION("""COMPUTED_VALUE"""),"#N/A")</f>
        <v>#N/A</v>
      </c>
    </row>
    <row r="2301">
      <c r="A2301" t="str">
        <f>IFERROR(__xludf.DUMMYFUNCTION("""COMPUTED_VALUE"""),"#N/A")</f>
        <v>#N/A</v>
      </c>
      <c r="B2301" s="451" t="str">
        <f>IFERROR(__xludf.DUMMYFUNCTION("""COMPUTED_VALUE"""),"#N/A")</f>
        <v>#N/A</v>
      </c>
    </row>
    <row r="2302">
      <c r="A2302" t="str">
        <f>IFERROR(__xludf.DUMMYFUNCTION("""COMPUTED_VALUE"""),"#N/A")</f>
        <v>#N/A</v>
      </c>
      <c r="B2302" s="451" t="str">
        <f>IFERROR(__xludf.DUMMYFUNCTION("""COMPUTED_VALUE"""),"#N/A")</f>
        <v>#N/A</v>
      </c>
    </row>
    <row r="2303">
      <c r="A2303" t="str">
        <f>IFERROR(__xludf.DUMMYFUNCTION("""COMPUTED_VALUE"""),"#N/A")</f>
        <v>#N/A</v>
      </c>
      <c r="B2303" s="451" t="str">
        <f>IFERROR(__xludf.DUMMYFUNCTION("""COMPUTED_VALUE"""),"#N/A")</f>
        <v>#N/A</v>
      </c>
    </row>
    <row r="2304">
      <c r="A2304" t="str">
        <f>IFERROR(__xludf.DUMMYFUNCTION("""COMPUTED_VALUE"""),"#N/A")</f>
        <v>#N/A</v>
      </c>
      <c r="B2304" s="451" t="str">
        <f>IFERROR(__xludf.DUMMYFUNCTION("""COMPUTED_VALUE"""),"#N/A")</f>
        <v>#N/A</v>
      </c>
    </row>
    <row r="2305">
      <c r="A2305" t="str">
        <f>IFERROR(__xludf.DUMMYFUNCTION("""COMPUTED_VALUE"""),"#N/A")</f>
        <v>#N/A</v>
      </c>
      <c r="B2305" s="451" t="str">
        <f>IFERROR(__xludf.DUMMYFUNCTION("""COMPUTED_VALUE"""),"#N/A")</f>
        <v>#N/A</v>
      </c>
    </row>
    <row r="2306">
      <c r="A2306" t="str">
        <f>IFERROR(__xludf.DUMMYFUNCTION("""COMPUTED_VALUE"""),"#N/A")</f>
        <v>#N/A</v>
      </c>
      <c r="B2306" s="451" t="str">
        <f>IFERROR(__xludf.DUMMYFUNCTION("""COMPUTED_VALUE"""),"#N/A")</f>
        <v>#N/A</v>
      </c>
    </row>
    <row r="2307">
      <c r="A2307" t="str">
        <f>IFERROR(__xludf.DUMMYFUNCTION("""COMPUTED_VALUE"""),"#N/A")</f>
        <v>#N/A</v>
      </c>
      <c r="B2307" s="451" t="str">
        <f>IFERROR(__xludf.DUMMYFUNCTION("""COMPUTED_VALUE"""),"#N/A")</f>
        <v>#N/A</v>
      </c>
    </row>
    <row r="2308">
      <c r="A2308" t="str">
        <f>IFERROR(__xludf.DUMMYFUNCTION("""COMPUTED_VALUE"""),"#N/A")</f>
        <v>#N/A</v>
      </c>
      <c r="B2308" s="451" t="str">
        <f>IFERROR(__xludf.DUMMYFUNCTION("""COMPUTED_VALUE"""),"#N/A")</f>
        <v>#N/A</v>
      </c>
    </row>
    <row r="2309">
      <c r="A2309" t="str">
        <f>IFERROR(__xludf.DUMMYFUNCTION("""COMPUTED_VALUE"""),"#N/A")</f>
        <v>#N/A</v>
      </c>
      <c r="B2309" s="451" t="str">
        <f>IFERROR(__xludf.DUMMYFUNCTION("""COMPUTED_VALUE"""),"#N/A")</f>
        <v>#N/A</v>
      </c>
    </row>
    <row r="2310">
      <c r="A2310" t="str">
        <f>IFERROR(__xludf.DUMMYFUNCTION("""COMPUTED_VALUE"""),"#N/A")</f>
        <v>#N/A</v>
      </c>
      <c r="B2310" s="451" t="str">
        <f>IFERROR(__xludf.DUMMYFUNCTION("""COMPUTED_VALUE"""),"#N/A")</f>
        <v>#N/A</v>
      </c>
    </row>
    <row r="2311">
      <c r="A2311" t="str">
        <f>IFERROR(__xludf.DUMMYFUNCTION("""COMPUTED_VALUE"""),"#N/A")</f>
        <v>#N/A</v>
      </c>
      <c r="B2311" s="451" t="str">
        <f>IFERROR(__xludf.DUMMYFUNCTION("""COMPUTED_VALUE"""),"#N/A")</f>
        <v>#N/A</v>
      </c>
    </row>
    <row r="2312">
      <c r="A2312" t="str">
        <f>IFERROR(__xludf.DUMMYFUNCTION("""COMPUTED_VALUE"""),"#N/A")</f>
        <v>#N/A</v>
      </c>
      <c r="B2312" s="451" t="str">
        <f>IFERROR(__xludf.DUMMYFUNCTION("""COMPUTED_VALUE"""),"#N/A")</f>
        <v>#N/A</v>
      </c>
    </row>
    <row r="2313">
      <c r="A2313" t="str">
        <f>IFERROR(__xludf.DUMMYFUNCTION("""COMPUTED_VALUE"""),"#N/A")</f>
        <v>#N/A</v>
      </c>
      <c r="B2313" s="451" t="str">
        <f>IFERROR(__xludf.DUMMYFUNCTION("""COMPUTED_VALUE"""),"#N/A")</f>
        <v>#N/A</v>
      </c>
    </row>
    <row r="2314">
      <c r="A2314" t="str">
        <f>IFERROR(__xludf.DUMMYFUNCTION("""COMPUTED_VALUE"""),"#N/A")</f>
        <v>#N/A</v>
      </c>
      <c r="B2314" s="451" t="str">
        <f>IFERROR(__xludf.DUMMYFUNCTION("""COMPUTED_VALUE"""),"#N/A")</f>
        <v>#N/A</v>
      </c>
    </row>
    <row r="2315">
      <c r="A2315" t="str">
        <f>IFERROR(__xludf.DUMMYFUNCTION("""COMPUTED_VALUE"""),"#N/A")</f>
        <v>#N/A</v>
      </c>
      <c r="B2315" s="451" t="str">
        <f>IFERROR(__xludf.DUMMYFUNCTION("""COMPUTED_VALUE"""),"#N/A")</f>
        <v>#N/A</v>
      </c>
    </row>
    <row r="2316">
      <c r="A2316" t="str">
        <f>IFERROR(__xludf.DUMMYFUNCTION("""COMPUTED_VALUE"""),"#N/A")</f>
        <v>#N/A</v>
      </c>
      <c r="B2316" s="451" t="str">
        <f>IFERROR(__xludf.DUMMYFUNCTION("""COMPUTED_VALUE"""),"#N/A")</f>
        <v>#N/A</v>
      </c>
    </row>
    <row r="2317">
      <c r="A2317" t="str">
        <f>IFERROR(__xludf.DUMMYFUNCTION("""COMPUTED_VALUE"""),"#N/A")</f>
        <v>#N/A</v>
      </c>
      <c r="B2317" s="451" t="str">
        <f>IFERROR(__xludf.DUMMYFUNCTION("""COMPUTED_VALUE"""),"#N/A")</f>
        <v>#N/A</v>
      </c>
    </row>
    <row r="2318">
      <c r="A2318" t="str">
        <f>IFERROR(__xludf.DUMMYFUNCTION("""COMPUTED_VALUE"""),"#N/A")</f>
        <v>#N/A</v>
      </c>
      <c r="B2318" s="451" t="str">
        <f>IFERROR(__xludf.DUMMYFUNCTION("""COMPUTED_VALUE"""),"#N/A")</f>
        <v>#N/A</v>
      </c>
    </row>
    <row r="2319">
      <c r="A2319" t="str">
        <f>IFERROR(__xludf.DUMMYFUNCTION("""COMPUTED_VALUE"""),"#N/A")</f>
        <v>#N/A</v>
      </c>
      <c r="B2319" s="451" t="str">
        <f>IFERROR(__xludf.DUMMYFUNCTION("""COMPUTED_VALUE"""),"#N/A")</f>
        <v>#N/A</v>
      </c>
    </row>
    <row r="2320">
      <c r="A2320" t="str">
        <f>IFERROR(__xludf.DUMMYFUNCTION("""COMPUTED_VALUE"""),"#N/A")</f>
        <v>#N/A</v>
      </c>
      <c r="B2320" s="451" t="str">
        <f>IFERROR(__xludf.DUMMYFUNCTION("""COMPUTED_VALUE"""),"#N/A")</f>
        <v>#N/A</v>
      </c>
    </row>
    <row r="2321">
      <c r="A2321" t="str">
        <f>IFERROR(__xludf.DUMMYFUNCTION("""COMPUTED_VALUE"""),"#N/A")</f>
        <v>#N/A</v>
      </c>
      <c r="B2321" s="451" t="str">
        <f>IFERROR(__xludf.DUMMYFUNCTION("""COMPUTED_VALUE"""),"#N/A")</f>
        <v>#N/A</v>
      </c>
    </row>
    <row r="2322">
      <c r="A2322" t="str">
        <f>IFERROR(__xludf.DUMMYFUNCTION("""COMPUTED_VALUE"""),"#N/A")</f>
        <v>#N/A</v>
      </c>
      <c r="B2322" s="451" t="str">
        <f>IFERROR(__xludf.DUMMYFUNCTION("""COMPUTED_VALUE"""),"#N/A")</f>
        <v>#N/A</v>
      </c>
    </row>
    <row r="2323">
      <c r="A2323" t="str">
        <f>IFERROR(__xludf.DUMMYFUNCTION("""COMPUTED_VALUE"""),"#N/A")</f>
        <v>#N/A</v>
      </c>
      <c r="B2323" s="451" t="str">
        <f>IFERROR(__xludf.DUMMYFUNCTION("""COMPUTED_VALUE"""),"#N/A")</f>
        <v>#N/A</v>
      </c>
    </row>
    <row r="2324">
      <c r="A2324" t="str">
        <f>IFERROR(__xludf.DUMMYFUNCTION("""COMPUTED_VALUE"""),"#N/A")</f>
        <v>#N/A</v>
      </c>
      <c r="B2324" s="451" t="str">
        <f>IFERROR(__xludf.DUMMYFUNCTION("""COMPUTED_VALUE"""),"#N/A")</f>
        <v>#N/A</v>
      </c>
    </row>
    <row r="2325">
      <c r="A2325" t="str">
        <f>IFERROR(__xludf.DUMMYFUNCTION("""COMPUTED_VALUE"""),"#N/A")</f>
        <v>#N/A</v>
      </c>
      <c r="B2325" s="451" t="str">
        <f>IFERROR(__xludf.DUMMYFUNCTION("""COMPUTED_VALUE"""),"#N/A")</f>
        <v>#N/A</v>
      </c>
    </row>
    <row r="2326">
      <c r="A2326" t="str">
        <f>IFERROR(__xludf.DUMMYFUNCTION("""COMPUTED_VALUE"""),"#N/A")</f>
        <v>#N/A</v>
      </c>
      <c r="B2326" s="451" t="str">
        <f>IFERROR(__xludf.DUMMYFUNCTION("""COMPUTED_VALUE"""),"#N/A")</f>
        <v>#N/A</v>
      </c>
    </row>
    <row r="2327">
      <c r="A2327" t="str">
        <f>IFERROR(__xludf.DUMMYFUNCTION("""COMPUTED_VALUE"""),"#N/A")</f>
        <v>#N/A</v>
      </c>
      <c r="B2327" s="451" t="str">
        <f>IFERROR(__xludf.DUMMYFUNCTION("""COMPUTED_VALUE"""),"#N/A")</f>
        <v>#N/A</v>
      </c>
    </row>
    <row r="2328">
      <c r="A2328" t="str">
        <f>IFERROR(__xludf.DUMMYFUNCTION("""COMPUTED_VALUE"""),"#N/A")</f>
        <v>#N/A</v>
      </c>
      <c r="B2328" s="451" t="str">
        <f>IFERROR(__xludf.DUMMYFUNCTION("""COMPUTED_VALUE"""),"#N/A")</f>
        <v>#N/A</v>
      </c>
    </row>
    <row r="2329">
      <c r="A2329" t="str">
        <f>IFERROR(__xludf.DUMMYFUNCTION("""COMPUTED_VALUE"""),"#N/A")</f>
        <v>#N/A</v>
      </c>
      <c r="B2329" s="451" t="str">
        <f>IFERROR(__xludf.DUMMYFUNCTION("""COMPUTED_VALUE"""),"#N/A")</f>
        <v>#N/A</v>
      </c>
    </row>
    <row r="2330">
      <c r="A2330" t="str">
        <f>IFERROR(__xludf.DUMMYFUNCTION("""COMPUTED_VALUE"""),"#N/A")</f>
        <v>#N/A</v>
      </c>
      <c r="B2330" s="451" t="str">
        <f>IFERROR(__xludf.DUMMYFUNCTION("""COMPUTED_VALUE"""),"#N/A")</f>
        <v>#N/A</v>
      </c>
    </row>
    <row r="2331">
      <c r="A2331" t="str">
        <f>IFERROR(__xludf.DUMMYFUNCTION("""COMPUTED_VALUE"""),"#N/A")</f>
        <v>#N/A</v>
      </c>
      <c r="B2331" s="451" t="str">
        <f>IFERROR(__xludf.DUMMYFUNCTION("""COMPUTED_VALUE"""),"#N/A")</f>
        <v>#N/A</v>
      </c>
    </row>
    <row r="2332">
      <c r="A2332" t="str">
        <f>IFERROR(__xludf.DUMMYFUNCTION("""COMPUTED_VALUE"""),"#N/A")</f>
        <v>#N/A</v>
      </c>
      <c r="B2332" s="451" t="str">
        <f>IFERROR(__xludf.DUMMYFUNCTION("""COMPUTED_VALUE"""),"#N/A")</f>
        <v>#N/A</v>
      </c>
    </row>
    <row r="2333">
      <c r="A2333" t="str">
        <f>IFERROR(__xludf.DUMMYFUNCTION("""COMPUTED_VALUE"""),"#N/A")</f>
        <v>#N/A</v>
      </c>
      <c r="B2333" s="451" t="str">
        <f>IFERROR(__xludf.DUMMYFUNCTION("""COMPUTED_VALUE"""),"#N/A")</f>
        <v>#N/A</v>
      </c>
    </row>
    <row r="2334">
      <c r="A2334" t="str">
        <f>IFERROR(__xludf.DUMMYFUNCTION("""COMPUTED_VALUE"""),"#N/A")</f>
        <v>#N/A</v>
      </c>
      <c r="B2334" s="451" t="str">
        <f>IFERROR(__xludf.DUMMYFUNCTION("""COMPUTED_VALUE"""),"#N/A")</f>
        <v>#N/A</v>
      </c>
    </row>
    <row r="2335">
      <c r="A2335" t="str">
        <f>IFERROR(__xludf.DUMMYFUNCTION("""COMPUTED_VALUE"""),"#N/A")</f>
        <v>#N/A</v>
      </c>
      <c r="B2335" s="451" t="str">
        <f>IFERROR(__xludf.DUMMYFUNCTION("""COMPUTED_VALUE"""),"#N/A")</f>
        <v>#N/A</v>
      </c>
    </row>
    <row r="2336">
      <c r="A2336" t="str">
        <f>IFERROR(__xludf.DUMMYFUNCTION("""COMPUTED_VALUE"""),"#N/A")</f>
        <v>#N/A</v>
      </c>
      <c r="B2336" s="451" t="str">
        <f>IFERROR(__xludf.DUMMYFUNCTION("""COMPUTED_VALUE"""),"#N/A")</f>
        <v>#N/A</v>
      </c>
    </row>
    <row r="2337">
      <c r="A2337" t="str">
        <f>IFERROR(__xludf.DUMMYFUNCTION("""COMPUTED_VALUE"""),"#N/A")</f>
        <v>#N/A</v>
      </c>
      <c r="B2337" s="451" t="str">
        <f>IFERROR(__xludf.DUMMYFUNCTION("""COMPUTED_VALUE"""),"#N/A")</f>
        <v>#N/A</v>
      </c>
    </row>
    <row r="2338">
      <c r="A2338" t="str">
        <f>IFERROR(__xludf.DUMMYFUNCTION("""COMPUTED_VALUE"""),"#N/A")</f>
        <v>#N/A</v>
      </c>
      <c r="B2338" s="451" t="str">
        <f>IFERROR(__xludf.DUMMYFUNCTION("""COMPUTED_VALUE"""),"#N/A")</f>
        <v>#N/A</v>
      </c>
    </row>
    <row r="2339">
      <c r="A2339" t="str">
        <f>IFERROR(__xludf.DUMMYFUNCTION("""COMPUTED_VALUE"""),"#N/A")</f>
        <v>#N/A</v>
      </c>
      <c r="B2339" s="451" t="str">
        <f>IFERROR(__xludf.DUMMYFUNCTION("""COMPUTED_VALUE"""),"#N/A")</f>
        <v>#N/A</v>
      </c>
    </row>
    <row r="2340">
      <c r="A2340" t="str">
        <f>IFERROR(__xludf.DUMMYFUNCTION("""COMPUTED_VALUE"""),"#N/A")</f>
        <v>#N/A</v>
      </c>
      <c r="B2340" s="451" t="str">
        <f>IFERROR(__xludf.DUMMYFUNCTION("""COMPUTED_VALUE"""),"#N/A")</f>
        <v>#N/A</v>
      </c>
    </row>
    <row r="2341">
      <c r="A2341" t="str">
        <f>IFERROR(__xludf.DUMMYFUNCTION("""COMPUTED_VALUE"""),"#N/A")</f>
        <v>#N/A</v>
      </c>
      <c r="B2341" s="451" t="str">
        <f>IFERROR(__xludf.DUMMYFUNCTION("""COMPUTED_VALUE"""),"#N/A")</f>
        <v>#N/A</v>
      </c>
    </row>
    <row r="2342">
      <c r="A2342" t="str">
        <f>IFERROR(__xludf.DUMMYFUNCTION("""COMPUTED_VALUE"""),"#N/A")</f>
        <v>#N/A</v>
      </c>
      <c r="B2342" s="451" t="str">
        <f>IFERROR(__xludf.DUMMYFUNCTION("""COMPUTED_VALUE"""),"#N/A")</f>
        <v>#N/A</v>
      </c>
    </row>
    <row r="2343">
      <c r="A2343" t="str">
        <f>IFERROR(__xludf.DUMMYFUNCTION("""COMPUTED_VALUE"""),"#N/A")</f>
        <v>#N/A</v>
      </c>
      <c r="B2343" s="451" t="str">
        <f>IFERROR(__xludf.DUMMYFUNCTION("""COMPUTED_VALUE"""),"#N/A")</f>
        <v>#N/A</v>
      </c>
    </row>
    <row r="2344">
      <c r="A2344" t="str">
        <f>IFERROR(__xludf.DUMMYFUNCTION("""COMPUTED_VALUE"""),"#N/A")</f>
        <v>#N/A</v>
      </c>
      <c r="B2344" s="451" t="str">
        <f>IFERROR(__xludf.DUMMYFUNCTION("""COMPUTED_VALUE"""),"#N/A")</f>
        <v>#N/A</v>
      </c>
    </row>
    <row r="2345">
      <c r="A2345" t="str">
        <f>IFERROR(__xludf.DUMMYFUNCTION("""COMPUTED_VALUE"""),"#N/A")</f>
        <v>#N/A</v>
      </c>
      <c r="B2345" s="451" t="str">
        <f>IFERROR(__xludf.DUMMYFUNCTION("""COMPUTED_VALUE"""),"#N/A")</f>
        <v>#N/A</v>
      </c>
    </row>
    <row r="2346">
      <c r="A2346" t="str">
        <f>IFERROR(__xludf.DUMMYFUNCTION("""COMPUTED_VALUE"""),"#N/A")</f>
        <v>#N/A</v>
      </c>
      <c r="B2346" s="451" t="str">
        <f>IFERROR(__xludf.DUMMYFUNCTION("""COMPUTED_VALUE"""),"#N/A")</f>
        <v>#N/A</v>
      </c>
    </row>
    <row r="2347">
      <c r="A2347" t="str">
        <f>IFERROR(__xludf.DUMMYFUNCTION("""COMPUTED_VALUE"""),"#N/A")</f>
        <v>#N/A</v>
      </c>
      <c r="B2347" s="451" t="str">
        <f>IFERROR(__xludf.DUMMYFUNCTION("""COMPUTED_VALUE"""),"#N/A")</f>
        <v>#N/A</v>
      </c>
    </row>
    <row r="2348">
      <c r="A2348" t="str">
        <f>IFERROR(__xludf.DUMMYFUNCTION("""COMPUTED_VALUE"""),"#N/A")</f>
        <v>#N/A</v>
      </c>
      <c r="B2348" s="451" t="str">
        <f>IFERROR(__xludf.DUMMYFUNCTION("""COMPUTED_VALUE"""),"#N/A")</f>
        <v>#N/A</v>
      </c>
    </row>
    <row r="2349">
      <c r="A2349" t="str">
        <f>IFERROR(__xludf.DUMMYFUNCTION("""COMPUTED_VALUE"""),"#N/A")</f>
        <v>#N/A</v>
      </c>
      <c r="B2349" s="451" t="str">
        <f>IFERROR(__xludf.DUMMYFUNCTION("""COMPUTED_VALUE"""),"#N/A")</f>
        <v>#N/A</v>
      </c>
    </row>
    <row r="2350">
      <c r="A2350" t="str">
        <f>IFERROR(__xludf.DUMMYFUNCTION("""COMPUTED_VALUE"""),"#N/A")</f>
        <v>#N/A</v>
      </c>
      <c r="B2350" s="451" t="str">
        <f>IFERROR(__xludf.DUMMYFUNCTION("""COMPUTED_VALUE"""),"#N/A")</f>
        <v>#N/A</v>
      </c>
    </row>
    <row r="2351">
      <c r="A2351" t="str">
        <f>IFERROR(__xludf.DUMMYFUNCTION("""COMPUTED_VALUE"""),"#N/A")</f>
        <v>#N/A</v>
      </c>
      <c r="B2351" s="451" t="str">
        <f>IFERROR(__xludf.DUMMYFUNCTION("""COMPUTED_VALUE"""),"#N/A")</f>
        <v>#N/A</v>
      </c>
    </row>
    <row r="2352">
      <c r="A2352" t="str">
        <f>IFERROR(__xludf.DUMMYFUNCTION("""COMPUTED_VALUE"""),"#N/A")</f>
        <v>#N/A</v>
      </c>
      <c r="B2352" s="451" t="str">
        <f>IFERROR(__xludf.DUMMYFUNCTION("""COMPUTED_VALUE"""),"#N/A")</f>
        <v>#N/A</v>
      </c>
    </row>
    <row r="2353">
      <c r="A2353" t="str">
        <f>IFERROR(__xludf.DUMMYFUNCTION("""COMPUTED_VALUE"""),"#N/A")</f>
        <v>#N/A</v>
      </c>
      <c r="B2353" s="451" t="str">
        <f>IFERROR(__xludf.DUMMYFUNCTION("""COMPUTED_VALUE"""),"#N/A")</f>
        <v>#N/A</v>
      </c>
    </row>
    <row r="2354">
      <c r="A2354" t="str">
        <f>IFERROR(__xludf.DUMMYFUNCTION("""COMPUTED_VALUE"""),"#N/A")</f>
        <v>#N/A</v>
      </c>
      <c r="B2354" s="451" t="str">
        <f>IFERROR(__xludf.DUMMYFUNCTION("""COMPUTED_VALUE"""),"#N/A")</f>
        <v>#N/A</v>
      </c>
    </row>
    <row r="2355">
      <c r="A2355" t="str">
        <f>IFERROR(__xludf.DUMMYFUNCTION("""COMPUTED_VALUE"""),"#N/A")</f>
        <v>#N/A</v>
      </c>
      <c r="B2355" s="451" t="str">
        <f>IFERROR(__xludf.DUMMYFUNCTION("""COMPUTED_VALUE"""),"#N/A")</f>
        <v>#N/A</v>
      </c>
    </row>
    <row r="2356">
      <c r="A2356" t="str">
        <f>IFERROR(__xludf.DUMMYFUNCTION("""COMPUTED_VALUE"""),"#N/A")</f>
        <v>#N/A</v>
      </c>
      <c r="B2356" s="451" t="str">
        <f>IFERROR(__xludf.DUMMYFUNCTION("""COMPUTED_VALUE"""),"#N/A")</f>
        <v>#N/A</v>
      </c>
    </row>
    <row r="2357">
      <c r="A2357" t="str">
        <f>IFERROR(__xludf.DUMMYFUNCTION("""COMPUTED_VALUE"""),"#N/A")</f>
        <v>#N/A</v>
      </c>
      <c r="B2357" s="451" t="str">
        <f>IFERROR(__xludf.DUMMYFUNCTION("""COMPUTED_VALUE"""),"#N/A")</f>
        <v>#N/A</v>
      </c>
    </row>
    <row r="2358">
      <c r="A2358" t="str">
        <f>IFERROR(__xludf.DUMMYFUNCTION("""COMPUTED_VALUE"""),"#N/A")</f>
        <v>#N/A</v>
      </c>
      <c r="B2358" s="451" t="str">
        <f>IFERROR(__xludf.DUMMYFUNCTION("""COMPUTED_VALUE"""),"#N/A")</f>
        <v>#N/A</v>
      </c>
    </row>
    <row r="2359">
      <c r="A2359" t="str">
        <f>IFERROR(__xludf.DUMMYFUNCTION("""COMPUTED_VALUE"""),"#N/A")</f>
        <v>#N/A</v>
      </c>
      <c r="B2359" s="451" t="str">
        <f>IFERROR(__xludf.DUMMYFUNCTION("""COMPUTED_VALUE"""),"#N/A")</f>
        <v>#N/A</v>
      </c>
    </row>
    <row r="2360">
      <c r="A2360" t="str">
        <f>IFERROR(__xludf.DUMMYFUNCTION("""COMPUTED_VALUE"""),"#N/A")</f>
        <v>#N/A</v>
      </c>
      <c r="B2360" s="451" t="str">
        <f>IFERROR(__xludf.DUMMYFUNCTION("""COMPUTED_VALUE"""),"#N/A")</f>
        <v>#N/A</v>
      </c>
    </row>
    <row r="2361">
      <c r="A2361" t="str">
        <f>IFERROR(__xludf.DUMMYFUNCTION("""COMPUTED_VALUE"""),"#N/A")</f>
        <v>#N/A</v>
      </c>
      <c r="B2361" s="451" t="str">
        <f>IFERROR(__xludf.DUMMYFUNCTION("""COMPUTED_VALUE"""),"#N/A")</f>
        <v>#N/A</v>
      </c>
    </row>
    <row r="2362">
      <c r="A2362" t="str">
        <f>IFERROR(__xludf.DUMMYFUNCTION("""COMPUTED_VALUE"""),"#N/A")</f>
        <v>#N/A</v>
      </c>
      <c r="B2362" s="451" t="str">
        <f>IFERROR(__xludf.DUMMYFUNCTION("""COMPUTED_VALUE"""),"#N/A")</f>
        <v>#N/A</v>
      </c>
    </row>
    <row r="2363">
      <c r="A2363" t="str">
        <f>IFERROR(__xludf.DUMMYFUNCTION("""COMPUTED_VALUE"""),"#N/A")</f>
        <v>#N/A</v>
      </c>
      <c r="B2363" s="451" t="str">
        <f>IFERROR(__xludf.DUMMYFUNCTION("""COMPUTED_VALUE"""),"#N/A")</f>
        <v>#N/A</v>
      </c>
    </row>
    <row r="2364">
      <c r="A2364" t="str">
        <f>IFERROR(__xludf.DUMMYFUNCTION("""COMPUTED_VALUE"""),"#N/A")</f>
        <v>#N/A</v>
      </c>
      <c r="B2364" s="451" t="str">
        <f>IFERROR(__xludf.DUMMYFUNCTION("""COMPUTED_VALUE"""),"#N/A")</f>
        <v>#N/A</v>
      </c>
    </row>
    <row r="2365">
      <c r="A2365" t="str">
        <f>IFERROR(__xludf.DUMMYFUNCTION("""COMPUTED_VALUE"""),"#N/A")</f>
        <v>#N/A</v>
      </c>
      <c r="B2365" s="451" t="str">
        <f>IFERROR(__xludf.DUMMYFUNCTION("""COMPUTED_VALUE"""),"#N/A")</f>
        <v>#N/A</v>
      </c>
    </row>
    <row r="2366">
      <c r="A2366" t="str">
        <f>IFERROR(__xludf.DUMMYFUNCTION("""COMPUTED_VALUE"""),"#N/A")</f>
        <v>#N/A</v>
      </c>
      <c r="B2366" s="451" t="str">
        <f>IFERROR(__xludf.DUMMYFUNCTION("""COMPUTED_VALUE"""),"#N/A")</f>
        <v>#N/A</v>
      </c>
    </row>
    <row r="2367">
      <c r="A2367" t="str">
        <f>IFERROR(__xludf.DUMMYFUNCTION("""COMPUTED_VALUE"""),"#N/A")</f>
        <v>#N/A</v>
      </c>
      <c r="B2367" s="451" t="str">
        <f>IFERROR(__xludf.DUMMYFUNCTION("""COMPUTED_VALUE"""),"#N/A")</f>
        <v>#N/A</v>
      </c>
    </row>
    <row r="2368">
      <c r="A2368" t="str">
        <f>IFERROR(__xludf.DUMMYFUNCTION("""COMPUTED_VALUE"""),"#N/A")</f>
        <v>#N/A</v>
      </c>
      <c r="B2368" s="451" t="str">
        <f>IFERROR(__xludf.DUMMYFUNCTION("""COMPUTED_VALUE"""),"#N/A")</f>
        <v>#N/A</v>
      </c>
    </row>
    <row r="2369">
      <c r="A2369" t="str">
        <f>IFERROR(__xludf.DUMMYFUNCTION("""COMPUTED_VALUE"""),"#N/A")</f>
        <v>#N/A</v>
      </c>
      <c r="B2369" s="451" t="str">
        <f>IFERROR(__xludf.DUMMYFUNCTION("""COMPUTED_VALUE"""),"#N/A")</f>
        <v>#N/A</v>
      </c>
    </row>
    <row r="2370">
      <c r="A2370" t="str">
        <f>IFERROR(__xludf.DUMMYFUNCTION("""COMPUTED_VALUE"""),"#N/A")</f>
        <v>#N/A</v>
      </c>
      <c r="B2370" s="451" t="str">
        <f>IFERROR(__xludf.DUMMYFUNCTION("""COMPUTED_VALUE"""),"#N/A")</f>
        <v>#N/A</v>
      </c>
    </row>
    <row r="2371">
      <c r="A2371" t="str">
        <f>IFERROR(__xludf.DUMMYFUNCTION("""COMPUTED_VALUE"""),"#N/A")</f>
        <v>#N/A</v>
      </c>
      <c r="B2371" s="451" t="str">
        <f>IFERROR(__xludf.DUMMYFUNCTION("""COMPUTED_VALUE"""),"#N/A")</f>
        <v>#N/A</v>
      </c>
    </row>
    <row r="2372">
      <c r="A2372" t="str">
        <f>IFERROR(__xludf.DUMMYFUNCTION("""COMPUTED_VALUE"""),"#N/A")</f>
        <v>#N/A</v>
      </c>
      <c r="B2372" s="451" t="str">
        <f>IFERROR(__xludf.DUMMYFUNCTION("""COMPUTED_VALUE"""),"#N/A")</f>
        <v>#N/A</v>
      </c>
    </row>
    <row r="2373">
      <c r="A2373" t="str">
        <f>IFERROR(__xludf.DUMMYFUNCTION("""COMPUTED_VALUE"""),"#N/A")</f>
        <v>#N/A</v>
      </c>
      <c r="B2373" s="451" t="str">
        <f>IFERROR(__xludf.DUMMYFUNCTION("""COMPUTED_VALUE"""),"#N/A")</f>
        <v>#N/A</v>
      </c>
    </row>
    <row r="2374">
      <c r="A2374" t="str">
        <f>IFERROR(__xludf.DUMMYFUNCTION("""COMPUTED_VALUE"""),"#N/A")</f>
        <v>#N/A</v>
      </c>
      <c r="B2374" s="451" t="str">
        <f>IFERROR(__xludf.DUMMYFUNCTION("""COMPUTED_VALUE"""),"#N/A")</f>
        <v>#N/A</v>
      </c>
    </row>
    <row r="2375">
      <c r="A2375" t="str">
        <f>IFERROR(__xludf.DUMMYFUNCTION("""COMPUTED_VALUE"""),"#N/A")</f>
        <v>#N/A</v>
      </c>
      <c r="B2375" s="451" t="str">
        <f>IFERROR(__xludf.DUMMYFUNCTION("""COMPUTED_VALUE"""),"#N/A")</f>
        <v>#N/A</v>
      </c>
    </row>
    <row r="2376">
      <c r="A2376" t="str">
        <f>IFERROR(__xludf.DUMMYFUNCTION("""COMPUTED_VALUE"""),"#N/A")</f>
        <v>#N/A</v>
      </c>
      <c r="B2376" s="451" t="str">
        <f>IFERROR(__xludf.DUMMYFUNCTION("""COMPUTED_VALUE"""),"#N/A")</f>
        <v>#N/A</v>
      </c>
    </row>
    <row r="2377">
      <c r="A2377" t="str">
        <f>IFERROR(__xludf.DUMMYFUNCTION("""COMPUTED_VALUE"""),"#N/A")</f>
        <v>#N/A</v>
      </c>
      <c r="B2377" s="451" t="str">
        <f>IFERROR(__xludf.DUMMYFUNCTION("""COMPUTED_VALUE"""),"#N/A")</f>
        <v>#N/A</v>
      </c>
    </row>
    <row r="2378">
      <c r="A2378" t="str">
        <f>IFERROR(__xludf.DUMMYFUNCTION("""COMPUTED_VALUE"""),"#N/A")</f>
        <v>#N/A</v>
      </c>
      <c r="B2378" s="451" t="str">
        <f>IFERROR(__xludf.DUMMYFUNCTION("""COMPUTED_VALUE"""),"#N/A")</f>
        <v>#N/A</v>
      </c>
    </row>
    <row r="2379">
      <c r="A2379" t="str">
        <f>IFERROR(__xludf.DUMMYFUNCTION("""COMPUTED_VALUE"""),"#N/A")</f>
        <v>#N/A</v>
      </c>
      <c r="B2379" s="451" t="str">
        <f>IFERROR(__xludf.DUMMYFUNCTION("""COMPUTED_VALUE"""),"#N/A")</f>
        <v>#N/A</v>
      </c>
    </row>
    <row r="2380">
      <c r="A2380" t="str">
        <f>IFERROR(__xludf.DUMMYFUNCTION("""COMPUTED_VALUE"""),"#N/A")</f>
        <v>#N/A</v>
      </c>
      <c r="B2380" s="451" t="str">
        <f>IFERROR(__xludf.DUMMYFUNCTION("""COMPUTED_VALUE"""),"#N/A")</f>
        <v>#N/A</v>
      </c>
    </row>
    <row r="2381">
      <c r="A2381" t="str">
        <f>IFERROR(__xludf.DUMMYFUNCTION("""COMPUTED_VALUE"""),"#N/A")</f>
        <v>#N/A</v>
      </c>
      <c r="B2381" s="451" t="str">
        <f>IFERROR(__xludf.DUMMYFUNCTION("""COMPUTED_VALUE"""),"#N/A")</f>
        <v>#N/A</v>
      </c>
    </row>
    <row r="2382">
      <c r="A2382" t="str">
        <f>IFERROR(__xludf.DUMMYFUNCTION("""COMPUTED_VALUE"""),"#N/A")</f>
        <v>#N/A</v>
      </c>
      <c r="B2382" s="451" t="str">
        <f>IFERROR(__xludf.DUMMYFUNCTION("""COMPUTED_VALUE"""),"#N/A")</f>
        <v>#N/A</v>
      </c>
    </row>
    <row r="2383">
      <c r="A2383" t="str">
        <f>IFERROR(__xludf.DUMMYFUNCTION("""COMPUTED_VALUE"""),"#N/A")</f>
        <v>#N/A</v>
      </c>
      <c r="B2383" s="451" t="str">
        <f>IFERROR(__xludf.DUMMYFUNCTION("""COMPUTED_VALUE"""),"#N/A")</f>
        <v>#N/A</v>
      </c>
    </row>
    <row r="2384">
      <c r="A2384" t="str">
        <f>IFERROR(__xludf.DUMMYFUNCTION("""COMPUTED_VALUE"""),"#N/A")</f>
        <v>#N/A</v>
      </c>
      <c r="B2384" s="451" t="str">
        <f>IFERROR(__xludf.DUMMYFUNCTION("""COMPUTED_VALUE"""),"#N/A")</f>
        <v>#N/A</v>
      </c>
    </row>
    <row r="2385">
      <c r="A2385" t="str">
        <f>IFERROR(__xludf.DUMMYFUNCTION("""COMPUTED_VALUE"""),"#N/A")</f>
        <v>#N/A</v>
      </c>
      <c r="B2385" s="451" t="str">
        <f>IFERROR(__xludf.DUMMYFUNCTION("""COMPUTED_VALUE"""),"#N/A")</f>
        <v>#N/A</v>
      </c>
    </row>
    <row r="2386">
      <c r="A2386" t="str">
        <f>IFERROR(__xludf.DUMMYFUNCTION("""COMPUTED_VALUE"""),"#N/A")</f>
        <v>#N/A</v>
      </c>
      <c r="B2386" s="451" t="str">
        <f>IFERROR(__xludf.DUMMYFUNCTION("""COMPUTED_VALUE"""),"#N/A")</f>
        <v>#N/A</v>
      </c>
    </row>
    <row r="2387">
      <c r="A2387" t="str">
        <f>IFERROR(__xludf.DUMMYFUNCTION("""COMPUTED_VALUE"""),"#N/A")</f>
        <v>#N/A</v>
      </c>
      <c r="B2387" s="451" t="str">
        <f>IFERROR(__xludf.DUMMYFUNCTION("""COMPUTED_VALUE"""),"#N/A")</f>
        <v>#N/A</v>
      </c>
    </row>
    <row r="2388">
      <c r="A2388" t="str">
        <f>IFERROR(__xludf.DUMMYFUNCTION("""COMPUTED_VALUE"""),"#N/A")</f>
        <v>#N/A</v>
      </c>
      <c r="B2388" s="451" t="str">
        <f>IFERROR(__xludf.DUMMYFUNCTION("""COMPUTED_VALUE"""),"#N/A")</f>
        <v>#N/A</v>
      </c>
    </row>
    <row r="2389">
      <c r="A2389" t="str">
        <f>IFERROR(__xludf.DUMMYFUNCTION("""COMPUTED_VALUE"""),"#N/A")</f>
        <v>#N/A</v>
      </c>
      <c r="B2389" s="451" t="str">
        <f>IFERROR(__xludf.DUMMYFUNCTION("""COMPUTED_VALUE"""),"#N/A")</f>
        <v>#N/A</v>
      </c>
    </row>
    <row r="2390">
      <c r="A2390" t="str">
        <f>IFERROR(__xludf.DUMMYFUNCTION("""COMPUTED_VALUE"""),"#N/A")</f>
        <v>#N/A</v>
      </c>
      <c r="B2390" s="451" t="str">
        <f>IFERROR(__xludf.DUMMYFUNCTION("""COMPUTED_VALUE"""),"#N/A")</f>
        <v>#N/A</v>
      </c>
    </row>
    <row r="2391">
      <c r="A2391" t="str">
        <f>IFERROR(__xludf.DUMMYFUNCTION("""COMPUTED_VALUE"""),"#N/A")</f>
        <v>#N/A</v>
      </c>
      <c r="B2391" s="451" t="str">
        <f>IFERROR(__xludf.DUMMYFUNCTION("""COMPUTED_VALUE"""),"#N/A")</f>
        <v>#N/A</v>
      </c>
    </row>
    <row r="2392">
      <c r="A2392" t="str">
        <f>IFERROR(__xludf.DUMMYFUNCTION("""COMPUTED_VALUE"""),"#N/A")</f>
        <v>#N/A</v>
      </c>
      <c r="B2392" s="451" t="str">
        <f>IFERROR(__xludf.DUMMYFUNCTION("""COMPUTED_VALUE"""),"#N/A")</f>
        <v>#N/A</v>
      </c>
    </row>
    <row r="2393">
      <c r="A2393" t="str">
        <f>IFERROR(__xludf.DUMMYFUNCTION("""COMPUTED_VALUE"""),"#N/A")</f>
        <v>#N/A</v>
      </c>
      <c r="B2393" s="451" t="str">
        <f>IFERROR(__xludf.DUMMYFUNCTION("""COMPUTED_VALUE"""),"#N/A")</f>
        <v>#N/A</v>
      </c>
    </row>
    <row r="2394">
      <c r="A2394" t="str">
        <f>IFERROR(__xludf.DUMMYFUNCTION("""COMPUTED_VALUE"""),"#N/A")</f>
        <v>#N/A</v>
      </c>
      <c r="B2394" s="451" t="str">
        <f>IFERROR(__xludf.DUMMYFUNCTION("""COMPUTED_VALUE"""),"#N/A")</f>
        <v>#N/A</v>
      </c>
    </row>
    <row r="2395">
      <c r="A2395" t="str">
        <f>IFERROR(__xludf.DUMMYFUNCTION("""COMPUTED_VALUE"""),"#N/A")</f>
        <v>#N/A</v>
      </c>
      <c r="B2395" s="451" t="str">
        <f>IFERROR(__xludf.DUMMYFUNCTION("""COMPUTED_VALUE"""),"#N/A")</f>
        <v>#N/A</v>
      </c>
    </row>
    <row r="2396">
      <c r="A2396" t="str">
        <f>IFERROR(__xludf.DUMMYFUNCTION("""COMPUTED_VALUE"""),"#N/A")</f>
        <v>#N/A</v>
      </c>
      <c r="B2396" s="451" t="str">
        <f>IFERROR(__xludf.DUMMYFUNCTION("""COMPUTED_VALUE"""),"#N/A")</f>
        <v>#N/A</v>
      </c>
    </row>
    <row r="2397">
      <c r="A2397" t="str">
        <f>IFERROR(__xludf.DUMMYFUNCTION("""COMPUTED_VALUE"""),"#N/A")</f>
        <v>#N/A</v>
      </c>
      <c r="B2397" s="451" t="str">
        <f>IFERROR(__xludf.DUMMYFUNCTION("""COMPUTED_VALUE"""),"#N/A")</f>
        <v>#N/A</v>
      </c>
    </row>
    <row r="2398">
      <c r="A2398" t="str">
        <f>IFERROR(__xludf.DUMMYFUNCTION("""COMPUTED_VALUE"""),"#N/A")</f>
        <v>#N/A</v>
      </c>
      <c r="B2398" s="451" t="str">
        <f>IFERROR(__xludf.DUMMYFUNCTION("""COMPUTED_VALUE"""),"#N/A")</f>
        <v>#N/A</v>
      </c>
    </row>
    <row r="2399">
      <c r="A2399" t="str">
        <f>IFERROR(__xludf.DUMMYFUNCTION("""COMPUTED_VALUE"""),"#N/A")</f>
        <v>#N/A</v>
      </c>
      <c r="B2399" s="451" t="str">
        <f>IFERROR(__xludf.DUMMYFUNCTION("""COMPUTED_VALUE"""),"#N/A")</f>
        <v>#N/A</v>
      </c>
    </row>
    <row r="2400">
      <c r="A2400" t="str">
        <f>IFERROR(__xludf.DUMMYFUNCTION("""COMPUTED_VALUE"""),"#N/A")</f>
        <v>#N/A</v>
      </c>
      <c r="B2400" s="451" t="str">
        <f>IFERROR(__xludf.DUMMYFUNCTION("""COMPUTED_VALUE"""),"#N/A")</f>
        <v>#N/A</v>
      </c>
    </row>
    <row r="2401">
      <c r="A2401" t="str">
        <f>IFERROR(__xludf.DUMMYFUNCTION("""COMPUTED_VALUE"""),"#N/A")</f>
        <v>#N/A</v>
      </c>
      <c r="B2401" s="451" t="str">
        <f>IFERROR(__xludf.DUMMYFUNCTION("""COMPUTED_VALUE"""),"#N/A")</f>
        <v>#N/A</v>
      </c>
    </row>
    <row r="2402">
      <c r="A2402" t="str">
        <f>IFERROR(__xludf.DUMMYFUNCTION("""COMPUTED_VALUE"""),"#N/A")</f>
        <v>#N/A</v>
      </c>
      <c r="B2402" s="451" t="str">
        <f>IFERROR(__xludf.DUMMYFUNCTION("""COMPUTED_VALUE"""),"#N/A")</f>
        <v>#N/A</v>
      </c>
    </row>
    <row r="2403">
      <c r="A2403" t="str">
        <f>IFERROR(__xludf.DUMMYFUNCTION("""COMPUTED_VALUE"""),"#N/A")</f>
        <v>#N/A</v>
      </c>
      <c r="B2403" s="451" t="str">
        <f>IFERROR(__xludf.DUMMYFUNCTION("""COMPUTED_VALUE"""),"#N/A")</f>
        <v>#N/A</v>
      </c>
    </row>
    <row r="2404">
      <c r="A2404" t="str">
        <f>IFERROR(__xludf.DUMMYFUNCTION("""COMPUTED_VALUE"""),"#N/A")</f>
        <v>#N/A</v>
      </c>
      <c r="B2404" s="451" t="str">
        <f>IFERROR(__xludf.DUMMYFUNCTION("""COMPUTED_VALUE"""),"#N/A")</f>
        <v>#N/A</v>
      </c>
    </row>
    <row r="2405">
      <c r="A2405" t="str">
        <f>IFERROR(__xludf.DUMMYFUNCTION("""COMPUTED_VALUE"""),"#N/A")</f>
        <v>#N/A</v>
      </c>
      <c r="B2405" s="451" t="str">
        <f>IFERROR(__xludf.DUMMYFUNCTION("""COMPUTED_VALUE"""),"#N/A")</f>
        <v>#N/A</v>
      </c>
    </row>
    <row r="2406">
      <c r="A2406" t="str">
        <f>IFERROR(__xludf.DUMMYFUNCTION("""COMPUTED_VALUE"""),"#N/A")</f>
        <v>#N/A</v>
      </c>
      <c r="B2406" s="451" t="str">
        <f>IFERROR(__xludf.DUMMYFUNCTION("""COMPUTED_VALUE"""),"#N/A")</f>
        <v>#N/A</v>
      </c>
    </row>
    <row r="2407">
      <c r="A2407" t="str">
        <f>IFERROR(__xludf.DUMMYFUNCTION("""COMPUTED_VALUE"""),"#N/A")</f>
        <v>#N/A</v>
      </c>
      <c r="B2407" s="451" t="str">
        <f>IFERROR(__xludf.DUMMYFUNCTION("""COMPUTED_VALUE"""),"#N/A")</f>
        <v>#N/A</v>
      </c>
    </row>
    <row r="2408">
      <c r="A2408" t="str">
        <f>IFERROR(__xludf.DUMMYFUNCTION("""COMPUTED_VALUE"""),"#N/A")</f>
        <v>#N/A</v>
      </c>
      <c r="B2408" s="451" t="str">
        <f>IFERROR(__xludf.DUMMYFUNCTION("""COMPUTED_VALUE"""),"#N/A")</f>
        <v>#N/A</v>
      </c>
    </row>
    <row r="2409">
      <c r="A2409" t="str">
        <f>IFERROR(__xludf.DUMMYFUNCTION("""COMPUTED_VALUE"""),"#N/A")</f>
        <v>#N/A</v>
      </c>
      <c r="B2409" s="451" t="str">
        <f>IFERROR(__xludf.DUMMYFUNCTION("""COMPUTED_VALUE"""),"#N/A")</f>
        <v>#N/A</v>
      </c>
    </row>
    <row r="2410">
      <c r="A2410" t="str">
        <f>IFERROR(__xludf.DUMMYFUNCTION("""COMPUTED_VALUE"""),"#N/A")</f>
        <v>#N/A</v>
      </c>
      <c r="B2410" s="451" t="str">
        <f>IFERROR(__xludf.DUMMYFUNCTION("""COMPUTED_VALUE"""),"#N/A")</f>
        <v>#N/A</v>
      </c>
    </row>
    <row r="2411">
      <c r="A2411" t="str">
        <f>IFERROR(__xludf.DUMMYFUNCTION("""COMPUTED_VALUE"""),"#N/A")</f>
        <v>#N/A</v>
      </c>
      <c r="B2411" s="451" t="str">
        <f>IFERROR(__xludf.DUMMYFUNCTION("""COMPUTED_VALUE"""),"#N/A")</f>
        <v>#N/A</v>
      </c>
    </row>
    <row r="2412">
      <c r="A2412" t="str">
        <f>IFERROR(__xludf.DUMMYFUNCTION("""COMPUTED_VALUE"""),"#N/A")</f>
        <v>#N/A</v>
      </c>
      <c r="B2412" s="451" t="str">
        <f>IFERROR(__xludf.DUMMYFUNCTION("""COMPUTED_VALUE"""),"#N/A")</f>
        <v>#N/A</v>
      </c>
    </row>
    <row r="2413">
      <c r="A2413" t="str">
        <f>IFERROR(__xludf.DUMMYFUNCTION("""COMPUTED_VALUE"""),"#N/A")</f>
        <v>#N/A</v>
      </c>
      <c r="B2413" s="451" t="str">
        <f>IFERROR(__xludf.DUMMYFUNCTION("""COMPUTED_VALUE"""),"#N/A")</f>
        <v>#N/A</v>
      </c>
    </row>
    <row r="2414">
      <c r="A2414" t="str">
        <f>IFERROR(__xludf.DUMMYFUNCTION("""COMPUTED_VALUE"""),"#N/A")</f>
        <v>#N/A</v>
      </c>
      <c r="B2414" s="451" t="str">
        <f>IFERROR(__xludf.DUMMYFUNCTION("""COMPUTED_VALUE"""),"#N/A")</f>
        <v>#N/A</v>
      </c>
    </row>
    <row r="2415">
      <c r="A2415" t="str">
        <f>IFERROR(__xludf.DUMMYFUNCTION("""COMPUTED_VALUE"""),"#N/A")</f>
        <v>#N/A</v>
      </c>
      <c r="B2415" s="451" t="str">
        <f>IFERROR(__xludf.DUMMYFUNCTION("""COMPUTED_VALUE"""),"#N/A")</f>
        <v>#N/A</v>
      </c>
    </row>
    <row r="2416">
      <c r="A2416" t="str">
        <f>IFERROR(__xludf.DUMMYFUNCTION("""COMPUTED_VALUE"""),"#N/A")</f>
        <v>#N/A</v>
      </c>
      <c r="B2416" s="451" t="str">
        <f>IFERROR(__xludf.DUMMYFUNCTION("""COMPUTED_VALUE"""),"#N/A")</f>
        <v>#N/A</v>
      </c>
    </row>
    <row r="2417">
      <c r="A2417" t="str">
        <f>IFERROR(__xludf.DUMMYFUNCTION("""COMPUTED_VALUE"""),"#N/A")</f>
        <v>#N/A</v>
      </c>
      <c r="B2417" s="451" t="str">
        <f>IFERROR(__xludf.DUMMYFUNCTION("""COMPUTED_VALUE"""),"#N/A")</f>
        <v>#N/A</v>
      </c>
    </row>
    <row r="2418">
      <c r="A2418" t="str">
        <f>IFERROR(__xludf.DUMMYFUNCTION("""COMPUTED_VALUE"""),"#N/A")</f>
        <v>#N/A</v>
      </c>
      <c r="B2418" s="451" t="str">
        <f>IFERROR(__xludf.DUMMYFUNCTION("""COMPUTED_VALUE"""),"#N/A")</f>
        <v>#N/A</v>
      </c>
    </row>
    <row r="2419">
      <c r="A2419" t="str">
        <f>IFERROR(__xludf.DUMMYFUNCTION("""COMPUTED_VALUE"""),"#N/A")</f>
        <v>#N/A</v>
      </c>
      <c r="B2419" s="451" t="str">
        <f>IFERROR(__xludf.DUMMYFUNCTION("""COMPUTED_VALUE"""),"#N/A")</f>
        <v>#N/A</v>
      </c>
    </row>
    <row r="2420">
      <c r="A2420" t="str">
        <f>IFERROR(__xludf.DUMMYFUNCTION("""COMPUTED_VALUE"""),"#N/A")</f>
        <v>#N/A</v>
      </c>
      <c r="B2420" s="451" t="str">
        <f>IFERROR(__xludf.DUMMYFUNCTION("""COMPUTED_VALUE"""),"#N/A")</f>
        <v>#N/A</v>
      </c>
    </row>
    <row r="2421">
      <c r="A2421" t="str">
        <f>IFERROR(__xludf.DUMMYFUNCTION("""COMPUTED_VALUE"""),"#N/A")</f>
        <v>#N/A</v>
      </c>
      <c r="B2421" s="451" t="str">
        <f>IFERROR(__xludf.DUMMYFUNCTION("""COMPUTED_VALUE"""),"#N/A")</f>
        <v>#N/A</v>
      </c>
    </row>
    <row r="2422">
      <c r="A2422" t="str">
        <f>IFERROR(__xludf.DUMMYFUNCTION("""COMPUTED_VALUE"""),"#N/A")</f>
        <v>#N/A</v>
      </c>
      <c r="B2422" s="451" t="str">
        <f>IFERROR(__xludf.DUMMYFUNCTION("""COMPUTED_VALUE"""),"#N/A")</f>
        <v>#N/A</v>
      </c>
    </row>
    <row r="2423">
      <c r="A2423" t="str">
        <f>IFERROR(__xludf.DUMMYFUNCTION("""COMPUTED_VALUE"""),"#N/A")</f>
        <v>#N/A</v>
      </c>
      <c r="B2423" s="451" t="str">
        <f>IFERROR(__xludf.DUMMYFUNCTION("""COMPUTED_VALUE"""),"#N/A")</f>
        <v>#N/A</v>
      </c>
    </row>
    <row r="2424">
      <c r="A2424" t="str">
        <f>IFERROR(__xludf.DUMMYFUNCTION("""COMPUTED_VALUE"""),"#N/A")</f>
        <v>#N/A</v>
      </c>
      <c r="B2424" s="451" t="str">
        <f>IFERROR(__xludf.DUMMYFUNCTION("""COMPUTED_VALUE"""),"#N/A")</f>
        <v>#N/A</v>
      </c>
    </row>
    <row r="2425">
      <c r="A2425" t="str">
        <f>IFERROR(__xludf.DUMMYFUNCTION("""COMPUTED_VALUE"""),"#N/A")</f>
        <v>#N/A</v>
      </c>
      <c r="B2425" s="451" t="str">
        <f>IFERROR(__xludf.DUMMYFUNCTION("""COMPUTED_VALUE"""),"#N/A")</f>
        <v>#N/A</v>
      </c>
    </row>
    <row r="2426">
      <c r="A2426" t="str">
        <f>IFERROR(__xludf.DUMMYFUNCTION("""COMPUTED_VALUE"""),"#N/A")</f>
        <v>#N/A</v>
      </c>
      <c r="B2426" s="451" t="str">
        <f>IFERROR(__xludf.DUMMYFUNCTION("""COMPUTED_VALUE"""),"#N/A")</f>
        <v>#N/A</v>
      </c>
    </row>
    <row r="2427">
      <c r="A2427" t="str">
        <f>IFERROR(__xludf.DUMMYFUNCTION("""COMPUTED_VALUE"""),"#N/A")</f>
        <v>#N/A</v>
      </c>
      <c r="B2427" s="451" t="str">
        <f>IFERROR(__xludf.DUMMYFUNCTION("""COMPUTED_VALUE"""),"#N/A")</f>
        <v>#N/A</v>
      </c>
    </row>
    <row r="2428">
      <c r="A2428" t="str">
        <f>IFERROR(__xludf.DUMMYFUNCTION("""COMPUTED_VALUE"""),"#N/A")</f>
        <v>#N/A</v>
      </c>
      <c r="B2428" s="451" t="str">
        <f>IFERROR(__xludf.DUMMYFUNCTION("""COMPUTED_VALUE"""),"#N/A")</f>
        <v>#N/A</v>
      </c>
    </row>
    <row r="2429">
      <c r="A2429" t="str">
        <f>IFERROR(__xludf.DUMMYFUNCTION("""COMPUTED_VALUE"""),"#N/A")</f>
        <v>#N/A</v>
      </c>
      <c r="B2429" s="451" t="str">
        <f>IFERROR(__xludf.DUMMYFUNCTION("""COMPUTED_VALUE"""),"#N/A")</f>
        <v>#N/A</v>
      </c>
    </row>
    <row r="2430">
      <c r="A2430" t="str">
        <f>IFERROR(__xludf.DUMMYFUNCTION("""COMPUTED_VALUE"""),"#N/A")</f>
        <v>#N/A</v>
      </c>
      <c r="B2430" s="451" t="str">
        <f>IFERROR(__xludf.DUMMYFUNCTION("""COMPUTED_VALUE"""),"#N/A")</f>
        <v>#N/A</v>
      </c>
    </row>
    <row r="2431">
      <c r="A2431" t="str">
        <f>IFERROR(__xludf.DUMMYFUNCTION("""COMPUTED_VALUE"""),"#N/A")</f>
        <v>#N/A</v>
      </c>
      <c r="B2431" s="451" t="str">
        <f>IFERROR(__xludf.DUMMYFUNCTION("""COMPUTED_VALUE"""),"#N/A")</f>
        <v>#N/A</v>
      </c>
    </row>
    <row r="2432">
      <c r="A2432" t="str">
        <f>IFERROR(__xludf.DUMMYFUNCTION("""COMPUTED_VALUE"""),"#N/A")</f>
        <v>#N/A</v>
      </c>
      <c r="B2432" s="451" t="str">
        <f>IFERROR(__xludf.DUMMYFUNCTION("""COMPUTED_VALUE"""),"#N/A")</f>
        <v>#N/A</v>
      </c>
    </row>
    <row r="2433">
      <c r="A2433" t="str">
        <f>IFERROR(__xludf.DUMMYFUNCTION("""COMPUTED_VALUE"""),"#N/A")</f>
        <v>#N/A</v>
      </c>
      <c r="B2433" s="451" t="str">
        <f>IFERROR(__xludf.DUMMYFUNCTION("""COMPUTED_VALUE"""),"#N/A")</f>
        <v>#N/A</v>
      </c>
    </row>
    <row r="2434">
      <c r="A2434" t="str">
        <f>IFERROR(__xludf.DUMMYFUNCTION("""COMPUTED_VALUE"""),"#N/A")</f>
        <v>#N/A</v>
      </c>
      <c r="B2434" s="451" t="str">
        <f>IFERROR(__xludf.DUMMYFUNCTION("""COMPUTED_VALUE"""),"#N/A")</f>
        <v>#N/A</v>
      </c>
    </row>
    <row r="2435">
      <c r="A2435" t="str">
        <f>IFERROR(__xludf.DUMMYFUNCTION("""COMPUTED_VALUE"""),"#N/A")</f>
        <v>#N/A</v>
      </c>
      <c r="B2435" s="451" t="str">
        <f>IFERROR(__xludf.DUMMYFUNCTION("""COMPUTED_VALUE"""),"#N/A")</f>
        <v>#N/A</v>
      </c>
    </row>
    <row r="2436">
      <c r="A2436" t="str">
        <f>IFERROR(__xludf.DUMMYFUNCTION("""COMPUTED_VALUE"""),"#N/A")</f>
        <v>#N/A</v>
      </c>
      <c r="B2436" s="451" t="str">
        <f>IFERROR(__xludf.DUMMYFUNCTION("""COMPUTED_VALUE"""),"#N/A")</f>
        <v>#N/A</v>
      </c>
    </row>
    <row r="2437">
      <c r="A2437" t="str">
        <f>IFERROR(__xludf.DUMMYFUNCTION("""COMPUTED_VALUE"""),"#N/A")</f>
        <v>#N/A</v>
      </c>
      <c r="B2437" s="451" t="str">
        <f>IFERROR(__xludf.DUMMYFUNCTION("""COMPUTED_VALUE"""),"#N/A")</f>
        <v>#N/A</v>
      </c>
    </row>
    <row r="2438">
      <c r="A2438" t="str">
        <f>IFERROR(__xludf.DUMMYFUNCTION("""COMPUTED_VALUE"""),"#N/A")</f>
        <v>#N/A</v>
      </c>
      <c r="B2438" s="451" t="str">
        <f>IFERROR(__xludf.DUMMYFUNCTION("""COMPUTED_VALUE"""),"#N/A")</f>
        <v>#N/A</v>
      </c>
    </row>
    <row r="2439">
      <c r="A2439" t="str">
        <f>IFERROR(__xludf.DUMMYFUNCTION("""COMPUTED_VALUE"""),"#N/A")</f>
        <v>#N/A</v>
      </c>
      <c r="B2439" s="451" t="str">
        <f>IFERROR(__xludf.DUMMYFUNCTION("""COMPUTED_VALUE"""),"#N/A")</f>
        <v>#N/A</v>
      </c>
    </row>
    <row r="2440">
      <c r="A2440" t="str">
        <f>IFERROR(__xludf.DUMMYFUNCTION("""COMPUTED_VALUE"""),"#N/A")</f>
        <v>#N/A</v>
      </c>
      <c r="B2440" s="451" t="str">
        <f>IFERROR(__xludf.DUMMYFUNCTION("""COMPUTED_VALUE"""),"#N/A")</f>
        <v>#N/A</v>
      </c>
    </row>
    <row r="2441">
      <c r="A2441" t="str">
        <f>IFERROR(__xludf.DUMMYFUNCTION("""COMPUTED_VALUE"""),"#N/A")</f>
        <v>#N/A</v>
      </c>
      <c r="B2441" s="451" t="str">
        <f>IFERROR(__xludf.DUMMYFUNCTION("""COMPUTED_VALUE"""),"#N/A")</f>
        <v>#N/A</v>
      </c>
    </row>
    <row r="2442">
      <c r="A2442" t="str">
        <f>IFERROR(__xludf.DUMMYFUNCTION("""COMPUTED_VALUE"""),"#N/A")</f>
        <v>#N/A</v>
      </c>
      <c r="B2442" s="451" t="str">
        <f>IFERROR(__xludf.DUMMYFUNCTION("""COMPUTED_VALUE"""),"#N/A")</f>
        <v>#N/A</v>
      </c>
    </row>
    <row r="2443">
      <c r="A2443" t="str">
        <f>IFERROR(__xludf.DUMMYFUNCTION("""COMPUTED_VALUE"""),"#N/A")</f>
        <v>#N/A</v>
      </c>
      <c r="B2443" s="451" t="str">
        <f>IFERROR(__xludf.DUMMYFUNCTION("""COMPUTED_VALUE"""),"#N/A")</f>
        <v>#N/A</v>
      </c>
    </row>
    <row r="2444">
      <c r="A2444" t="str">
        <f>IFERROR(__xludf.DUMMYFUNCTION("""COMPUTED_VALUE"""),"#N/A")</f>
        <v>#N/A</v>
      </c>
      <c r="B2444" s="451" t="str">
        <f>IFERROR(__xludf.DUMMYFUNCTION("""COMPUTED_VALUE"""),"#N/A")</f>
        <v>#N/A</v>
      </c>
    </row>
    <row r="2445">
      <c r="A2445" t="str">
        <f>IFERROR(__xludf.DUMMYFUNCTION("""COMPUTED_VALUE"""),"#N/A")</f>
        <v>#N/A</v>
      </c>
      <c r="B2445" s="451" t="str">
        <f>IFERROR(__xludf.DUMMYFUNCTION("""COMPUTED_VALUE"""),"#N/A")</f>
        <v>#N/A</v>
      </c>
    </row>
    <row r="2446">
      <c r="A2446" t="str">
        <f>IFERROR(__xludf.DUMMYFUNCTION("""COMPUTED_VALUE"""),"#N/A")</f>
        <v>#N/A</v>
      </c>
      <c r="B2446" s="451" t="str">
        <f>IFERROR(__xludf.DUMMYFUNCTION("""COMPUTED_VALUE"""),"#N/A")</f>
        <v>#N/A</v>
      </c>
    </row>
    <row r="2447">
      <c r="A2447" t="str">
        <f>IFERROR(__xludf.DUMMYFUNCTION("""COMPUTED_VALUE"""),"#N/A")</f>
        <v>#N/A</v>
      </c>
      <c r="B2447" s="451" t="str">
        <f>IFERROR(__xludf.DUMMYFUNCTION("""COMPUTED_VALUE"""),"#N/A")</f>
        <v>#N/A</v>
      </c>
    </row>
    <row r="2448">
      <c r="A2448" t="str">
        <f>IFERROR(__xludf.DUMMYFUNCTION("""COMPUTED_VALUE"""),"#N/A")</f>
        <v>#N/A</v>
      </c>
      <c r="B2448" s="451" t="str">
        <f>IFERROR(__xludf.DUMMYFUNCTION("""COMPUTED_VALUE"""),"#N/A")</f>
        <v>#N/A</v>
      </c>
    </row>
    <row r="2449">
      <c r="A2449" t="str">
        <f>IFERROR(__xludf.DUMMYFUNCTION("""COMPUTED_VALUE"""),"#N/A")</f>
        <v>#N/A</v>
      </c>
      <c r="B2449" s="451" t="str">
        <f>IFERROR(__xludf.DUMMYFUNCTION("""COMPUTED_VALUE"""),"#N/A")</f>
        <v>#N/A</v>
      </c>
    </row>
    <row r="2450">
      <c r="A2450" t="str">
        <f>IFERROR(__xludf.DUMMYFUNCTION("""COMPUTED_VALUE"""),"#N/A")</f>
        <v>#N/A</v>
      </c>
      <c r="B2450" s="451" t="str">
        <f>IFERROR(__xludf.DUMMYFUNCTION("""COMPUTED_VALUE"""),"#N/A")</f>
        <v>#N/A</v>
      </c>
    </row>
    <row r="2451">
      <c r="A2451" t="str">
        <f>IFERROR(__xludf.DUMMYFUNCTION("""COMPUTED_VALUE"""),"#N/A")</f>
        <v>#N/A</v>
      </c>
      <c r="B2451" s="451" t="str">
        <f>IFERROR(__xludf.DUMMYFUNCTION("""COMPUTED_VALUE"""),"#N/A")</f>
        <v>#N/A</v>
      </c>
    </row>
    <row r="2452">
      <c r="A2452" t="str">
        <f>IFERROR(__xludf.DUMMYFUNCTION("""COMPUTED_VALUE"""),"#N/A")</f>
        <v>#N/A</v>
      </c>
      <c r="B2452" s="451" t="str">
        <f>IFERROR(__xludf.DUMMYFUNCTION("""COMPUTED_VALUE"""),"#N/A")</f>
        <v>#N/A</v>
      </c>
    </row>
    <row r="2453">
      <c r="A2453" t="str">
        <f>IFERROR(__xludf.DUMMYFUNCTION("""COMPUTED_VALUE"""),"#N/A")</f>
        <v>#N/A</v>
      </c>
      <c r="B2453" s="451" t="str">
        <f>IFERROR(__xludf.DUMMYFUNCTION("""COMPUTED_VALUE"""),"#N/A")</f>
        <v>#N/A</v>
      </c>
    </row>
    <row r="2454">
      <c r="A2454" t="str">
        <f>IFERROR(__xludf.DUMMYFUNCTION("""COMPUTED_VALUE"""),"#N/A")</f>
        <v>#N/A</v>
      </c>
      <c r="B2454" s="451" t="str">
        <f>IFERROR(__xludf.DUMMYFUNCTION("""COMPUTED_VALUE"""),"#N/A")</f>
        <v>#N/A</v>
      </c>
    </row>
    <row r="2455">
      <c r="A2455" t="str">
        <f>IFERROR(__xludf.DUMMYFUNCTION("""COMPUTED_VALUE"""),"#N/A")</f>
        <v>#N/A</v>
      </c>
      <c r="B2455" s="451" t="str">
        <f>IFERROR(__xludf.DUMMYFUNCTION("""COMPUTED_VALUE"""),"#N/A")</f>
        <v>#N/A</v>
      </c>
    </row>
    <row r="2456">
      <c r="A2456" t="str">
        <f>IFERROR(__xludf.DUMMYFUNCTION("""COMPUTED_VALUE"""),"#N/A")</f>
        <v>#N/A</v>
      </c>
      <c r="B2456" s="451" t="str">
        <f>IFERROR(__xludf.DUMMYFUNCTION("""COMPUTED_VALUE"""),"#N/A")</f>
        <v>#N/A</v>
      </c>
    </row>
    <row r="2457">
      <c r="A2457" t="str">
        <f>IFERROR(__xludf.DUMMYFUNCTION("""COMPUTED_VALUE"""),"#N/A")</f>
        <v>#N/A</v>
      </c>
      <c r="B2457" s="451" t="str">
        <f>IFERROR(__xludf.DUMMYFUNCTION("""COMPUTED_VALUE"""),"#N/A")</f>
        <v>#N/A</v>
      </c>
    </row>
    <row r="2458">
      <c r="A2458" t="str">
        <f>IFERROR(__xludf.DUMMYFUNCTION("""COMPUTED_VALUE"""),"#N/A")</f>
        <v>#N/A</v>
      </c>
      <c r="B2458" s="451" t="str">
        <f>IFERROR(__xludf.DUMMYFUNCTION("""COMPUTED_VALUE"""),"#N/A")</f>
        <v>#N/A</v>
      </c>
    </row>
    <row r="2459">
      <c r="A2459" t="str">
        <f>IFERROR(__xludf.DUMMYFUNCTION("""COMPUTED_VALUE"""),"#N/A")</f>
        <v>#N/A</v>
      </c>
      <c r="B2459" s="451" t="str">
        <f>IFERROR(__xludf.DUMMYFUNCTION("""COMPUTED_VALUE"""),"#N/A")</f>
        <v>#N/A</v>
      </c>
    </row>
    <row r="2460">
      <c r="A2460" t="str">
        <f>IFERROR(__xludf.DUMMYFUNCTION("""COMPUTED_VALUE"""),"#N/A")</f>
        <v>#N/A</v>
      </c>
      <c r="B2460" s="451" t="str">
        <f>IFERROR(__xludf.DUMMYFUNCTION("""COMPUTED_VALUE"""),"#N/A")</f>
        <v>#N/A</v>
      </c>
    </row>
    <row r="2461">
      <c r="A2461" t="str">
        <f>IFERROR(__xludf.DUMMYFUNCTION("""COMPUTED_VALUE"""),"#N/A")</f>
        <v>#N/A</v>
      </c>
      <c r="B2461" s="451" t="str">
        <f>IFERROR(__xludf.DUMMYFUNCTION("""COMPUTED_VALUE"""),"#N/A")</f>
        <v>#N/A</v>
      </c>
    </row>
    <row r="2462">
      <c r="A2462" t="str">
        <f>IFERROR(__xludf.DUMMYFUNCTION("""COMPUTED_VALUE"""),"#N/A")</f>
        <v>#N/A</v>
      </c>
      <c r="B2462" s="451" t="str">
        <f>IFERROR(__xludf.DUMMYFUNCTION("""COMPUTED_VALUE"""),"#N/A")</f>
        <v>#N/A</v>
      </c>
    </row>
    <row r="2463">
      <c r="A2463" t="str">
        <f>IFERROR(__xludf.DUMMYFUNCTION("""COMPUTED_VALUE"""),"#N/A")</f>
        <v>#N/A</v>
      </c>
      <c r="B2463" s="451" t="str">
        <f>IFERROR(__xludf.DUMMYFUNCTION("""COMPUTED_VALUE"""),"#N/A")</f>
        <v>#N/A</v>
      </c>
    </row>
    <row r="2464">
      <c r="A2464" t="str">
        <f>IFERROR(__xludf.DUMMYFUNCTION("""COMPUTED_VALUE"""),"#N/A")</f>
        <v>#N/A</v>
      </c>
      <c r="B2464" s="451" t="str">
        <f>IFERROR(__xludf.DUMMYFUNCTION("""COMPUTED_VALUE"""),"#N/A")</f>
        <v>#N/A</v>
      </c>
    </row>
    <row r="2465">
      <c r="A2465" t="str">
        <f>IFERROR(__xludf.DUMMYFUNCTION("""COMPUTED_VALUE"""),"#N/A")</f>
        <v>#N/A</v>
      </c>
      <c r="B2465" s="451" t="str">
        <f>IFERROR(__xludf.DUMMYFUNCTION("""COMPUTED_VALUE"""),"#N/A")</f>
        <v>#N/A</v>
      </c>
    </row>
    <row r="2466">
      <c r="A2466" t="str">
        <f>IFERROR(__xludf.DUMMYFUNCTION("""COMPUTED_VALUE"""),"#N/A")</f>
        <v>#N/A</v>
      </c>
      <c r="B2466" s="451" t="str">
        <f>IFERROR(__xludf.DUMMYFUNCTION("""COMPUTED_VALUE"""),"#N/A")</f>
        <v>#N/A</v>
      </c>
    </row>
    <row r="2467">
      <c r="A2467" t="str">
        <f>IFERROR(__xludf.DUMMYFUNCTION("""COMPUTED_VALUE"""),"#N/A")</f>
        <v>#N/A</v>
      </c>
      <c r="B2467" s="451" t="str">
        <f>IFERROR(__xludf.DUMMYFUNCTION("""COMPUTED_VALUE"""),"#N/A")</f>
        <v>#N/A</v>
      </c>
    </row>
    <row r="2468">
      <c r="A2468" t="str">
        <f>IFERROR(__xludf.DUMMYFUNCTION("""COMPUTED_VALUE"""),"#N/A")</f>
        <v>#N/A</v>
      </c>
      <c r="B2468" s="451" t="str">
        <f>IFERROR(__xludf.DUMMYFUNCTION("""COMPUTED_VALUE"""),"#N/A")</f>
        <v>#N/A</v>
      </c>
    </row>
    <row r="2469">
      <c r="A2469" t="str">
        <f>IFERROR(__xludf.DUMMYFUNCTION("""COMPUTED_VALUE"""),"#N/A")</f>
        <v>#N/A</v>
      </c>
      <c r="B2469" s="451" t="str">
        <f>IFERROR(__xludf.DUMMYFUNCTION("""COMPUTED_VALUE"""),"#N/A")</f>
        <v>#N/A</v>
      </c>
    </row>
    <row r="2470">
      <c r="A2470" t="str">
        <f>IFERROR(__xludf.DUMMYFUNCTION("""COMPUTED_VALUE"""),"#N/A")</f>
        <v>#N/A</v>
      </c>
      <c r="B2470" s="451" t="str">
        <f>IFERROR(__xludf.DUMMYFUNCTION("""COMPUTED_VALUE"""),"#N/A")</f>
        <v>#N/A</v>
      </c>
    </row>
    <row r="2471">
      <c r="A2471" t="str">
        <f>IFERROR(__xludf.DUMMYFUNCTION("""COMPUTED_VALUE"""),"#N/A")</f>
        <v>#N/A</v>
      </c>
      <c r="B2471" s="451" t="str">
        <f>IFERROR(__xludf.DUMMYFUNCTION("""COMPUTED_VALUE"""),"#N/A")</f>
        <v>#N/A</v>
      </c>
    </row>
    <row r="2472">
      <c r="A2472" t="str">
        <f>IFERROR(__xludf.DUMMYFUNCTION("""COMPUTED_VALUE"""),"#N/A")</f>
        <v>#N/A</v>
      </c>
      <c r="B2472" s="451" t="str">
        <f>IFERROR(__xludf.DUMMYFUNCTION("""COMPUTED_VALUE"""),"#N/A")</f>
        <v>#N/A</v>
      </c>
    </row>
    <row r="2473">
      <c r="A2473" t="str">
        <f>IFERROR(__xludf.DUMMYFUNCTION("""COMPUTED_VALUE"""),"#N/A")</f>
        <v>#N/A</v>
      </c>
      <c r="B2473" s="451" t="str">
        <f>IFERROR(__xludf.DUMMYFUNCTION("""COMPUTED_VALUE"""),"#N/A")</f>
        <v>#N/A</v>
      </c>
    </row>
    <row r="2474">
      <c r="A2474" t="str">
        <f>IFERROR(__xludf.DUMMYFUNCTION("""COMPUTED_VALUE"""),"#N/A")</f>
        <v>#N/A</v>
      </c>
      <c r="B2474" s="451" t="str">
        <f>IFERROR(__xludf.DUMMYFUNCTION("""COMPUTED_VALUE"""),"#N/A")</f>
        <v>#N/A</v>
      </c>
    </row>
    <row r="2475">
      <c r="A2475" t="str">
        <f>IFERROR(__xludf.DUMMYFUNCTION("""COMPUTED_VALUE"""),"#N/A")</f>
        <v>#N/A</v>
      </c>
      <c r="B2475" s="451" t="str">
        <f>IFERROR(__xludf.DUMMYFUNCTION("""COMPUTED_VALUE"""),"#N/A")</f>
        <v>#N/A</v>
      </c>
    </row>
    <row r="2476">
      <c r="A2476" t="str">
        <f>IFERROR(__xludf.DUMMYFUNCTION("""COMPUTED_VALUE"""),"#N/A")</f>
        <v>#N/A</v>
      </c>
      <c r="B2476" s="451" t="str">
        <f>IFERROR(__xludf.DUMMYFUNCTION("""COMPUTED_VALUE"""),"#N/A")</f>
        <v>#N/A</v>
      </c>
    </row>
    <row r="2477">
      <c r="A2477" t="str">
        <f>IFERROR(__xludf.DUMMYFUNCTION("""COMPUTED_VALUE"""),"#N/A")</f>
        <v>#N/A</v>
      </c>
      <c r="B2477" s="451" t="str">
        <f>IFERROR(__xludf.DUMMYFUNCTION("""COMPUTED_VALUE"""),"#N/A")</f>
        <v>#N/A</v>
      </c>
    </row>
    <row r="2478">
      <c r="A2478" t="str">
        <f>IFERROR(__xludf.DUMMYFUNCTION("""COMPUTED_VALUE"""),"#N/A")</f>
        <v>#N/A</v>
      </c>
      <c r="B2478" s="451" t="str">
        <f>IFERROR(__xludf.DUMMYFUNCTION("""COMPUTED_VALUE"""),"#N/A")</f>
        <v>#N/A</v>
      </c>
    </row>
    <row r="2479">
      <c r="A2479" t="str">
        <f>IFERROR(__xludf.DUMMYFUNCTION("""COMPUTED_VALUE"""),"#N/A")</f>
        <v>#N/A</v>
      </c>
      <c r="B2479" s="451" t="str">
        <f>IFERROR(__xludf.DUMMYFUNCTION("""COMPUTED_VALUE"""),"#N/A")</f>
        <v>#N/A</v>
      </c>
    </row>
    <row r="2480">
      <c r="A2480" t="str">
        <f>IFERROR(__xludf.DUMMYFUNCTION("""COMPUTED_VALUE"""),"#N/A")</f>
        <v>#N/A</v>
      </c>
      <c r="B2480" s="451" t="str">
        <f>IFERROR(__xludf.DUMMYFUNCTION("""COMPUTED_VALUE"""),"#N/A")</f>
        <v>#N/A</v>
      </c>
    </row>
    <row r="2481">
      <c r="A2481" t="str">
        <f>IFERROR(__xludf.DUMMYFUNCTION("""COMPUTED_VALUE"""),"#N/A")</f>
        <v>#N/A</v>
      </c>
      <c r="B2481" s="451" t="str">
        <f>IFERROR(__xludf.DUMMYFUNCTION("""COMPUTED_VALUE"""),"#N/A")</f>
        <v>#N/A</v>
      </c>
    </row>
    <row r="2482">
      <c r="A2482" t="str">
        <f>IFERROR(__xludf.DUMMYFUNCTION("""COMPUTED_VALUE"""),"#N/A")</f>
        <v>#N/A</v>
      </c>
      <c r="B2482" s="451" t="str">
        <f>IFERROR(__xludf.DUMMYFUNCTION("""COMPUTED_VALUE"""),"#N/A")</f>
        <v>#N/A</v>
      </c>
    </row>
    <row r="2483">
      <c r="A2483" t="str">
        <f>IFERROR(__xludf.DUMMYFUNCTION("""COMPUTED_VALUE"""),"#N/A")</f>
        <v>#N/A</v>
      </c>
      <c r="B2483" s="451" t="str">
        <f>IFERROR(__xludf.DUMMYFUNCTION("""COMPUTED_VALUE"""),"#N/A")</f>
        <v>#N/A</v>
      </c>
    </row>
    <row r="2484">
      <c r="A2484" t="str">
        <f>IFERROR(__xludf.DUMMYFUNCTION("""COMPUTED_VALUE"""),"#N/A")</f>
        <v>#N/A</v>
      </c>
      <c r="B2484" s="451" t="str">
        <f>IFERROR(__xludf.DUMMYFUNCTION("""COMPUTED_VALUE"""),"#N/A")</f>
        <v>#N/A</v>
      </c>
    </row>
    <row r="2485">
      <c r="A2485" t="str">
        <f>IFERROR(__xludf.DUMMYFUNCTION("""COMPUTED_VALUE"""),"#N/A")</f>
        <v>#N/A</v>
      </c>
      <c r="B2485" s="451" t="str">
        <f>IFERROR(__xludf.DUMMYFUNCTION("""COMPUTED_VALUE"""),"#N/A")</f>
        <v>#N/A</v>
      </c>
    </row>
    <row r="2486">
      <c r="A2486" t="str">
        <f>IFERROR(__xludf.DUMMYFUNCTION("""COMPUTED_VALUE"""),"#N/A")</f>
        <v>#N/A</v>
      </c>
      <c r="B2486" s="451" t="str">
        <f>IFERROR(__xludf.DUMMYFUNCTION("""COMPUTED_VALUE"""),"#N/A")</f>
        <v>#N/A</v>
      </c>
    </row>
    <row r="2487">
      <c r="A2487" t="str">
        <f>IFERROR(__xludf.DUMMYFUNCTION("""COMPUTED_VALUE"""),"#N/A")</f>
        <v>#N/A</v>
      </c>
      <c r="B2487" s="451" t="str">
        <f>IFERROR(__xludf.DUMMYFUNCTION("""COMPUTED_VALUE"""),"#N/A")</f>
        <v>#N/A</v>
      </c>
    </row>
    <row r="2488">
      <c r="A2488" t="str">
        <f>IFERROR(__xludf.DUMMYFUNCTION("""COMPUTED_VALUE"""),"#N/A")</f>
        <v>#N/A</v>
      </c>
      <c r="B2488" s="451" t="str">
        <f>IFERROR(__xludf.DUMMYFUNCTION("""COMPUTED_VALUE"""),"#N/A")</f>
        <v>#N/A</v>
      </c>
    </row>
    <row r="2489">
      <c r="A2489" t="str">
        <f>IFERROR(__xludf.DUMMYFUNCTION("""COMPUTED_VALUE"""),"#N/A")</f>
        <v>#N/A</v>
      </c>
      <c r="B2489" s="451" t="str">
        <f>IFERROR(__xludf.DUMMYFUNCTION("""COMPUTED_VALUE"""),"#N/A")</f>
        <v>#N/A</v>
      </c>
    </row>
    <row r="2490">
      <c r="A2490" t="str">
        <f>IFERROR(__xludf.DUMMYFUNCTION("""COMPUTED_VALUE"""),"#N/A")</f>
        <v>#N/A</v>
      </c>
      <c r="B2490" s="451" t="str">
        <f>IFERROR(__xludf.DUMMYFUNCTION("""COMPUTED_VALUE"""),"#N/A")</f>
        <v>#N/A</v>
      </c>
    </row>
    <row r="2491">
      <c r="A2491" t="str">
        <f>IFERROR(__xludf.DUMMYFUNCTION("""COMPUTED_VALUE"""),"#N/A")</f>
        <v>#N/A</v>
      </c>
      <c r="B2491" s="451" t="str">
        <f>IFERROR(__xludf.DUMMYFUNCTION("""COMPUTED_VALUE"""),"#N/A")</f>
        <v>#N/A</v>
      </c>
    </row>
    <row r="2492">
      <c r="A2492" t="str">
        <f>IFERROR(__xludf.DUMMYFUNCTION("""COMPUTED_VALUE"""),"#N/A")</f>
        <v>#N/A</v>
      </c>
      <c r="B2492" s="451" t="str">
        <f>IFERROR(__xludf.DUMMYFUNCTION("""COMPUTED_VALUE"""),"#N/A")</f>
        <v>#N/A</v>
      </c>
    </row>
    <row r="2493">
      <c r="A2493" t="str">
        <f>IFERROR(__xludf.DUMMYFUNCTION("""COMPUTED_VALUE"""),"#N/A")</f>
        <v>#N/A</v>
      </c>
      <c r="B2493" s="451" t="str">
        <f>IFERROR(__xludf.DUMMYFUNCTION("""COMPUTED_VALUE"""),"#N/A")</f>
        <v>#N/A</v>
      </c>
    </row>
    <row r="2494">
      <c r="A2494" t="str">
        <f>IFERROR(__xludf.DUMMYFUNCTION("""COMPUTED_VALUE"""),"#N/A")</f>
        <v>#N/A</v>
      </c>
      <c r="B2494" s="451" t="str">
        <f>IFERROR(__xludf.DUMMYFUNCTION("""COMPUTED_VALUE"""),"#N/A")</f>
        <v>#N/A</v>
      </c>
    </row>
    <row r="2495">
      <c r="A2495" t="str">
        <f>IFERROR(__xludf.DUMMYFUNCTION("""COMPUTED_VALUE"""),"#N/A")</f>
        <v>#N/A</v>
      </c>
      <c r="B2495" s="451" t="str">
        <f>IFERROR(__xludf.DUMMYFUNCTION("""COMPUTED_VALUE"""),"#N/A")</f>
        <v>#N/A</v>
      </c>
    </row>
    <row r="2496">
      <c r="A2496" t="str">
        <f>IFERROR(__xludf.DUMMYFUNCTION("""COMPUTED_VALUE"""),"#N/A")</f>
        <v>#N/A</v>
      </c>
      <c r="B2496" s="451" t="str">
        <f>IFERROR(__xludf.DUMMYFUNCTION("""COMPUTED_VALUE"""),"#N/A")</f>
        <v>#N/A</v>
      </c>
    </row>
    <row r="2497">
      <c r="A2497" t="str">
        <f>IFERROR(__xludf.DUMMYFUNCTION("""COMPUTED_VALUE"""),"#N/A")</f>
        <v>#N/A</v>
      </c>
      <c r="B2497" s="451" t="str">
        <f>IFERROR(__xludf.DUMMYFUNCTION("""COMPUTED_VALUE"""),"#N/A")</f>
        <v>#N/A</v>
      </c>
    </row>
    <row r="2498">
      <c r="A2498" t="str">
        <f>IFERROR(__xludf.DUMMYFUNCTION("""COMPUTED_VALUE"""),"#N/A")</f>
        <v>#N/A</v>
      </c>
      <c r="B2498" s="451" t="str">
        <f>IFERROR(__xludf.DUMMYFUNCTION("""COMPUTED_VALUE"""),"#N/A")</f>
        <v>#N/A</v>
      </c>
    </row>
    <row r="2499">
      <c r="A2499" t="str">
        <f>IFERROR(__xludf.DUMMYFUNCTION("""COMPUTED_VALUE"""),"#N/A")</f>
        <v>#N/A</v>
      </c>
      <c r="B2499" s="451" t="str">
        <f>IFERROR(__xludf.DUMMYFUNCTION("""COMPUTED_VALUE"""),"#N/A")</f>
        <v>#N/A</v>
      </c>
    </row>
    <row r="2500">
      <c r="A2500" t="str">
        <f>IFERROR(__xludf.DUMMYFUNCTION("""COMPUTED_VALUE"""),"#N/A")</f>
        <v>#N/A</v>
      </c>
      <c r="B2500" s="451" t="str">
        <f>IFERROR(__xludf.DUMMYFUNCTION("""COMPUTED_VALUE"""),"#N/A")</f>
        <v>#N/A</v>
      </c>
    </row>
    <row r="2501">
      <c r="A2501" t="str">
        <f>IFERROR(__xludf.DUMMYFUNCTION("""COMPUTED_VALUE"""),"#N/A")</f>
        <v>#N/A</v>
      </c>
      <c r="B2501" s="451" t="str">
        <f>IFERROR(__xludf.DUMMYFUNCTION("""COMPUTED_VALUE"""),"#N/A")</f>
        <v>#N/A</v>
      </c>
    </row>
    <row r="2502">
      <c r="A2502" t="str">
        <f>IFERROR(__xludf.DUMMYFUNCTION("""COMPUTED_VALUE"""),"#N/A")</f>
        <v>#N/A</v>
      </c>
      <c r="B2502" s="451" t="str">
        <f>IFERROR(__xludf.DUMMYFUNCTION("""COMPUTED_VALUE"""),"#N/A")</f>
        <v>#N/A</v>
      </c>
    </row>
    <row r="2503">
      <c r="A2503" t="str">
        <f>IFERROR(__xludf.DUMMYFUNCTION("""COMPUTED_VALUE"""),"#N/A")</f>
        <v>#N/A</v>
      </c>
      <c r="B2503" s="451" t="str">
        <f>IFERROR(__xludf.DUMMYFUNCTION("""COMPUTED_VALUE"""),"#N/A")</f>
        <v>#N/A</v>
      </c>
    </row>
    <row r="2504">
      <c r="A2504" t="str">
        <f>IFERROR(__xludf.DUMMYFUNCTION("""COMPUTED_VALUE"""),"#N/A")</f>
        <v>#N/A</v>
      </c>
      <c r="B2504" s="451" t="str">
        <f>IFERROR(__xludf.DUMMYFUNCTION("""COMPUTED_VALUE"""),"#N/A")</f>
        <v>#N/A</v>
      </c>
    </row>
    <row r="2505">
      <c r="A2505" t="str">
        <f>IFERROR(__xludf.DUMMYFUNCTION("""COMPUTED_VALUE"""),"#N/A")</f>
        <v>#N/A</v>
      </c>
      <c r="B2505" s="451" t="str">
        <f>IFERROR(__xludf.DUMMYFUNCTION("""COMPUTED_VALUE"""),"#N/A")</f>
        <v>#N/A</v>
      </c>
    </row>
    <row r="2506">
      <c r="A2506" t="str">
        <f>IFERROR(__xludf.DUMMYFUNCTION("""COMPUTED_VALUE"""),"#N/A")</f>
        <v>#N/A</v>
      </c>
      <c r="B2506" s="451" t="str">
        <f>IFERROR(__xludf.DUMMYFUNCTION("""COMPUTED_VALUE"""),"#N/A")</f>
        <v>#N/A</v>
      </c>
    </row>
    <row r="2507">
      <c r="A2507" t="str">
        <f>IFERROR(__xludf.DUMMYFUNCTION("""COMPUTED_VALUE"""),"#N/A")</f>
        <v>#N/A</v>
      </c>
      <c r="B2507" s="451" t="str">
        <f>IFERROR(__xludf.DUMMYFUNCTION("""COMPUTED_VALUE"""),"#N/A")</f>
        <v>#N/A</v>
      </c>
    </row>
    <row r="2508">
      <c r="A2508" t="str">
        <f>IFERROR(__xludf.DUMMYFUNCTION("""COMPUTED_VALUE"""),"#N/A")</f>
        <v>#N/A</v>
      </c>
      <c r="B2508" s="451" t="str">
        <f>IFERROR(__xludf.DUMMYFUNCTION("""COMPUTED_VALUE"""),"#N/A")</f>
        <v>#N/A</v>
      </c>
    </row>
    <row r="2509">
      <c r="A2509" t="str">
        <f>IFERROR(__xludf.DUMMYFUNCTION("""COMPUTED_VALUE"""),"#N/A")</f>
        <v>#N/A</v>
      </c>
      <c r="B2509" s="451" t="str">
        <f>IFERROR(__xludf.DUMMYFUNCTION("""COMPUTED_VALUE"""),"#N/A")</f>
        <v>#N/A</v>
      </c>
    </row>
    <row r="2510">
      <c r="A2510" t="str">
        <f>IFERROR(__xludf.DUMMYFUNCTION("""COMPUTED_VALUE"""),"#N/A")</f>
        <v>#N/A</v>
      </c>
      <c r="B2510" s="451" t="str">
        <f>IFERROR(__xludf.DUMMYFUNCTION("""COMPUTED_VALUE"""),"#N/A")</f>
        <v>#N/A</v>
      </c>
    </row>
    <row r="2511">
      <c r="A2511" t="str">
        <f>IFERROR(__xludf.DUMMYFUNCTION("""COMPUTED_VALUE"""),"#N/A")</f>
        <v>#N/A</v>
      </c>
      <c r="B2511" s="451" t="str">
        <f>IFERROR(__xludf.DUMMYFUNCTION("""COMPUTED_VALUE"""),"#N/A")</f>
        <v>#N/A</v>
      </c>
    </row>
    <row r="2512">
      <c r="A2512" t="str">
        <f>IFERROR(__xludf.DUMMYFUNCTION("""COMPUTED_VALUE"""),"#N/A")</f>
        <v>#N/A</v>
      </c>
      <c r="B2512" s="451" t="str">
        <f>IFERROR(__xludf.DUMMYFUNCTION("""COMPUTED_VALUE"""),"#N/A")</f>
        <v>#N/A</v>
      </c>
    </row>
    <row r="2513">
      <c r="A2513" t="str">
        <f>IFERROR(__xludf.DUMMYFUNCTION("""COMPUTED_VALUE"""),"#N/A")</f>
        <v>#N/A</v>
      </c>
      <c r="B2513" s="451" t="str">
        <f>IFERROR(__xludf.DUMMYFUNCTION("""COMPUTED_VALUE"""),"#N/A")</f>
        <v>#N/A</v>
      </c>
    </row>
    <row r="2514">
      <c r="A2514" t="str">
        <f>IFERROR(__xludf.DUMMYFUNCTION("""COMPUTED_VALUE"""),"#N/A")</f>
        <v>#N/A</v>
      </c>
      <c r="B2514" s="451" t="str">
        <f>IFERROR(__xludf.DUMMYFUNCTION("""COMPUTED_VALUE"""),"#N/A")</f>
        <v>#N/A</v>
      </c>
    </row>
    <row r="2515">
      <c r="A2515" t="str">
        <f>IFERROR(__xludf.DUMMYFUNCTION("""COMPUTED_VALUE"""),"#N/A")</f>
        <v>#N/A</v>
      </c>
      <c r="B2515" s="451" t="str">
        <f>IFERROR(__xludf.DUMMYFUNCTION("""COMPUTED_VALUE"""),"#N/A")</f>
        <v>#N/A</v>
      </c>
    </row>
    <row r="2516">
      <c r="A2516" t="str">
        <f>IFERROR(__xludf.DUMMYFUNCTION("""COMPUTED_VALUE"""),"#N/A")</f>
        <v>#N/A</v>
      </c>
      <c r="B2516" s="451" t="str">
        <f>IFERROR(__xludf.DUMMYFUNCTION("""COMPUTED_VALUE"""),"#N/A")</f>
        <v>#N/A</v>
      </c>
    </row>
    <row r="2517">
      <c r="A2517" t="str">
        <f>IFERROR(__xludf.DUMMYFUNCTION("""COMPUTED_VALUE"""),"#N/A")</f>
        <v>#N/A</v>
      </c>
      <c r="B2517" s="451" t="str">
        <f>IFERROR(__xludf.DUMMYFUNCTION("""COMPUTED_VALUE"""),"#N/A")</f>
        <v>#N/A</v>
      </c>
    </row>
    <row r="2518">
      <c r="A2518" t="str">
        <f>IFERROR(__xludf.DUMMYFUNCTION("""COMPUTED_VALUE"""),"#N/A")</f>
        <v>#N/A</v>
      </c>
      <c r="B2518" s="451" t="str">
        <f>IFERROR(__xludf.DUMMYFUNCTION("""COMPUTED_VALUE"""),"#N/A")</f>
        <v>#N/A</v>
      </c>
    </row>
    <row r="2519">
      <c r="A2519" t="str">
        <f>IFERROR(__xludf.DUMMYFUNCTION("""COMPUTED_VALUE"""),"#N/A")</f>
        <v>#N/A</v>
      </c>
      <c r="B2519" s="451" t="str">
        <f>IFERROR(__xludf.DUMMYFUNCTION("""COMPUTED_VALUE"""),"#N/A")</f>
        <v>#N/A</v>
      </c>
    </row>
    <row r="2520">
      <c r="A2520" t="str">
        <f>IFERROR(__xludf.DUMMYFUNCTION("""COMPUTED_VALUE"""),"#N/A")</f>
        <v>#N/A</v>
      </c>
      <c r="B2520" s="451" t="str">
        <f>IFERROR(__xludf.DUMMYFUNCTION("""COMPUTED_VALUE"""),"#N/A")</f>
        <v>#N/A</v>
      </c>
    </row>
    <row r="2521">
      <c r="A2521" t="str">
        <f>IFERROR(__xludf.DUMMYFUNCTION("""COMPUTED_VALUE"""),"#N/A")</f>
        <v>#N/A</v>
      </c>
      <c r="B2521" s="451" t="str">
        <f>IFERROR(__xludf.DUMMYFUNCTION("""COMPUTED_VALUE"""),"#N/A")</f>
        <v>#N/A</v>
      </c>
    </row>
    <row r="2522">
      <c r="A2522" t="str">
        <f>IFERROR(__xludf.DUMMYFUNCTION("""COMPUTED_VALUE"""),"#N/A")</f>
        <v>#N/A</v>
      </c>
      <c r="B2522" s="451" t="str">
        <f>IFERROR(__xludf.DUMMYFUNCTION("""COMPUTED_VALUE"""),"#N/A")</f>
        <v>#N/A</v>
      </c>
    </row>
    <row r="2523">
      <c r="A2523" t="str">
        <f>IFERROR(__xludf.DUMMYFUNCTION("""COMPUTED_VALUE"""),"#N/A")</f>
        <v>#N/A</v>
      </c>
      <c r="B2523" s="451" t="str">
        <f>IFERROR(__xludf.DUMMYFUNCTION("""COMPUTED_VALUE"""),"#N/A")</f>
        <v>#N/A</v>
      </c>
    </row>
    <row r="2524">
      <c r="A2524" t="str">
        <f>IFERROR(__xludf.DUMMYFUNCTION("""COMPUTED_VALUE"""),"#N/A")</f>
        <v>#N/A</v>
      </c>
      <c r="B2524" s="451" t="str">
        <f>IFERROR(__xludf.DUMMYFUNCTION("""COMPUTED_VALUE"""),"#N/A")</f>
        <v>#N/A</v>
      </c>
    </row>
    <row r="2525">
      <c r="A2525" t="str">
        <f>IFERROR(__xludf.DUMMYFUNCTION("""COMPUTED_VALUE"""),"#N/A")</f>
        <v>#N/A</v>
      </c>
      <c r="B2525" s="451" t="str">
        <f>IFERROR(__xludf.DUMMYFUNCTION("""COMPUTED_VALUE"""),"#N/A")</f>
        <v>#N/A</v>
      </c>
    </row>
    <row r="2526">
      <c r="A2526" t="str">
        <f>IFERROR(__xludf.DUMMYFUNCTION("""COMPUTED_VALUE"""),"#N/A")</f>
        <v>#N/A</v>
      </c>
      <c r="B2526" s="451" t="str">
        <f>IFERROR(__xludf.DUMMYFUNCTION("""COMPUTED_VALUE"""),"#N/A")</f>
        <v>#N/A</v>
      </c>
    </row>
    <row r="2527">
      <c r="A2527" t="str">
        <f>IFERROR(__xludf.DUMMYFUNCTION("""COMPUTED_VALUE"""),"#N/A")</f>
        <v>#N/A</v>
      </c>
      <c r="B2527" s="451" t="str">
        <f>IFERROR(__xludf.DUMMYFUNCTION("""COMPUTED_VALUE"""),"#N/A")</f>
        <v>#N/A</v>
      </c>
    </row>
    <row r="2528">
      <c r="A2528" t="str">
        <f>IFERROR(__xludf.DUMMYFUNCTION("""COMPUTED_VALUE"""),"#N/A")</f>
        <v>#N/A</v>
      </c>
      <c r="B2528" s="451" t="str">
        <f>IFERROR(__xludf.DUMMYFUNCTION("""COMPUTED_VALUE"""),"#N/A")</f>
        <v>#N/A</v>
      </c>
    </row>
    <row r="2529">
      <c r="A2529" t="str">
        <f>IFERROR(__xludf.DUMMYFUNCTION("""COMPUTED_VALUE"""),"#N/A")</f>
        <v>#N/A</v>
      </c>
      <c r="B2529" s="451" t="str">
        <f>IFERROR(__xludf.DUMMYFUNCTION("""COMPUTED_VALUE"""),"#N/A")</f>
        <v>#N/A</v>
      </c>
    </row>
    <row r="2530">
      <c r="A2530" t="str">
        <f>IFERROR(__xludf.DUMMYFUNCTION("""COMPUTED_VALUE"""),"#N/A")</f>
        <v>#N/A</v>
      </c>
      <c r="B2530" s="451" t="str">
        <f>IFERROR(__xludf.DUMMYFUNCTION("""COMPUTED_VALUE"""),"#N/A")</f>
        <v>#N/A</v>
      </c>
    </row>
    <row r="2531">
      <c r="A2531" t="str">
        <f>IFERROR(__xludf.DUMMYFUNCTION("""COMPUTED_VALUE"""),"#N/A")</f>
        <v>#N/A</v>
      </c>
      <c r="B2531" s="451" t="str">
        <f>IFERROR(__xludf.DUMMYFUNCTION("""COMPUTED_VALUE"""),"#N/A")</f>
        <v>#N/A</v>
      </c>
    </row>
    <row r="2532">
      <c r="A2532" t="str">
        <f>IFERROR(__xludf.DUMMYFUNCTION("""COMPUTED_VALUE"""),"#N/A")</f>
        <v>#N/A</v>
      </c>
      <c r="B2532" s="451" t="str">
        <f>IFERROR(__xludf.DUMMYFUNCTION("""COMPUTED_VALUE"""),"#N/A")</f>
        <v>#N/A</v>
      </c>
    </row>
    <row r="2533">
      <c r="A2533" t="str">
        <f>IFERROR(__xludf.DUMMYFUNCTION("""COMPUTED_VALUE"""),"#N/A")</f>
        <v>#N/A</v>
      </c>
      <c r="B2533" s="451" t="str">
        <f>IFERROR(__xludf.DUMMYFUNCTION("""COMPUTED_VALUE"""),"#N/A")</f>
        <v>#N/A</v>
      </c>
    </row>
    <row r="2534">
      <c r="A2534" t="str">
        <f>IFERROR(__xludf.DUMMYFUNCTION("""COMPUTED_VALUE"""),"#N/A")</f>
        <v>#N/A</v>
      </c>
      <c r="B2534" s="451" t="str">
        <f>IFERROR(__xludf.DUMMYFUNCTION("""COMPUTED_VALUE"""),"#N/A")</f>
        <v>#N/A</v>
      </c>
    </row>
    <row r="2535">
      <c r="A2535" t="str">
        <f>IFERROR(__xludf.DUMMYFUNCTION("""COMPUTED_VALUE"""),"#N/A")</f>
        <v>#N/A</v>
      </c>
      <c r="B2535" s="451" t="str">
        <f>IFERROR(__xludf.DUMMYFUNCTION("""COMPUTED_VALUE"""),"#N/A")</f>
        <v>#N/A</v>
      </c>
    </row>
    <row r="2536">
      <c r="A2536" t="str">
        <f>IFERROR(__xludf.DUMMYFUNCTION("""COMPUTED_VALUE"""),"#N/A")</f>
        <v>#N/A</v>
      </c>
      <c r="B2536" s="451" t="str">
        <f>IFERROR(__xludf.DUMMYFUNCTION("""COMPUTED_VALUE"""),"#N/A")</f>
        <v>#N/A</v>
      </c>
    </row>
    <row r="2537">
      <c r="A2537" t="str">
        <f>IFERROR(__xludf.DUMMYFUNCTION("""COMPUTED_VALUE"""),"#N/A")</f>
        <v>#N/A</v>
      </c>
      <c r="B2537" s="451" t="str">
        <f>IFERROR(__xludf.DUMMYFUNCTION("""COMPUTED_VALUE"""),"#N/A")</f>
        <v>#N/A</v>
      </c>
    </row>
    <row r="2538">
      <c r="A2538" t="str">
        <f>IFERROR(__xludf.DUMMYFUNCTION("""COMPUTED_VALUE"""),"#N/A")</f>
        <v>#N/A</v>
      </c>
      <c r="B2538" s="451" t="str">
        <f>IFERROR(__xludf.DUMMYFUNCTION("""COMPUTED_VALUE"""),"#N/A")</f>
        <v>#N/A</v>
      </c>
    </row>
    <row r="2539">
      <c r="A2539" t="str">
        <f>IFERROR(__xludf.DUMMYFUNCTION("""COMPUTED_VALUE"""),"#N/A")</f>
        <v>#N/A</v>
      </c>
      <c r="B2539" s="451" t="str">
        <f>IFERROR(__xludf.DUMMYFUNCTION("""COMPUTED_VALUE"""),"#N/A")</f>
        <v>#N/A</v>
      </c>
    </row>
    <row r="2540">
      <c r="A2540" t="str">
        <f>IFERROR(__xludf.DUMMYFUNCTION("""COMPUTED_VALUE"""),"#N/A")</f>
        <v>#N/A</v>
      </c>
      <c r="B2540" s="451" t="str">
        <f>IFERROR(__xludf.DUMMYFUNCTION("""COMPUTED_VALUE"""),"#N/A")</f>
        <v>#N/A</v>
      </c>
    </row>
    <row r="2541">
      <c r="A2541" t="str">
        <f>IFERROR(__xludf.DUMMYFUNCTION("""COMPUTED_VALUE"""),"#N/A")</f>
        <v>#N/A</v>
      </c>
      <c r="B2541" s="451" t="str">
        <f>IFERROR(__xludf.DUMMYFUNCTION("""COMPUTED_VALUE"""),"#N/A")</f>
        <v>#N/A</v>
      </c>
    </row>
    <row r="2542">
      <c r="A2542" t="str">
        <f>IFERROR(__xludf.DUMMYFUNCTION("""COMPUTED_VALUE"""),"#N/A")</f>
        <v>#N/A</v>
      </c>
      <c r="B2542" s="451" t="str">
        <f>IFERROR(__xludf.DUMMYFUNCTION("""COMPUTED_VALUE"""),"#N/A")</f>
        <v>#N/A</v>
      </c>
    </row>
    <row r="2543">
      <c r="A2543" t="str">
        <f>IFERROR(__xludf.DUMMYFUNCTION("""COMPUTED_VALUE"""),"#N/A")</f>
        <v>#N/A</v>
      </c>
      <c r="B2543" s="451" t="str">
        <f>IFERROR(__xludf.DUMMYFUNCTION("""COMPUTED_VALUE"""),"#N/A")</f>
        <v>#N/A</v>
      </c>
    </row>
    <row r="2544">
      <c r="A2544" t="str">
        <f>IFERROR(__xludf.DUMMYFUNCTION("""COMPUTED_VALUE"""),"#N/A")</f>
        <v>#N/A</v>
      </c>
      <c r="B2544" s="451" t="str">
        <f>IFERROR(__xludf.DUMMYFUNCTION("""COMPUTED_VALUE"""),"#N/A")</f>
        <v>#N/A</v>
      </c>
    </row>
    <row r="2545">
      <c r="A2545" t="str">
        <f>IFERROR(__xludf.DUMMYFUNCTION("""COMPUTED_VALUE"""),"#N/A")</f>
        <v>#N/A</v>
      </c>
      <c r="B2545" s="451" t="str">
        <f>IFERROR(__xludf.DUMMYFUNCTION("""COMPUTED_VALUE"""),"#N/A")</f>
        <v>#N/A</v>
      </c>
    </row>
    <row r="2546">
      <c r="A2546" t="str">
        <f>IFERROR(__xludf.DUMMYFUNCTION("""COMPUTED_VALUE"""),"#N/A")</f>
        <v>#N/A</v>
      </c>
      <c r="B2546" s="451" t="str">
        <f>IFERROR(__xludf.DUMMYFUNCTION("""COMPUTED_VALUE"""),"#N/A")</f>
        <v>#N/A</v>
      </c>
    </row>
    <row r="2547">
      <c r="A2547" t="str">
        <f>IFERROR(__xludf.DUMMYFUNCTION("""COMPUTED_VALUE"""),"#N/A")</f>
        <v>#N/A</v>
      </c>
      <c r="B2547" s="451" t="str">
        <f>IFERROR(__xludf.DUMMYFUNCTION("""COMPUTED_VALUE"""),"#N/A")</f>
        <v>#N/A</v>
      </c>
    </row>
    <row r="2548">
      <c r="A2548" t="str">
        <f>IFERROR(__xludf.DUMMYFUNCTION("""COMPUTED_VALUE"""),"#N/A")</f>
        <v>#N/A</v>
      </c>
      <c r="B2548" s="451" t="str">
        <f>IFERROR(__xludf.DUMMYFUNCTION("""COMPUTED_VALUE"""),"#N/A")</f>
        <v>#N/A</v>
      </c>
    </row>
    <row r="2549">
      <c r="A2549" t="str">
        <f>IFERROR(__xludf.DUMMYFUNCTION("""COMPUTED_VALUE"""),"#N/A")</f>
        <v>#N/A</v>
      </c>
      <c r="B2549" s="451" t="str">
        <f>IFERROR(__xludf.DUMMYFUNCTION("""COMPUTED_VALUE"""),"#N/A")</f>
        <v>#N/A</v>
      </c>
    </row>
    <row r="2550">
      <c r="A2550" t="str">
        <f>IFERROR(__xludf.DUMMYFUNCTION("""COMPUTED_VALUE"""),"#N/A")</f>
        <v>#N/A</v>
      </c>
      <c r="B2550" s="451" t="str">
        <f>IFERROR(__xludf.DUMMYFUNCTION("""COMPUTED_VALUE"""),"#N/A")</f>
        <v>#N/A</v>
      </c>
    </row>
    <row r="2551">
      <c r="A2551" t="str">
        <f>IFERROR(__xludf.DUMMYFUNCTION("""COMPUTED_VALUE"""),"#N/A")</f>
        <v>#N/A</v>
      </c>
      <c r="B2551" s="451" t="str">
        <f>IFERROR(__xludf.DUMMYFUNCTION("""COMPUTED_VALUE"""),"#N/A")</f>
        <v>#N/A</v>
      </c>
    </row>
    <row r="2552">
      <c r="A2552" t="str">
        <f>IFERROR(__xludf.DUMMYFUNCTION("""COMPUTED_VALUE"""),"#N/A")</f>
        <v>#N/A</v>
      </c>
      <c r="B2552" s="451" t="str">
        <f>IFERROR(__xludf.DUMMYFUNCTION("""COMPUTED_VALUE"""),"#N/A")</f>
        <v>#N/A</v>
      </c>
    </row>
    <row r="2553">
      <c r="A2553" t="str">
        <f>IFERROR(__xludf.DUMMYFUNCTION("""COMPUTED_VALUE"""),"#N/A")</f>
        <v>#N/A</v>
      </c>
      <c r="B2553" s="451" t="str">
        <f>IFERROR(__xludf.DUMMYFUNCTION("""COMPUTED_VALUE"""),"#N/A")</f>
        <v>#N/A</v>
      </c>
    </row>
    <row r="2554">
      <c r="A2554" t="str">
        <f>IFERROR(__xludf.DUMMYFUNCTION("""COMPUTED_VALUE"""),"#N/A")</f>
        <v>#N/A</v>
      </c>
      <c r="B2554" s="451" t="str">
        <f>IFERROR(__xludf.DUMMYFUNCTION("""COMPUTED_VALUE"""),"#N/A")</f>
        <v>#N/A</v>
      </c>
    </row>
    <row r="2555">
      <c r="A2555" t="str">
        <f>IFERROR(__xludf.DUMMYFUNCTION("""COMPUTED_VALUE"""),"#N/A")</f>
        <v>#N/A</v>
      </c>
      <c r="B2555" s="451" t="str">
        <f>IFERROR(__xludf.DUMMYFUNCTION("""COMPUTED_VALUE"""),"#N/A")</f>
        <v>#N/A</v>
      </c>
    </row>
    <row r="2556">
      <c r="A2556" t="str">
        <f>IFERROR(__xludf.DUMMYFUNCTION("""COMPUTED_VALUE"""),"#N/A")</f>
        <v>#N/A</v>
      </c>
      <c r="B2556" s="451" t="str">
        <f>IFERROR(__xludf.DUMMYFUNCTION("""COMPUTED_VALUE"""),"#N/A")</f>
        <v>#N/A</v>
      </c>
    </row>
    <row r="2557">
      <c r="A2557" t="str">
        <f>IFERROR(__xludf.DUMMYFUNCTION("""COMPUTED_VALUE"""),"#N/A")</f>
        <v>#N/A</v>
      </c>
      <c r="B2557" s="451" t="str">
        <f>IFERROR(__xludf.DUMMYFUNCTION("""COMPUTED_VALUE"""),"#N/A")</f>
        <v>#N/A</v>
      </c>
    </row>
    <row r="2558">
      <c r="A2558" t="str">
        <f>IFERROR(__xludf.DUMMYFUNCTION("""COMPUTED_VALUE"""),"#N/A")</f>
        <v>#N/A</v>
      </c>
      <c r="B2558" s="451" t="str">
        <f>IFERROR(__xludf.DUMMYFUNCTION("""COMPUTED_VALUE"""),"#N/A")</f>
        <v>#N/A</v>
      </c>
    </row>
    <row r="2559">
      <c r="A2559" t="str">
        <f>IFERROR(__xludf.DUMMYFUNCTION("""COMPUTED_VALUE"""),"#N/A")</f>
        <v>#N/A</v>
      </c>
      <c r="B2559" s="451" t="str">
        <f>IFERROR(__xludf.DUMMYFUNCTION("""COMPUTED_VALUE"""),"#N/A")</f>
        <v>#N/A</v>
      </c>
    </row>
    <row r="2560">
      <c r="A2560" t="str">
        <f>IFERROR(__xludf.DUMMYFUNCTION("""COMPUTED_VALUE"""),"#N/A")</f>
        <v>#N/A</v>
      </c>
      <c r="B2560" s="451" t="str">
        <f>IFERROR(__xludf.DUMMYFUNCTION("""COMPUTED_VALUE"""),"#N/A")</f>
        <v>#N/A</v>
      </c>
    </row>
    <row r="2561">
      <c r="A2561" t="str">
        <f>IFERROR(__xludf.DUMMYFUNCTION("""COMPUTED_VALUE"""),"#N/A")</f>
        <v>#N/A</v>
      </c>
      <c r="B2561" s="451" t="str">
        <f>IFERROR(__xludf.DUMMYFUNCTION("""COMPUTED_VALUE"""),"#N/A")</f>
        <v>#N/A</v>
      </c>
    </row>
    <row r="2562">
      <c r="A2562" t="str">
        <f>IFERROR(__xludf.DUMMYFUNCTION("""COMPUTED_VALUE"""),"#N/A")</f>
        <v>#N/A</v>
      </c>
      <c r="B2562" s="451" t="str">
        <f>IFERROR(__xludf.DUMMYFUNCTION("""COMPUTED_VALUE"""),"#N/A")</f>
        <v>#N/A</v>
      </c>
    </row>
    <row r="2563">
      <c r="A2563" t="str">
        <f>IFERROR(__xludf.DUMMYFUNCTION("""COMPUTED_VALUE"""),"#N/A")</f>
        <v>#N/A</v>
      </c>
      <c r="B2563" s="451" t="str">
        <f>IFERROR(__xludf.DUMMYFUNCTION("""COMPUTED_VALUE"""),"#N/A")</f>
        <v>#N/A</v>
      </c>
    </row>
    <row r="2564">
      <c r="A2564" t="str">
        <f>IFERROR(__xludf.DUMMYFUNCTION("""COMPUTED_VALUE"""),"#N/A")</f>
        <v>#N/A</v>
      </c>
      <c r="B2564" s="451" t="str">
        <f>IFERROR(__xludf.DUMMYFUNCTION("""COMPUTED_VALUE"""),"#N/A")</f>
        <v>#N/A</v>
      </c>
    </row>
    <row r="2565">
      <c r="A2565" t="str">
        <f>IFERROR(__xludf.DUMMYFUNCTION("""COMPUTED_VALUE"""),"#N/A")</f>
        <v>#N/A</v>
      </c>
      <c r="B2565" s="451" t="str">
        <f>IFERROR(__xludf.DUMMYFUNCTION("""COMPUTED_VALUE"""),"#N/A")</f>
        <v>#N/A</v>
      </c>
    </row>
    <row r="2566">
      <c r="A2566" t="str">
        <f>IFERROR(__xludf.DUMMYFUNCTION("""COMPUTED_VALUE"""),"#N/A")</f>
        <v>#N/A</v>
      </c>
      <c r="B2566" s="451" t="str">
        <f>IFERROR(__xludf.DUMMYFUNCTION("""COMPUTED_VALUE"""),"#N/A")</f>
        <v>#N/A</v>
      </c>
    </row>
    <row r="2567">
      <c r="A2567" t="str">
        <f>IFERROR(__xludf.DUMMYFUNCTION("""COMPUTED_VALUE"""),"#N/A")</f>
        <v>#N/A</v>
      </c>
      <c r="B2567" s="451" t="str">
        <f>IFERROR(__xludf.DUMMYFUNCTION("""COMPUTED_VALUE"""),"#N/A")</f>
        <v>#N/A</v>
      </c>
    </row>
    <row r="2568">
      <c r="A2568" t="str">
        <f>IFERROR(__xludf.DUMMYFUNCTION("""COMPUTED_VALUE"""),"#N/A")</f>
        <v>#N/A</v>
      </c>
      <c r="B2568" s="451" t="str">
        <f>IFERROR(__xludf.DUMMYFUNCTION("""COMPUTED_VALUE"""),"#N/A")</f>
        <v>#N/A</v>
      </c>
    </row>
    <row r="2569">
      <c r="A2569" t="str">
        <f>IFERROR(__xludf.DUMMYFUNCTION("""COMPUTED_VALUE"""),"#N/A")</f>
        <v>#N/A</v>
      </c>
      <c r="B2569" s="451" t="str">
        <f>IFERROR(__xludf.DUMMYFUNCTION("""COMPUTED_VALUE"""),"#N/A")</f>
        <v>#N/A</v>
      </c>
    </row>
    <row r="2570">
      <c r="A2570" t="str">
        <f>IFERROR(__xludf.DUMMYFUNCTION("""COMPUTED_VALUE"""),"#N/A")</f>
        <v>#N/A</v>
      </c>
      <c r="B2570" s="451" t="str">
        <f>IFERROR(__xludf.DUMMYFUNCTION("""COMPUTED_VALUE"""),"#N/A")</f>
        <v>#N/A</v>
      </c>
    </row>
    <row r="2571">
      <c r="A2571" t="str">
        <f>IFERROR(__xludf.DUMMYFUNCTION("""COMPUTED_VALUE"""),"#N/A")</f>
        <v>#N/A</v>
      </c>
      <c r="B2571" s="451" t="str">
        <f>IFERROR(__xludf.DUMMYFUNCTION("""COMPUTED_VALUE"""),"#N/A")</f>
        <v>#N/A</v>
      </c>
    </row>
    <row r="2572">
      <c r="A2572" t="str">
        <f>IFERROR(__xludf.DUMMYFUNCTION("""COMPUTED_VALUE"""),"#N/A")</f>
        <v>#N/A</v>
      </c>
      <c r="B2572" s="451" t="str">
        <f>IFERROR(__xludf.DUMMYFUNCTION("""COMPUTED_VALUE"""),"#N/A")</f>
        <v>#N/A</v>
      </c>
    </row>
    <row r="2573">
      <c r="A2573" t="str">
        <f>IFERROR(__xludf.DUMMYFUNCTION("""COMPUTED_VALUE"""),"#N/A")</f>
        <v>#N/A</v>
      </c>
      <c r="B2573" s="451" t="str">
        <f>IFERROR(__xludf.DUMMYFUNCTION("""COMPUTED_VALUE"""),"#N/A")</f>
        <v>#N/A</v>
      </c>
    </row>
    <row r="2574">
      <c r="A2574" t="str">
        <f>IFERROR(__xludf.DUMMYFUNCTION("""COMPUTED_VALUE"""),"#N/A")</f>
        <v>#N/A</v>
      </c>
      <c r="B2574" s="451" t="str">
        <f>IFERROR(__xludf.DUMMYFUNCTION("""COMPUTED_VALUE"""),"#N/A")</f>
        <v>#N/A</v>
      </c>
    </row>
    <row r="2575">
      <c r="A2575" t="str">
        <f>IFERROR(__xludf.DUMMYFUNCTION("""COMPUTED_VALUE"""),"#N/A")</f>
        <v>#N/A</v>
      </c>
      <c r="B2575" s="451" t="str">
        <f>IFERROR(__xludf.DUMMYFUNCTION("""COMPUTED_VALUE"""),"#N/A")</f>
        <v>#N/A</v>
      </c>
    </row>
    <row r="2576">
      <c r="A2576" t="str">
        <f>IFERROR(__xludf.DUMMYFUNCTION("""COMPUTED_VALUE"""),"#N/A")</f>
        <v>#N/A</v>
      </c>
      <c r="B2576" s="451" t="str">
        <f>IFERROR(__xludf.DUMMYFUNCTION("""COMPUTED_VALUE"""),"#N/A")</f>
        <v>#N/A</v>
      </c>
    </row>
    <row r="2577">
      <c r="A2577" t="str">
        <f>IFERROR(__xludf.DUMMYFUNCTION("""COMPUTED_VALUE"""),"#N/A")</f>
        <v>#N/A</v>
      </c>
      <c r="B2577" s="451" t="str">
        <f>IFERROR(__xludf.DUMMYFUNCTION("""COMPUTED_VALUE"""),"#N/A")</f>
        <v>#N/A</v>
      </c>
    </row>
    <row r="2578">
      <c r="A2578" t="str">
        <f>IFERROR(__xludf.DUMMYFUNCTION("""COMPUTED_VALUE"""),"#N/A")</f>
        <v>#N/A</v>
      </c>
      <c r="B2578" s="451" t="str">
        <f>IFERROR(__xludf.DUMMYFUNCTION("""COMPUTED_VALUE"""),"#N/A")</f>
        <v>#N/A</v>
      </c>
    </row>
    <row r="2579">
      <c r="A2579" t="str">
        <f>IFERROR(__xludf.DUMMYFUNCTION("""COMPUTED_VALUE"""),"#N/A")</f>
        <v>#N/A</v>
      </c>
      <c r="B2579" s="451" t="str">
        <f>IFERROR(__xludf.DUMMYFUNCTION("""COMPUTED_VALUE"""),"#N/A")</f>
        <v>#N/A</v>
      </c>
    </row>
    <row r="2580">
      <c r="A2580" t="str">
        <f>IFERROR(__xludf.DUMMYFUNCTION("""COMPUTED_VALUE"""),"#N/A")</f>
        <v>#N/A</v>
      </c>
      <c r="B2580" s="451" t="str">
        <f>IFERROR(__xludf.DUMMYFUNCTION("""COMPUTED_VALUE"""),"#N/A")</f>
        <v>#N/A</v>
      </c>
    </row>
    <row r="2581">
      <c r="A2581" t="str">
        <f>IFERROR(__xludf.DUMMYFUNCTION("""COMPUTED_VALUE"""),"#N/A")</f>
        <v>#N/A</v>
      </c>
      <c r="B2581" s="451" t="str">
        <f>IFERROR(__xludf.DUMMYFUNCTION("""COMPUTED_VALUE"""),"#N/A")</f>
        <v>#N/A</v>
      </c>
    </row>
    <row r="2582">
      <c r="A2582" t="str">
        <f>IFERROR(__xludf.DUMMYFUNCTION("""COMPUTED_VALUE"""),"#N/A")</f>
        <v>#N/A</v>
      </c>
      <c r="B2582" s="451" t="str">
        <f>IFERROR(__xludf.DUMMYFUNCTION("""COMPUTED_VALUE"""),"#N/A")</f>
        <v>#N/A</v>
      </c>
    </row>
    <row r="2583">
      <c r="A2583" t="str">
        <f>IFERROR(__xludf.DUMMYFUNCTION("""COMPUTED_VALUE"""),"#N/A")</f>
        <v>#N/A</v>
      </c>
      <c r="B2583" s="451" t="str">
        <f>IFERROR(__xludf.DUMMYFUNCTION("""COMPUTED_VALUE"""),"#N/A")</f>
        <v>#N/A</v>
      </c>
    </row>
    <row r="2584">
      <c r="A2584" t="str">
        <f>IFERROR(__xludf.DUMMYFUNCTION("""COMPUTED_VALUE"""),"#N/A")</f>
        <v>#N/A</v>
      </c>
      <c r="B2584" s="451" t="str">
        <f>IFERROR(__xludf.DUMMYFUNCTION("""COMPUTED_VALUE"""),"#N/A")</f>
        <v>#N/A</v>
      </c>
    </row>
    <row r="2585">
      <c r="A2585" t="str">
        <f>IFERROR(__xludf.DUMMYFUNCTION("""COMPUTED_VALUE"""),"#N/A")</f>
        <v>#N/A</v>
      </c>
      <c r="B2585" s="451" t="str">
        <f>IFERROR(__xludf.DUMMYFUNCTION("""COMPUTED_VALUE"""),"#N/A")</f>
        <v>#N/A</v>
      </c>
    </row>
    <row r="2586">
      <c r="A2586" t="str">
        <f>IFERROR(__xludf.DUMMYFUNCTION("""COMPUTED_VALUE"""),"#N/A")</f>
        <v>#N/A</v>
      </c>
      <c r="B2586" s="451" t="str">
        <f>IFERROR(__xludf.DUMMYFUNCTION("""COMPUTED_VALUE"""),"#N/A")</f>
        <v>#N/A</v>
      </c>
    </row>
    <row r="2587">
      <c r="A2587" t="str">
        <f>IFERROR(__xludf.DUMMYFUNCTION("""COMPUTED_VALUE"""),"#N/A")</f>
        <v>#N/A</v>
      </c>
      <c r="B2587" s="451" t="str">
        <f>IFERROR(__xludf.DUMMYFUNCTION("""COMPUTED_VALUE"""),"#N/A")</f>
        <v>#N/A</v>
      </c>
    </row>
    <row r="2588">
      <c r="A2588" t="str">
        <f>IFERROR(__xludf.DUMMYFUNCTION("""COMPUTED_VALUE"""),"#N/A")</f>
        <v>#N/A</v>
      </c>
      <c r="B2588" s="451" t="str">
        <f>IFERROR(__xludf.DUMMYFUNCTION("""COMPUTED_VALUE"""),"#N/A")</f>
        <v>#N/A</v>
      </c>
    </row>
    <row r="2589">
      <c r="A2589" t="str">
        <f>IFERROR(__xludf.DUMMYFUNCTION("""COMPUTED_VALUE"""),"#N/A")</f>
        <v>#N/A</v>
      </c>
      <c r="B2589" s="451" t="str">
        <f>IFERROR(__xludf.DUMMYFUNCTION("""COMPUTED_VALUE"""),"#N/A")</f>
        <v>#N/A</v>
      </c>
    </row>
    <row r="2590">
      <c r="A2590" t="str">
        <f>IFERROR(__xludf.DUMMYFUNCTION("""COMPUTED_VALUE"""),"#N/A")</f>
        <v>#N/A</v>
      </c>
      <c r="B2590" s="451" t="str">
        <f>IFERROR(__xludf.DUMMYFUNCTION("""COMPUTED_VALUE"""),"#N/A")</f>
        <v>#N/A</v>
      </c>
    </row>
    <row r="2591">
      <c r="A2591" t="str">
        <f>IFERROR(__xludf.DUMMYFUNCTION("""COMPUTED_VALUE"""),"#N/A")</f>
        <v>#N/A</v>
      </c>
      <c r="B2591" s="451" t="str">
        <f>IFERROR(__xludf.DUMMYFUNCTION("""COMPUTED_VALUE"""),"#N/A")</f>
        <v>#N/A</v>
      </c>
    </row>
    <row r="2592">
      <c r="A2592" t="str">
        <f>IFERROR(__xludf.DUMMYFUNCTION("""COMPUTED_VALUE"""),"#N/A")</f>
        <v>#N/A</v>
      </c>
      <c r="B2592" s="451" t="str">
        <f>IFERROR(__xludf.DUMMYFUNCTION("""COMPUTED_VALUE"""),"#N/A")</f>
        <v>#N/A</v>
      </c>
    </row>
    <row r="2593">
      <c r="A2593" t="str">
        <f>IFERROR(__xludf.DUMMYFUNCTION("""COMPUTED_VALUE"""),"#N/A")</f>
        <v>#N/A</v>
      </c>
      <c r="B2593" s="451" t="str">
        <f>IFERROR(__xludf.DUMMYFUNCTION("""COMPUTED_VALUE"""),"#N/A")</f>
        <v>#N/A</v>
      </c>
    </row>
    <row r="2594">
      <c r="A2594" t="str">
        <f>IFERROR(__xludf.DUMMYFUNCTION("""COMPUTED_VALUE"""),"#N/A")</f>
        <v>#N/A</v>
      </c>
      <c r="B2594" s="451" t="str">
        <f>IFERROR(__xludf.DUMMYFUNCTION("""COMPUTED_VALUE"""),"#N/A")</f>
        <v>#N/A</v>
      </c>
    </row>
    <row r="2595">
      <c r="A2595" t="str">
        <f>IFERROR(__xludf.DUMMYFUNCTION("""COMPUTED_VALUE"""),"#N/A")</f>
        <v>#N/A</v>
      </c>
      <c r="B2595" s="451" t="str">
        <f>IFERROR(__xludf.DUMMYFUNCTION("""COMPUTED_VALUE"""),"#N/A")</f>
        <v>#N/A</v>
      </c>
    </row>
    <row r="2596">
      <c r="A2596" t="str">
        <f>IFERROR(__xludf.DUMMYFUNCTION("""COMPUTED_VALUE"""),"#N/A")</f>
        <v>#N/A</v>
      </c>
      <c r="B2596" s="451" t="str">
        <f>IFERROR(__xludf.DUMMYFUNCTION("""COMPUTED_VALUE"""),"#N/A")</f>
        <v>#N/A</v>
      </c>
    </row>
    <row r="2597">
      <c r="A2597" t="str">
        <f>IFERROR(__xludf.DUMMYFUNCTION("""COMPUTED_VALUE"""),"#N/A")</f>
        <v>#N/A</v>
      </c>
      <c r="B2597" s="451" t="str">
        <f>IFERROR(__xludf.DUMMYFUNCTION("""COMPUTED_VALUE"""),"#N/A")</f>
        <v>#N/A</v>
      </c>
    </row>
    <row r="2598">
      <c r="A2598" t="str">
        <f>IFERROR(__xludf.DUMMYFUNCTION("""COMPUTED_VALUE"""),"#N/A")</f>
        <v>#N/A</v>
      </c>
      <c r="B2598" s="451" t="str">
        <f>IFERROR(__xludf.DUMMYFUNCTION("""COMPUTED_VALUE"""),"#N/A")</f>
        <v>#N/A</v>
      </c>
    </row>
    <row r="2599">
      <c r="A2599" t="str">
        <f>IFERROR(__xludf.DUMMYFUNCTION("""COMPUTED_VALUE"""),"#N/A")</f>
        <v>#N/A</v>
      </c>
      <c r="B2599" s="451" t="str">
        <f>IFERROR(__xludf.DUMMYFUNCTION("""COMPUTED_VALUE"""),"#N/A")</f>
        <v>#N/A</v>
      </c>
    </row>
    <row r="2600">
      <c r="A2600" t="str">
        <f>IFERROR(__xludf.DUMMYFUNCTION("""COMPUTED_VALUE"""),"#N/A")</f>
        <v>#N/A</v>
      </c>
      <c r="B2600" s="451" t="str">
        <f>IFERROR(__xludf.DUMMYFUNCTION("""COMPUTED_VALUE"""),"#N/A")</f>
        <v>#N/A</v>
      </c>
    </row>
    <row r="2601">
      <c r="A2601" t="str">
        <f>IFERROR(__xludf.DUMMYFUNCTION("""COMPUTED_VALUE"""),"#N/A")</f>
        <v>#N/A</v>
      </c>
      <c r="B2601" s="451" t="str">
        <f>IFERROR(__xludf.DUMMYFUNCTION("""COMPUTED_VALUE"""),"#N/A")</f>
        <v>#N/A</v>
      </c>
    </row>
    <row r="2602">
      <c r="A2602" t="str">
        <f>IFERROR(__xludf.DUMMYFUNCTION("""COMPUTED_VALUE"""),"#N/A")</f>
        <v>#N/A</v>
      </c>
      <c r="B2602" s="451" t="str">
        <f>IFERROR(__xludf.DUMMYFUNCTION("""COMPUTED_VALUE"""),"#N/A")</f>
        <v>#N/A</v>
      </c>
    </row>
    <row r="2603">
      <c r="A2603" t="str">
        <f>IFERROR(__xludf.DUMMYFUNCTION("""COMPUTED_VALUE"""),"#N/A")</f>
        <v>#N/A</v>
      </c>
      <c r="B2603" s="451" t="str">
        <f>IFERROR(__xludf.DUMMYFUNCTION("""COMPUTED_VALUE"""),"#N/A")</f>
        <v>#N/A</v>
      </c>
    </row>
    <row r="2604">
      <c r="A2604" t="str">
        <f>IFERROR(__xludf.DUMMYFUNCTION("""COMPUTED_VALUE"""),"#N/A")</f>
        <v>#N/A</v>
      </c>
      <c r="B2604" s="451" t="str">
        <f>IFERROR(__xludf.DUMMYFUNCTION("""COMPUTED_VALUE"""),"#N/A")</f>
        <v>#N/A</v>
      </c>
    </row>
    <row r="2605">
      <c r="A2605" t="str">
        <f>IFERROR(__xludf.DUMMYFUNCTION("""COMPUTED_VALUE"""),"#N/A")</f>
        <v>#N/A</v>
      </c>
      <c r="B2605" s="451" t="str">
        <f>IFERROR(__xludf.DUMMYFUNCTION("""COMPUTED_VALUE"""),"#N/A")</f>
        <v>#N/A</v>
      </c>
    </row>
    <row r="2606">
      <c r="A2606" t="str">
        <f>IFERROR(__xludf.DUMMYFUNCTION("""COMPUTED_VALUE"""),"#N/A")</f>
        <v>#N/A</v>
      </c>
      <c r="B2606" s="451" t="str">
        <f>IFERROR(__xludf.DUMMYFUNCTION("""COMPUTED_VALUE"""),"#N/A")</f>
        <v>#N/A</v>
      </c>
    </row>
    <row r="2607">
      <c r="A2607" t="str">
        <f>IFERROR(__xludf.DUMMYFUNCTION("""COMPUTED_VALUE"""),"#N/A")</f>
        <v>#N/A</v>
      </c>
      <c r="B2607" s="451" t="str">
        <f>IFERROR(__xludf.DUMMYFUNCTION("""COMPUTED_VALUE"""),"#N/A")</f>
        <v>#N/A</v>
      </c>
    </row>
    <row r="2608">
      <c r="A2608" t="str">
        <f>IFERROR(__xludf.DUMMYFUNCTION("""COMPUTED_VALUE"""),"#N/A")</f>
        <v>#N/A</v>
      </c>
      <c r="B2608" s="451" t="str">
        <f>IFERROR(__xludf.DUMMYFUNCTION("""COMPUTED_VALUE"""),"#N/A")</f>
        <v>#N/A</v>
      </c>
    </row>
    <row r="2609">
      <c r="A2609" t="str">
        <f>IFERROR(__xludf.DUMMYFUNCTION("""COMPUTED_VALUE"""),"#N/A")</f>
        <v>#N/A</v>
      </c>
      <c r="B2609" s="451" t="str">
        <f>IFERROR(__xludf.DUMMYFUNCTION("""COMPUTED_VALUE"""),"#N/A")</f>
        <v>#N/A</v>
      </c>
    </row>
    <row r="2610">
      <c r="A2610" t="str">
        <f>IFERROR(__xludf.DUMMYFUNCTION("""COMPUTED_VALUE"""),"#N/A")</f>
        <v>#N/A</v>
      </c>
      <c r="B2610" s="451" t="str">
        <f>IFERROR(__xludf.DUMMYFUNCTION("""COMPUTED_VALUE"""),"#N/A")</f>
        <v>#N/A</v>
      </c>
    </row>
    <row r="2611">
      <c r="A2611" t="str">
        <f>IFERROR(__xludf.DUMMYFUNCTION("""COMPUTED_VALUE"""),"#N/A")</f>
        <v>#N/A</v>
      </c>
      <c r="B2611" s="451" t="str">
        <f>IFERROR(__xludf.DUMMYFUNCTION("""COMPUTED_VALUE"""),"#N/A")</f>
        <v>#N/A</v>
      </c>
    </row>
    <row r="2612">
      <c r="A2612" t="str">
        <f>IFERROR(__xludf.DUMMYFUNCTION("""COMPUTED_VALUE"""),"#N/A")</f>
        <v>#N/A</v>
      </c>
      <c r="B2612" s="451" t="str">
        <f>IFERROR(__xludf.DUMMYFUNCTION("""COMPUTED_VALUE"""),"#N/A")</f>
        <v>#N/A</v>
      </c>
    </row>
    <row r="2613">
      <c r="A2613" t="str">
        <f>IFERROR(__xludf.DUMMYFUNCTION("""COMPUTED_VALUE"""),"#N/A")</f>
        <v>#N/A</v>
      </c>
      <c r="B2613" s="451" t="str">
        <f>IFERROR(__xludf.DUMMYFUNCTION("""COMPUTED_VALUE"""),"#N/A")</f>
        <v>#N/A</v>
      </c>
    </row>
    <row r="2614">
      <c r="A2614" t="str">
        <f>IFERROR(__xludf.DUMMYFUNCTION("""COMPUTED_VALUE"""),"#N/A")</f>
        <v>#N/A</v>
      </c>
      <c r="B2614" s="451" t="str">
        <f>IFERROR(__xludf.DUMMYFUNCTION("""COMPUTED_VALUE"""),"#N/A")</f>
        <v>#N/A</v>
      </c>
    </row>
    <row r="2615">
      <c r="A2615" t="str">
        <f>IFERROR(__xludf.DUMMYFUNCTION("""COMPUTED_VALUE"""),"#N/A")</f>
        <v>#N/A</v>
      </c>
      <c r="B2615" s="451" t="str">
        <f>IFERROR(__xludf.DUMMYFUNCTION("""COMPUTED_VALUE"""),"#N/A")</f>
        <v>#N/A</v>
      </c>
    </row>
    <row r="2616">
      <c r="A2616" t="str">
        <f>IFERROR(__xludf.DUMMYFUNCTION("""COMPUTED_VALUE"""),"#N/A")</f>
        <v>#N/A</v>
      </c>
      <c r="B2616" s="451" t="str">
        <f>IFERROR(__xludf.DUMMYFUNCTION("""COMPUTED_VALUE"""),"#N/A")</f>
        <v>#N/A</v>
      </c>
    </row>
    <row r="2617">
      <c r="A2617" t="str">
        <f>IFERROR(__xludf.DUMMYFUNCTION("""COMPUTED_VALUE"""),"#N/A")</f>
        <v>#N/A</v>
      </c>
      <c r="B2617" s="451" t="str">
        <f>IFERROR(__xludf.DUMMYFUNCTION("""COMPUTED_VALUE"""),"#N/A")</f>
        <v>#N/A</v>
      </c>
    </row>
    <row r="2618">
      <c r="A2618" t="str">
        <f>IFERROR(__xludf.DUMMYFUNCTION("""COMPUTED_VALUE"""),"#N/A")</f>
        <v>#N/A</v>
      </c>
      <c r="B2618" s="451" t="str">
        <f>IFERROR(__xludf.DUMMYFUNCTION("""COMPUTED_VALUE"""),"#N/A")</f>
        <v>#N/A</v>
      </c>
    </row>
    <row r="2619">
      <c r="A2619" t="str">
        <f>IFERROR(__xludf.DUMMYFUNCTION("""COMPUTED_VALUE"""),"#N/A")</f>
        <v>#N/A</v>
      </c>
      <c r="B2619" s="451" t="str">
        <f>IFERROR(__xludf.DUMMYFUNCTION("""COMPUTED_VALUE"""),"#N/A")</f>
        <v>#N/A</v>
      </c>
    </row>
    <row r="2620">
      <c r="A2620" t="str">
        <f>IFERROR(__xludf.DUMMYFUNCTION("""COMPUTED_VALUE"""),"#N/A")</f>
        <v>#N/A</v>
      </c>
      <c r="B2620" s="451" t="str">
        <f>IFERROR(__xludf.DUMMYFUNCTION("""COMPUTED_VALUE"""),"#N/A")</f>
        <v>#N/A</v>
      </c>
    </row>
    <row r="2621">
      <c r="A2621" t="str">
        <f>IFERROR(__xludf.DUMMYFUNCTION("""COMPUTED_VALUE"""),"#N/A")</f>
        <v>#N/A</v>
      </c>
      <c r="B2621" s="451" t="str">
        <f>IFERROR(__xludf.DUMMYFUNCTION("""COMPUTED_VALUE"""),"#N/A")</f>
        <v>#N/A</v>
      </c>
    </row>
    <row r="2622">
      <c r="A2622" t="str">
        <f>IFERROR(__xludf.DUMMYFUNCTION("""COMPUTED_VALUE"""),"#N/A")</f>
        <v>#N/A</v>
      </c>
      <c r="B2622" s="451" t="str">
        <f>IFERROR(__xludf.DUMMYFUNCTION("""COMPUTED_VALUE"""),"#N/A")</f>
        <v>#N/A</v>
      </c>
    </row>
    <row r="2623">
      <c r="A2623" t="str">
        <f>IFERROR(__xludf.DUMMYFUNCTION("""COMPUTED_VALUE"""),"#N/A")</f>
        <v>#N/A</v>
      </c>
      <c r="B2623" s="451" t="str">
        <f>IFERROR(__xludf.DUMMYFUNCTION("""COMPUTED_VALUE"""),"#N/A")</f>
        <v>#N/A</v>
      </c>
    </row>
    <row r="2624">
      <c r="A2624" t="str">
        <f>IFERROR(__xludf.DUMMYFUNCTION("""COMPUTED_VALUE"""),"#N/A")</f>
        <v>#N/A</v>
      </c>
      <c r="B2624" s="451" t="str">
        <f>IFERROR(__xludf.DUMMYFUNCTION("""COMPUTED_VALUE"""),"#N/A")</f>
        <v>#N/A</v>
      </c>
    </row>
    <row r="2625">
      <c r="A2625" t="str">
        <f>IFERROR(__xludf.DUMMYFUNCTION("""COMPUTED_VALUE"""),"#N/A")</f>
        <v>#N/A</v>
      </c>
      <c r="B2625" s="451" t="str">
        <f>IFERROR(__xludf.DUMMYFUNCTION("""COMPUTED_VALUE"""),"#N/A")</f>
        <v>#N/A</v>
      </c>
    </row>
    <row r="2626">
      <c r="A2626" t="str">
        <f>IFERROR(__xludf.DUMMYFUNCTION("""COMPUTED_VALUE"""),"#N/A")</f>
        <v>#N/A</v>
      </c>
      <c r="B2626" s="451" t="str">
        <f>IFERROR(__xludf.DUMMYFUNCTION("""COMPUTED_VALUE"""),"#N/A")</f>
        <v>#N/A</v>
      </c>
    </row>
    <row r="2627">
      <c r="A2627" t="str">
        <f>IFERROR(__xludf.DUMMYFUNCTION("""COMPUTED_VALUE"""),"#N/A")</f>
        <v>#N/A</v>
      </c>
      <c r="B2627" s="451" t="str">
        <f>IFERROR(__xludf.DUMMYFUNCTION("""COMPUTED_VALUE"""),"#N/A")</f>
        <v>#N/A</v>
      </c>
    </row>
    <row r="2628">
      <c r="A2628" t="str">
        <f>IFERROR(__xludf.DUMMYFUNCTION("""COMPUTED_VALUE"""),"#N/A")</f>
        <v>#N/A</v>
      </c>
      <c r="B2628" s="451" t="str">
        <f>IFERROR(__xludf.DUMMYFUNCTION("""COMPUTED_VALUE"""),"#N/A")</f>
        <v>#N/A</v>
      </c>
    </row>
    <row r="2629">
      <c r="A2629" t="str">
        <f>IFERROR(__xludf.DUMMYFUNCTION("""COMPUTED_VALUE"""),"#N/A")</f>
        <v>#N/A</v>
      </c>
      <c r="B2629" s="451" t="str">
        <f>IFERROR(__xludf.DUMMYFUNCTION("""COMPUTED_VALUE"""),"#N/A")</f>
        <v>#N/A</v>
      </c>
    </row>
    <row r="2630">
      <c r="A2630" t="str">
        <f>IFERROR(__xludf.DUMMYFUNCTION("""COMPUTED_VALUE"""),"#N/A")</f>
        <v>#N/A</v>
      </c>
      <c r="B2630" s="451" t="str">
        <f>IFERROR(__xludf.DUMMYFUNCTION("""COMPUTED_VALUE"""),"#N/A")</f>
        <v>#N/A</v>
      </c>
    </row>
    <row r="2631">
      <c r="A2631" t="str">
        <f>IFERROR(__xludf.DUMMYFUNCTION("""COMPUTED_VALUE"""),"#N/A")</f>
        <v>#N/A</v>
      </c>
      <c r="B2631" s="451" t="str">
        <f>IFERROR(__xludf.DUMMYFUNCTION("""COMPUTED_VALUE"""),"#N/A")</f>
        <v>#N/A</v>
      </c>
    </row>
    <row r="2632">
      <c r="A2632" t="str">
        <f>IFERROR(__xludf.DUMMYFUNCTION("""COMPUTED_VALUE"""),"#N/A")</f>
        <v>#N/A</v>
      </c>
      <c r="B2632" s="451" t="str">
        <f>IFERROR(__xludf.DUMMYFUNCTION("""COMPUTED_VALUE"""),"#N/A")</f>
        <v>#N/A</v>
      </c>
    </row>
    <row r="2633">
      <c r="A2633" t="str">
        <f>IFERROR(__xludf.DUMMYFUNCTION("""COMPUTED_VALUE"""),"#N/A")</f>
        <v>#N/A</v>
      </c>
      <c r="B2633" s="451" t="str">
        <f>IFERROR(__xludf.DUMMYFUNCTION("""COMPUTED_VALUE"""),"#N/A")</f>
        <v>#N/A</v>
      </c>
    </row>
    <row r="2634">
      <c r="A2634" t="str">
        <f>IFERROR(__xludf.DUMMYFUNCTION("""COMPUTED_VALUE"""),"#N/A")</f>
        <v>#N/A</v>
      </c>
      <c r="B2634" s="451" t="str">
        <f>IFERROR(__xludf.DUMMYFUNCTION("""COMPUTED_VALUE"""),"#N/A")</f>
        <v>#N/A</v>
      </c>
    </row>
    <row r="2635">
      <c r="A2635" t="str">
        <f>IFERROR(__xludf.DUMMYFUNCTION("""COMPUTED_VALUE"""),"#N/A")</f>
        <v>#N/A</v>
      </c>
      <c r="B2635" s="451" t="str">
        <f>IFERROR(__xludf.DUMMYFUNCTION("""COMPUTED_VALUE"""),"#N/A")</f>
        <v>#N/A</v>
      </c>
    </row>
    <row r="2636">
      <c r="A2636" t="str">
        <f>IFERROR(__xludf.DUMMYFUNCTION("""COMPUTED_VALUE"""),"#N/A")</f>
        <v>#N/A</v>
      </c>
      <c r="B2636" s="451" t="str">
        <f>IFERROR(__xludf.DUMMYFUNCTION("""COMPUTED_VALUE"""),"#N/A")</f>
        <v>#N/A</v>
      </c>
    </row>
    <row r="2637">
      <c r="A2637" t="str">
        <f>IFERROR(__xludf.DUMMYFUNCTION("""COMPUTED_VALUE"""),"#N/A")</f>
        <v>#N/A</v>
      </c>
      <c r="B2637" s="451" t="str">
        <f>IFERROR(__xludf.DUMMYFUNCTION("""COMPUTED_VALUE"""),"#N/A")</f>
        <v>#N/A</v>
      </c>
    </row>
    <row r="2638">
      <c r="A2638" t="str">
        <f>IFERROR(__xludf.DUMMYFUNCTION("""COMPUTED_VALUE"""),"#N/A")</f>
        <v>#N/A</v>
      </c>
      <c r="B2638" s="451" t="str">
        <f>IFERROR(__xludf.DUMMYFUNCTION("""COMPUTED_VALUE"""),"#N/A")</f>
        <v>#N/A</v>
      </c>
    </row>
    <row r="2639">
      <c r="A2639" t="str">
        <f>IFERROR(__xludf.DUMMYFUNCTION("""COMPUTED_VALUE"""),"#N/A")</f>
        <v>#N/A</v>
      </c>
      <c r="B2639" s="451" t="str">
        <f>IFERROR(__xludf.DUMMYFUNCTION("""COMPUTED_VALUE"""),"#N/A")</f>
        <v>#N/A</v>
      </c>
    </row>
    <row r="2640">
      <c r="A2640" t="str">
        <f>IFERROR(__xludf.DUMMYFUNCTION("""COMPUTED_VALUE"""),"#N/A")</f>
        <v>#N/A</v>
      </c>
      <c r="B2640" s="451" t="str">
        <f>IFERROR(__xludf.DUMMYFUNCTION("""COMPUTED_VALUE"""),"#N/A")</f>
        <v>#N/A</v>
      </c>
    </row>
    <row r="2641">
      <c r="A2641" t="str">
        <f>IFERROR(__xludf.DUMMYFUNCTION("""COMPUTED_VALUE"""),"#N/A")</f>
        <v>#N/A</v>
      </c>
      <c r="B2641" s="451" t="str">
        <f>IFERROR(__xludf.DUMMYFUNCTION("""COMPUTED_VALUE"""),"#N/A")</f>
        <v>#N/A</v>
      </c>
    </row>
    <row r="2642">
      <c r="A2642" t="str">
        <f>IFERROR(__xludf.DUMMYFUNCTION("""COMPUTED_VALUE"""),"#N/A")</f>
        <v>#N/A</v>
      </c>
      <c r="B2642" s="451" t="str">
        <f>IFERROR(__xludf.DUMMYFUNCTION("""COMPUTED_VALUE"""),"#N/A")</f>
        <v>#N/A</v>
      </c>
    </row>
    <row r="2643">
      <c r="A2643" t="str">
        <f>IFERROR(__xludf.DUMMYFUNCTION("""COMPUTED_VALUE"""),"#N/A")</f>
        <v>#N/A</v>
      </c>
      <c r="B2643" s="451" t="str">
        <f>IFERROR(__xludf.DUMMYFUNCTION("""COMPUTED_VALUE"""),"#N/A")</f>
        <v>#N/A</v>
      </c>
    </row>
    <row r="2644">
      <c r="A2644" t="str">
        <f>IFERROR(__xludf.DUMMYFUNCTION("""COMPUTED_VALUE"""),"#N/A")</f>
        <v>#N/A</v>
      </c>
      <c r="B2644" s="451" t="str">
        <f>IFERROR(__xludf.DUMMYFUNCTION("""COMPUTED_VALUE"""),"#N/A")</f>
        <v>#N/A</v>
      </c>
    </row>
    <row r="2645">
      <c r="A2645" t="str">
        <f>IFERROR(__xludf.DUMMYFUNCTION("""COMPUTED_VALUE"""),"#N/A")</f>
        <v>#N/A</v>
      </c>
      <c r="B2645" s="451" t="str">
        <f>IFERROR(__xludf.DUMMYFUNCTION("""COMPUTED_VALUE"""),"#N/A")</f>
        <v>#N/A</v>
      </c>
    </row>
    <row r="2646">
      <c r="A2646" t="str">
        <f>IFERROR(__xludf.DUMMYFUNCTION("""COMPUTED_VALUE"""),"#N/A")</f>
        <v>#N/A</v>
      </c>
      <c r="B2646" s="451" t="str">
        <f>IFERROR(__xludf.DUMMYFUNCTION("""COMPUTED_VALUE"""),"#N/A")</f>
        <v>#N/A</v>
      </c>
    </row>
    <row r="2647">
      <c r="A2647" t="str">
        <f>IFERROR(__xludf.DUMMYFUNCTION("""COMPUTED_VALUE"""),"#N/A")</f>
        <v>#N/A</v>
      </c>
      <c r="B2647" s="451" t="str">
        <f>IFERROR(__xludf.DUMMYFUNCTION("""COMPUTED_VALUE"""),"#N/A")</f>
        <v>#N/A</v>
      </c>
    </row>
    <row r="2648">
      <c r="A2648" t="str">
        <f>IFERROR(__xludf.DUMMYFUNCTION("""COMPUTED_VALUE"""),"#N/A")</f>
        <v>#N/A</v>
      </c>
      <c r="B2648" s="451" t="str">
        <f>IFERROR(__xludf.DUMMYFUNCTION("""COMPUTED_VALUE"""),"#N/A")</f>
        <v>#N/A</v>
      </c>
    </row>
    <row r="2649">
      <c r="A2649" t="str">
        <f>IFERROR(__xludf.DUMMYFUNCTION("""COMPUTED_VALUE"""),"#N/A")</f>
        <v>#N/A</v>
      </c>
      <c r="B2649" s="451" t="str">
        <f>IFERROR(__xludf.DUMMYFUNCTION("""COMPUTED_VALUE"""),"#N/A")</f>
        <v>#N/A</v>
      </c>
    </row>
    <row r="2650">
      <c r="A2650" t="str">
        <f>IFERROR(__xludf.DUMMYFUNCTION("""COMPUTED_VALUE"""),"#N/A")</f>
        <v>#N/A</v>
      </c>
      <c r="B2650" s="451" t="str">
        <f>IFERROR(__xludf.DUMMYFUNCTION("""COMPUTED_VALUE"""),"#N/A")</f>
        <v>#N/A</v>
      </c>
    </row>
    <row r="2651">
      <c r="A2651" t="str">
        <f>IFERROR(__xludf.DUMMYFUNCTION("""COMPUTED_VALUE"""),"#N/A")</f>
        <v>#N/A</v>
      </c>
      <c r="B2651" s="451" t="str">
        <f>IFERROR(__xludf.DUMMYFUNCTION("""COMPUTED_VALUE"""),"#N/A")</f>
        <v>#N/A</v>
      </c>
    </row>
    <row r="2652">
      <c r="A2652" t="str">
        <f>IFERROR(__xludf.DUMMYFUNCTION("""COMPUTED_VALUE"""),"#N/A")</f>
        <v>#N/A</v>
      </c>
      <c r="B2652" s="451" t="str">
        <f>IFERROR(__xludf.DUMMYFUNCTION("""COMPUTED_VALUE"""),"#N/A")</f>
        <v>#N/A</v>
      </c>
    </row>
    <row r="2653">
      <c r="A2653" t="str">
        <f>IFERROR(__xludf.DUMMYFUNCTION("""COMPUTED_VALUE"""),"#N/A")</f>
        <v>#N/A</v>
      </c>
      <c r="B2653" s="451" t="str">
        <f>IFERROR(__xludf.DUMMYFUNCTION("""COMPUTED_VALUE"""),"#N/A")</f>
        <v>#N/A</v>
      </c>
    </row>
    <row r="2654">
      <c r="A2654" t="str">
        <f>IFERROR(__xludf.DUMMYFUNCTION("""COMPUTED_VALUE"""),"#N/A")</f>
        <v>#N/A</v>
      </c>
      <c r="B2654" s="451" t="str">
        <f>IFERROR(__xludf.DUMMYFUNCTION("""COMPUTED_VALUE"""),"#N/A")</f>
        <v>#N/A</v>
      </c>
    </row>
    <row r="2655">
      <c r="A2655" t="str">
        <f>IFERROR(__xludf.DUMMYFUNCTION("""COMPUTED_VALUE"""),"#N/A")</f>
        <v>#N/A</v>
      </c>
      <c r="B2655" s="451" t="str">
        <f>IFERROR(__xludf.DUMMYFUNCTION("""COMPUTED_VALUE"""),"#N/A")</f>
        <v>#N/A</v>
      </c>
    </row>
    <row r="2656">
      <c r="A2656" t="str">
        <f>IFERROR(__xludf.DUMMYFUNCTION("""COMPUTED_VALUE"""),"#N/A")</f>
        <v>#N/A</v>
      </c>
      <c r="B2656" s="451" t="str">
        <f>IFERROR(__xludf.DUMMYFUNCTION("""COMPUTED_VALUE"""),"#N/A")</f>
        <v>#N/A</v>
      </c>
    </row>
    <row r="2657">
      <c r="A2657" t="str">
        <f>IFERROR(__xludf.DUMMYFUNCTION("""COMPUTED_VALUE"""),"#N/A")</f>
        <v>#N/A</v>
      </c>
      <c r="B2657" s="451" t="str">
        <f>IFERROR(__xludf.DUMMYFUNCTION("""COMPUTED_VALUE"""),"#N/A")</f>
        <v>#N/A</v>
      </c>
    </row>
    <row r="2658">
      <c r="A2658" t="str">
        <f>IFERROR(__xludf.DUMMYFUNCTION("""COMPUTED_VALUE"""),"#N/A")</f>
        <v>#N/A</v>
      </c>
      <c r="B2658" s="451" t="str">
        <f>IFERROR(__xludf.DUMMYFUNCTION("""COMPUTED_VALUE"""),"#N/A")</f>
        <v>#N/A</v>
      </c>
    </row>
    <row r="2659">
      <c r="A2659" t="str">
        <f>IFERROR(__xludf.DUMMYFUNCTION("""COMPUTED_VALUE"""),"#N/A")</f>
        <v>#N/A</v>
      </c>
      <c r="B2659" s="451" t="str">
        <f>IFERROR(__xludf.DUMMYFUNCTION("""COMPUTED_VALUE"""),"#N/A")</f>
        <v>#N/A</v>
      </c>
    </row>
    <row r="2660">
      <c r="A2660" t="str">
        <f>IFERROR(__xludf.DUMMYFUNCTION("""COMPUTED_VALUE"""),"#N/A")</f>
        <v>#N/A</v>
      </c>
      <c r="B2660" s="451" t="str">
        <f>IFERROR(__xludf.DUMMYFUNCTION("""COMPUTED_VALUE"""),"#N/A")</f>
        <v>#N/A</v>
      </c>
    </row>
    <row r="2661">
      <c r="A2661" t="str">
        <f>IFERROR(__xludf.DUMMYFUNCTION("""COMPUTED_VALUE"""),"#N/A")</f>
        <v>#N/A</v>
      </c>
      <c r="B2661" s="451" t="str">
        <f>IFERROR(__xludf.DUMMYFUNCTION("""COMPUTED_VALUE"""),"#N/A")</f>
        <v>#N/A</v>
      </c>
    </row>
    <row r="2662">
      <c r="A2662" t="str">
        <f>IFERROR(__xludf.DUMMYFUNCTION("""COMPUTED_VALUE"""),"#N/A")</f>
        <v>#N/A</v>
      </c>
      <c r="B2662" s="451" t="str">
        <f>IFERROR(__xludf.DUMMYFUNCTION("""COMPUTED_VALUE"""),"#N/A")</f>
        <v>#N/A</v>
      </c>
    </row>
    <row r="2663">
      <c r="A2663" t="str">
        <f>IFERROR(__xludf.DUMMYFUNCTION("""COMPUTED_VALUE"""),"#N/A")</f>
        <v>#N/A</v>
      </c>
      <c r="B2663" s="451" t="str">
        <f>IFERROR(__xludf.DUMMYFUNCTION("""COMPUTED_VALUE"""),"#N/A")</f>
        <v>#N/A</v>
      </c>
    </row>
    <row r="2664">
      <c r="A2664" t="str">
        <f>IFERROR(__xludf.DUMMYFUNCTION("""COMPUTED_VALUE"""),"#N/A")</f>
        <v>#N/A</v>
      </c>
      <c r="B2664" s="451" t="str">
        <f>IFERROR(__xludf.DUMMYFUNCTION("""COMPUTED_VALUE"""),"#N/A")</f>
        <v>#N/A</v>
      </c>
    </row>
    <row r="2665">
      <c r="A2665" t="str">
        <f>IFERROR(__xludf.DUMMYFUNCTION("""COMPUTED_VALUE"""),"#N/A")</f>
        <v>#N/A</v>
      </c>
      <c r="B2665" s="451" t="str">
        <f>IFERROR(__xludf.DUMMYFUNCTION("""COMPUTED_VALUE"""),"#N/A")</f>
        <v>#N/A</v>
      </c>
    </row>
    <row r="2666">
      <c r="A2666" t="str">
        <f>IFERROR(__xludf.DUMMYFUNCTION("""COMPUTED_VALUE"""),"#N/A")</f>
        <v>#N/A</v>
      </c>
      <c r="B2666" s="451" t="str">
        <f>IFERROR(__xludf.DUMMYFUNCTION("""COMPUTED_VALUE"""),"#N/A")</f>
        <v>#N/A</v>
      </c>
    </row>
    <row r="2667">
      <c r="A2667" t="str">
        <f>IFERROR(__xludf.DUMMYFUNCTION("""COMPUTED_VALUE"""),"#N/A")</f>
        <v>#N/A</v>
      </c>
      <c r="B2667" s="451" t="str">
        <f>IFERROR(__xludf.DUMMYFUNCTION("""COMPUTED_VALUE"""),"#N/A")</f>
        <v>#N/A</v>
      </c>
    </row>
    <row r="2668">
      <c r="A2668" t="str">
        <f>IFERROR(__xludf.DUMMYFUNCTION("""COMPUTED_VALUE"""),"#N/A")</f>
        <v>#N/A</v>
      </c>
      <c r="B2668" s="451" t="str">
        <f>IFERROR(__xludf.DUMMYFUNCTION("""COMPUTED_VALUE"""),"#N/A")</f>
        <v>#N/A</v>
      </c>
    </row>
    <row r="2669">
      <c r="A2669" t="str">
        <f>IFERROR(__xludf.DUMMYFUNCTION("""COMPUTED_VALUE"""),"#N/A")</f>
        <v>#N/A</v>
      </c>
      <c r="B2669" s="451" t="str">
        <f>IFERROR(__xludf.DUMMYFUNCTION("""COMPUTED_VALUE"""),"#N/A")</f>
        <v>#N/A</v>
      </c>
    </row>
    <row r="2670">
      <c r="A2670" t="str">
        <f>IFERROR(__xludf.DUMMYFUNCTION("""COMPUTED_VALUE"""),"#N/A")</f>
        <v>#N/A</v>
      </c>
      <c r="B2670" s="451" t="str">
        <f>IFERROR(__xludf.DUMMYFUNCTION("""COMPUTED_VALUE"""),"#N/A")</f>
        <v>#N/A</v>
      </c>
    </row>
    <row r="2671">
      <c r="A2671" t="str">
        <f>IFERROR(__xludf.DUMMYFUNCTION("""COMPUTED_VALUE"""),"#N/A")</f>
        <v>#N/A</v>
      </c>
      <c r="B2671" s="451" t="str">
        <f>IFERROR(__xludf.DUMMYFUNCTION("""COMPUTED_VALUE"""),"#N/A")</f>
        <v>#N/A</v>
      </c>
    </row>
    <row r="2672">
      <c r="A2672" t="str">
        <f>IFERROR(__xludf.DUMMYFUNCTION("""COMPUTED_VALUE"""),"#N/A")</f>
        <v>#N/A</v>
      </c>
      <c r="B2672" s="451" t="str">
        <f>IFERROR(__xludf.DUMMYFUNCTION("""COMPUTED_VALUE"""),"#N/A")</f>
        <v>#N/A</v>
      </c>
    </row>
    <row r="2673">
      <c r="A2673" t="str">
        <f>IFERROR(__xludf.DUMMYFUNCTION("""COMPUTED_VALUE"""),"#N/A")</f>
        <v>#N/A</v>
      </c>
      <c r="B2673" s="451" t="str">
        <f>IFERROR(__xludf.DUMMYFUNCTION("""COMPUTED_VALUE"""),"#N/A")</f>
        <v>#N/A</v>
      </c>
    </row>
    <row r="2674">
      <c r="A2674" t="str">
        <f>IFERROR(__xludf.DUMMYFUNCTION("""COMPUTED_VALUE"""),"#N/A")</f>
        <v>#N/A</v>
      </c>
      <c r="B2674" s="451" t="str">
        <f>IFERROR(__xludf.DUMMYFUNCTION("""COMPUTED_VALUE"""),"#N/A")</f>
        <v>#N/A</v>
      </c>
    </row>
    <row r="2675">
      <c r="A2675" t="str">
        <f>IFERROR(__xludf.DUMMYFUNCTION("""COMPUTED_VALUE"""),"#N/A")</f>
        <v>#N/A</v>
      </c>
      <c r="B2675" s="451" t="str">
        <f>IFERROR(__xludf.DUMMYFUNCTION("""COMPUTED_VALUE"""),"#N/A")</f>
        <v>#N/A</v>
      </c>
    </row>
    <row r="2676">
      <c r="A2676" t="str">
        <f>IFERROR(__xludf.DUMMYFUNCTION("""COMPUTED_VALUE"""),"#N/A")</f>
        <v>#N/A</v>
      </c>
      <c r="B2676" s="451" t="str">
        <f>IFERROR(__xludf.DUMMYFUNCTION("""COMPUTED_VALUE"""),"#N/A")</f>
        <v>#N/A</v>
      </c>
    </row>
    <row r="2677">
      <c r="A2677" t="str">
        <f>IFERROR(__xludf.DUMMYFUNCTION("""COMPUTED_VALUE"""),"#N/A")</f>
        <v>#N/A</v>
      </c>
      <c r="B2677" s="451" t="str">
        <f>IFERROR(__xludf.DUMMYFUNCTION("""COMPUTED_VALUE"""),"#N/A")</f>
        <v>#N/A</v>
      </c>
    </row>
    <row r="2678">
      <c r="A2678" t="str">
        <f>IFERROR(__xludf.DUMMYFUNCTION("""COMPUTED_VALUE"""),"#N/A")</f>
        <v>#N/A</v>
      </c>
      <c r="B2678" s="451" t="str">
        <f>IFERROR(__xludf.DUMMYFUNCTION("""COMPUTED_VALUE"""),"#N/A")</f>
        <v>#N/A</v>
      </c>
    </row>
    <row r="2679">
      <c r="A2679" t="str">
        <f>IFERROR(__xludf.DUMMYFUNCTION("""COMPUTED_VALUE"""),"#N/A")</f>
        <v>#N/A</v>
      </c>
      <c r="B2679" s="451" t="str">
        <f>IFERROR(__xludf.DUMMYFUNCTION("""COMPUTED_VALUE"""),"#N/A")</f>
        <v>#N/A</v>
      </c>
    </row>
    <row r="2680">
      <c r="A2680" t="str">
        <f>IFERROR(__xludf.DUMMYFUNCTION("""COMPUTED_VALUE"""),"#N/A")</f>
        <v>#N/A</v>
      </c>
      <c r="B2680" s="451" t="str">
        <f>IFERROR(__xludf.DUMMYFUNCTION("""COMPUTED_VALUE"""),"#N/A")</f>
        <v>#N/A</v>
      </c>
    </row>
    <row r="2681">
      <c r="A2681" t="str">
        <f>IFERROR(__xludf.DUMMYFUNCTION("""COMPUTED_VALUE"""),"#N/A")</f>
        <v>#N/A</v>
      </c>
      <c r="B2681" s="451" t="str">
        <f>IFERROR(__xludf.DUMMYFUNCTION("""COMPUTED_VALUE"""),"#N/A")</f>
        <v>#N/A</v>
      </c>
    </row>
    <row r="2682">
      <c r="A2682" t="str">
        <f>IFERROR(__xludf.DUMMYFUNCTION("""COMPUTED_VALUE"""),"#N/A")</f>
        <v>#N/A</v>
      </c>
      <c r="B2682" s="451" t="str">
        <f>IFERROR(__xludf.DUMMYFUNCTION("""COMPUTED_VALUE"""),"#N/A")</f>
        <v>#N/A</v>
      </c>
    </row>
    <row r="2683">
      <c r="A2683" t="str">
        <f>IFERROR(__xludf.DUMMYFUNCTION("""COMPUTED_VALUE"""),"#N/A")</f>
        <v>#N/A</v>
      </c>
      <c r="B2683" s="451" t="str">
        <f>IFERROR(__xludf.DUMMYFUNCTION("""COMPUTED_VALUE"""),"#N/A")</f>
        <v>#N/A</v>
      </c>
    </row>
    <row r="2684">
      <c r="A2684" t="str">
        <f>IFERROR(__xludf.DUMMYFUNCTION("""COMPUTED_VALUE"""),"#N/A")</f>
        <v>#N/A</v>
      </c>
      <c r="B2684" s="451" t="str">
        <f>IFERROR(__xludf.DUMMYFUNCTION("""COMPUTED_VALUE"""),"#N/A")</f>
        <v>#N/A</v>
      </c>
    </row>
    <row r="2685">
      <c r="A2685" t="str">
        <f>IFERROR(__xludf.DUMMYFUNCTION("""COMPUTED_VALUE"""),"#N/A")</f>
        <v>#N/A</v>
      </c>
      <c r="B2685" s="451" t="str">
        <f>IFERROR(__xludf.DUMMYFUNCTION("""COMPUTED_VALUE"""),"#N/A")</f>
        <v>#N/A</v>
      </c>
    </row>
    <row r="2686">
      <c r="A2686" t="str">
        <f>IFERROR(__xludf.DUMMYFUNCTION("""COMPUTED_VALUE"""),"#N/A")</f>
        <v>#N/A</v>
      </c>
      <c r="B2686" s="451" t="str">
        <f>IFERROR(__xludf.DUMMYFUNCTION("""COMPUTED_VALUE"""),"#N/A")</f>
        <v>#N/A</v>
      </c>
    </row>
    <row r="2687">
      <c r="A2687" t="str">
        <f>IFERROR(__xludf.DUMMYFUNCTION("""COMPUTED_VALUE"""),"#N/A")</f>
        <v>#N/A</v>
      </c>
      <c r="B2687" s="451" t="str">
        <f>IFERROR(__xludf.DUMMYFUNCTION("""COMPUTED_VALUE"""),"#N/A")</f>
        <v>#N/A</v>
      </c>
    </row>
    <row r="2688">
      <c r="A2688" t="str">
        <f>IFERROR(__xludf.DUMMYFUNCTION("""COMPUTED_VALUE"""),"#N/A")</f>
        <v>#N/A</v>
      </c>
      <c r="B2688" s="451" t="str">
        <f>IFERROR(__xludf.DUMMYFUNCTION("""COMPUTED_VALUE"""),"#N/A")</f>
        <v>#N/A</v>
      </c>
    </row>
    <row r="2689">
      <c r="A2689" t="str">
        <f>IFERROR(__xludf.DUMMYFUNCTION("""COMPUTED_VALUE"""),"#N/A")</f>
        <v>#N/A</v>
      </c>
      <c r="B2689" s="451" t="str">
        <f>IFERROR(__xludf.DUMMYFUNCTION("""COMPUTED_VALUE"""),"#N/A")</f>
        <v>#N/A</v>
      </c>
    </row>
    <row r="2690">
      <c r="A2690" t="str">
        <f>IFERROR(__xludf.DUMMYFUNCTION("""COMPUTED_VALUE"""),"#N/A")</f>
        <v>#N/A</v>
      </c>
      <c r="B2690" s="451" t="str">
        <f>IFERROR(__xludf.DUMMYFUNCTION("""COMPUTED_VALUE"""),"#N/A")</f>
        <v>#N/A</v>
      </c>
    </row>
    <row r="2691">
      <c r="A2691" t="str">
        <f>IFERROR(__xludf.DUMMYFUNCTION("""COMPUTED_VALUE"""),"#N/A")</f>
        <v>#N/A</v>
      </c>
      <c r="B2691" s="451" t="str">
        <f>IFERROR(__xludf.DUMMYFUNCTION("""COMPUTED_VALUE"""),"#N/A")</f>
        <v>#N/A</v>
      </c>
    </row>
    <row r="2692">
      <c r="A2692" t="str">
        <f>IFERROR(__xludf.DUMMYFUNCTION("""COMPUTED_VALUE"""),"#N/A")</f>
        <v>#N/A</v>
      </c>
      <c r="B2692" s="451" t="str">
        <f>IFERROR(__xludf.DUMMYFUNCTION("""COMPUTED_VALUE"""),"#N/A")</f>
        <v>#N/A</v>
      </c>
    </row>
    <row r="2693">
      <c r="A2693" t="str">
        <f>IFERROR(__xludf.DUMMYFUNCTION("""COMPUTED_VALUE"""),"#N/A")</f>
        <v>#N/A</v>
      </c>
      <c r="B2693" s="451" t="str">
        <f>IFERROR(__xludf.DUMMYFUNCTION("""COMPUTED_VALUE"""),"#N/A")</f>
        <v>#N/A</v>
      </c>
    </row>
    <row r="2694">
      <c r="A2694" t="str">
        <f>IFERROR(__xludf.DUMMYFUNCTION("""COMPUTED_VALUE"""),"#N/A")</f>
        <v>#N/A</v>
      </c>
      <c r="B2694" s="451" t="str">
        <f>IFERROR(__xludf.DUMMYFUNCTION("""COMPUTED_VALUE"""),"#N/A")</f>
        <v>#N/A</v>
      </c>
    </row>
    <row r="2695">
      <c r="A2695" t="str">
        <f>IFERROR(__xludf.DUMMYFUNCTION("""COMPUTED_VALUE"""),"#N/A")</f>
        <v>#N/A</v>
      </c>
      <c r="B2695" s="451" t="str">
        <f>IFERROR(__xludf.DUMMYFUNCTION("""COMPUTED_VALUE"""),"#N/A")</f>
        <v>#N/A</v>
      </c>
    </row>
    <row r="2696">
      <c r="A2696" t="str">
        <f>IFERROR(__xludf.DUMMYFUNCTION("""COMPUTED_VALUE"""),"#N/A")</f>
        <v>#N/A</v>
      </c>
      <c r="B2696" s="451" t="str">
        <f>IFERROR(__xludf.DUMMYFUNCTION("""COMPUTED_VALUE"""),"#N/A")</f>
        <v>#N/A</v>
      </c>
    </row>
    <row r="2697">
      <c r="A2697" t="str">
        <f>IFERROR(__xludf.DUMMYFUNCTION("""COMPUTED_VALUE"""),"#N/A")</f>
        <v>#N/A</v>
      </c>
      <c r="B2697" s="451" t="str">
        <f>IFERROR(__xludf.DUMMYFUNCTION("""COMPUTED_VALUE"""),"#N/A")</f>
        <v>#N/A</v>
      </c>
    </row>
    <row r="2698">
      <c r="A2698" t="str">
        <f>IFERROR(__xludf.DUMMYFUNCTION("""COMPUTED_VALUE"""),"#N/A")</f>
        <v>#N/A</v>
      </c>
      <c r="B2698" s="451" t="str">
        <f>IFERROR(__xludf.DUMMYFUNCTION("""COMPUTED_VALUE"""),"#N/A")</f>
        <v>#N/A</v>
      </c>
    </row>
    <row r="2699">
      <c r="A2699" t="str">
        <f>IFERROR(__xludf.DUMMYFUNCTION("""COMPUTED_VALUE"""),"#N/A")</f>
        <v>#N/A</v>
      </c>
      <c r="B2699" s="451" t="str">
        <f>IFERROR(__xludf.DUMMYFUNCTION("""COMPUTED_VALUE"""),"#N/A")</f>
        <v>#N/A</v>
      </c>
    </row>
    <row r="2700">
      <c r="A2700" t="str">
        <f>IFERROR(__xludf.DUMMYFUNCTION("""COMPUTED_VALUE"""),"#N/A")</f>
        <v>#N/A</v>
      </c>
      <c r="B2700" s="451" t="str">
        <f>IFERROR(__xludf.DUMMYFUNCTION("""COMPUTED_VALUE"""),"#N/A")</f>
        <v>#N/A</v>
      </c>
    </row>
    <row r="2701">
      <c r="A2701" t="str">
        <f>IFERROR(__xludf.DUMMYFUNCTION("""COMPUTED_VALUE"""),"#N/A")</f>
        <v>#N/A</v>
      </c>
      <c r="B2701" s="451" t="str">
        <f>IFERROR(__xludf.DUMMYFUNCTION("""COMPUTED_VALUE"""),"#N/A")</f>
        <v>#N/A</v>
      </c>
    </row>
    <row r="2702">
      <c r="A2702" t="str">
        <f>IFERROR(__xludf.DUMMYFUNCTION("""COMPUTED_VALUE"""),"#N/A")</f>
        <v>#N/A</v>
      </c>
      <c r="B2702" s="451" t="str">
        <f>IFERROR(__xludf.DUMMYFUNCTION("""COMPUTED_VALUE"""),"#N/A")</f>
        <v>#N/A</v>
      </c>
    </row>
    <row r="2703">
      <c r="A2703" t="str">
        <f>IFERROR(__xludf.DUMMYFUNCTION("""COMPUTED_VALUE"""),"#N/A")</f>
        <v>#N/A</v>
      </c>
      <c r="B2703" s="451" t="str">
        <f>IFERROR(__xludf.DUMMYFUNCTION("""COMPUTED_VALUE"""),"#N/A")</f>
        <v>#N/A</v>
      </c>
    </row>
    <row r="2704">
      <c r="A2704" t="str">
        <f>IFERROR(__xludf.DUMMYFUNCTION("""COMPUTED_VALUE"""),"#N/A")</f>
        <v>#N/A</v>
      </c>
      <c r="B2704" s="451" t="str">
        <f>IFERROR(__xludf.DUMMYFUNCTION("""COMPUTED_VALUE"""),"#N/A")</f>
        <v>#N/A</v>
      </c>
    </row>
    <row r="2705">
      <c r="A2705" t="str">
        <f>IFERROR(__xludf.DUMMYFUNCTION("""COMPUTED_VALUE"""),"#N/A")</f>
        <v>#N/A</v>
      </c>
      <c r="B2705" s="451" t="str">
        <f>IFERROR(__xludf.DUMMYFUNCTION("""COMPUTED_VALUE"""),"#N/A")</f>
        <v>#N/A</v>
      </c>
    </row>
    <row r="2706">
      <c r="A2706" t="str">
        <f>IFERROR(__xludf.DUMMYFUNCTION("""COMPUTED_VALUE"""),"#N/A")</f>
        <v>#N/A</v>
      </c>
      <c r="B2706" s="451" t="str">
        <f>IFERROR(__xludf.DUMMYFUNCTION("""COMPUTED_VALUE"""),"#N/A")</f>
        <v>#N/A</v>
      </c>
    </row>
    <row r="2707">
      <c r="A2707" t="str">
        <f>IFERROR(__xludf.DUMMYFUNCTION("""COMPUTED_VALUE"""),"#N/A")</f>
        <v>#N/A</v>
      </c>
      <c r="B2707" s="451" t="str">
        <f>IFERROR(__xludf.DUMMYFUNCTION("""COMPUTED_VALUE"""),"#N/A")</f>
        <v>#N/A</v>
      </c>
    </row>
    <row r="2708">
      <c r="A2708" t="str">
        <f>IFERROR(__xludf.DUMMYFUNCTION("""COMPUTED_VALUE"""),"#N/A")</f>
        <v>#N/A</v>
      </c>
      <c r="B2708" s="451" t="str">
        <f>IFERROR(__xludf.DUMMYFUNCTION("""COMPUTED_VALUE"""),"#N/A")</f>
        <v>#N/A</v>
      </c>
    </row>
    <row r="2709">
      <c r="A2709" t="str">
        <f>IFERROR(__xludf.DUMMYFUNCTION("""COMPUTED_VALUE"""),"#N/A")</f>
        <v>#N/A</v>
      </c>
      <c r="B2709" s="451" t="str">
        <f>IFERROR(__xludf.DUMMYFUNCTION("""COMPUTED_VALUE"""),"#N/A")</f>
        <v>#N/A</v>
      </c>
    </row>
    <row r="2710">
      <c r="A2710" t="str">
        <f>IFERROR(__xludf.DUMMYFUNCTION("""COMPUTED_VALUE"""),"#N/A")</f>
        <v>#N/A</v>
      </c>
      <c r="B2710" s="451" t="str">
        <f>IFERROR(__xludf.DUMMYFUNCTION("""COMPUTED_VALUE"""),"#N/A")</f>
        <v>#N/A</v>
      </c>
    </row>
    <row r="2711">
      <c r="A2711" t="str">
        <f>IFERROR(__xludf.DUMMYFUNCTION("""COMPUTED_VALUE"""),"#N/A")</f>
        <v>#N/A</v>
      </c>
      <c r="B2711" s="451" t="str">
        <f>IFERROR(__xludf.DUMMYFUNCTION("""COMPUTED_VALUE"""),"#N/A")</f>
        <v>#N/A</v>
      </c>
    </row>
    <row r="2712">
      <c r="A2712" t="str">
        <f>IFERROR(__xludf.DUMMYFUNCTION("""COMPUTED_VALUE"""),"#N/A")</f>
        <v>#N/A</v>
      </c>
      <c r="B2712" s="451" t="str">
        <f>IFERROR(__xludf.DUMMYFUNCTION("""COMPUTED_VALUE"""),"#N/A")</f>
        <v>#N/A</v>
      </c>
    </row>
    <row r="2713">
      <c r="A2713" t="str">
        <f>IFERROR(__xludf.DUMMYFUNCTION("""COMPUTED_VALUE"""),"#N/A")</f>
        <v>#N/A</v>
      </c>
      <c r="B2713" s="451" t="str">
        <f>IFERROR(__xludf.DUMMYFUNCTION("""COMPUTED_VALUE"""),"#N/A")</f>
        <v>#N/A</v>
      </c>
    </row>
    <row r="2714">
      <c r="A2714" t="str">
        <f>IFERROR(__xludf.DUMMYFUNCTION("""COMPUTED_VALUE"""),"#N/A")</f>
        <v>#N/A</v>
      </c>
      <c r="B2714" s="451" t="str">
        <f>IFERROR(__xludf.DUMMYFUNCTION("""COMPUTED_VALUE"""),"#N/A")</f>
        <v>#N/A</v>
      </c>
    </row>
    <row r="2715">
      <c r="A2715" t="str">
        <f>IFERROR(__xludf.DUMMYFUNCTION("""COMPUTED_VALUE"""),"#N/A")</f>
        <v>#N/A</v>
      </c>
      <c r="B2715" s="451" t="str">
        <f>IFERROR(__xludf.DUMMYFUNCTION("""COMPUTED_VALUE"""),"#N/A")</f>
        <v>#N/A</v>
      </c>
    </row>
    <row r="2716">
      <c r="A2716" t="str">
        <f>IFERROR(__xludf.DUMMYFUNCTION("""COMPUTED_VALUE"""),"#N/A")</f>
        <v>#N/A</v>
      </c>
      <c r="B2716" s="451" t="str">
        <f>IFERROR(__xludf.DUMMYFUNCTION("""COMPUTED_VALUE"""),"#N/A")</f>
        <v>#N/A</v>
      </c>
    </row>
    <row r="2717">
      <c r="A2717" t="str">
        <f>IFERROR(__xludf.DUMMYFUNCTION("""COMPUTED_VALUE"""),"#N/A")</f>
        <v>#N/A</v>
      </c>
      <c r="B2717" s="451" t="str">
        <f>IFERROR(__xludf.DUMMYFUNCTION("""COMPUTED_VALUE"""),"#N/A")</f>
        <v>#N/A</v>
      </c>
    </row>
    <row r="2718">
      <c r="A2718" t="str">
        <f>IFERROR(__xludf.DUMMYFUNCTION("""COMPUTED_VALUE"""),"#N/A")</f>
        <v>#N/A</v>
      </c>
      <c r="B2718" s="451" t="str">
        <f>IFERROR(__xludf.DUMMYFUNCTION("""COMPUTED_VALUE"""),"#N/A")</f>
        <v>#N/A</v>
      </c>
    </row>
    <row r="2719">
      <c r="A2719" t="str">
        <f>IFERROR(__xludf.DUMMYFUNCTION("""COMPUTED_VALUE"""),"#N/A")</f>
        <v>#N/A</v>
      </c>
      <c r="B2719" s="451" t="str">
        <f>IFERROR(__xludf.DUMMYFUNCTION("""COMPUTED_VALUE"""),"#N/A")</f>
        <v>#N/A</v>
      </c>
    </row>
    <row r="2720">
      <c r="A2720" t="str">
        <f>IFERROR(__xludf.DUMMYFUNCTION("""COMPUTED_VALUE"""),"#N/A")</f>
        <v>#N/A</v>
      </c>
      <c r="B2720" s="451" t="str">
        <f>IFERROR(__xludf.DUMMYFUNCTION("""COMPUTED_VALUE"""),"#N/A")</f>
        <v>#N/A</v>
      </c>
    </row>
    <row r="2721">
      <c r="A2721" t="str">
        <f>IFERROR(__xludf.DUMMYFUNCTION("""COMPUTED_VALUE"""),"#N/A")</f>
        <v>#N/A</v>
      </c>
      <c r="B2721" s="451" t="str">
        <f>IFERROR(__xludf.DUMMYFUNCTION("""COMPUTED_VALUE"""),"#N/A")</f>
        <v>#N/A</v>
      </c>
    </row>
    <row r="2722">
      <c r="A2722" t="str">
        <f>IFERROR(__xludf.DUMMYFUNCTION("""COMPUTED_VALUE"""),"#N/A")</f>
        <v>#N/A</v>
      </c>
      <c r="B2722" s="451" t="str">
        <f>IFERROR(__xludf.DUMMYFUNCTION("""COMPUTED_VALUE"""),"#N/A")</f>
        <v>#N/A</v>
      </c>
    </row>
    <row r="2723">
      <c r="A2723" t="str">
        <f>IFERROR(__xludf.DUMMYFUNCTION("""COMPUTED_VALUE"""),"#N/A")</f>
        <v>#N/A</v>
      </c>
      <c r="B2723" s="451" t="str">
        <f>IFERROR(__xludf.DUMMYFUNCTION("""COMPUTED_VALUE"""),"#N/A")</f>
        <v>#N/A</v>
      </c>
    </row>
    <row r="2724">
      <c r="A2724" t="str">
        <f>IFERROR(__xludf.DUMMYFUNCTION("""COMPUTED_VALUE"""),"#N/A")</f>
        <v>#N/A</v>
      </c>
      <c r="B2724" s="451" t="str">
        <f>IFERROR(__xludf.DUMMYFUNCTION("""COMPUTED_VALUE"""),"#N/A")</f>
        <v>#N/A</v>
      </c>
    </row>
    <row r="2725">
      <c r="A2725" t="str">
        <f>IFERROR(__xludf.DUMMYFUNCTION("""COMPUTED_VALUE"""),"#N/A")</f>
        <v>#N/A</v>
      </c>
      <c r="B2725" s="451" t="str">
        <f>IFERROR(__xludf.DUMMYFUNCTION("""COMPUTED_VALUE"""),"#N/A")</f>
        <v>#N/A</v>
      </c>
    </row>
    <row r="2726">
      <c r="A2726" t="str">
        <f>IFERROR(__xludf.DUMMYFUNCTION("""COMPUTED_VALUE"""),"#N/A")</f>
        <v>#N/A</v>
      </c>
      <c r="B2726" s="451" t="str">
        <f>IFERROR(__xludf.DUMMYFUNCTION("""COMPUTED_VALUE"""),"#N/A")</f>
        <v>#N/A</v>
      </c>
    </row>
    <row r="2727">
      <c r="A2727" t="str">
        <f>IFERROR(__xludf.DUMMYFUNCTION("""COMPUTED_VALUE"""),"#N/A")</f>
        <v>#N/A</v>
      </c>
      <c r="B2727" s="451" t="str">
        <f>IFERROR(__xludf.DUMMYFUNCTION("""COMPUTED_VALUE"""),"#N/A")</f>
        <v>#N/A</v>
      </c>
    </row>
    <row r="2728">
      <c r="A2728" t="str">
        <f>IFERROR(__xludf.DUMMYFUNCTION("""COMPUTED_VALUE"""),"#N/A")</f>
        <v>#N/A</v>
      </c>
      <c r="B2728" s="451" t="str">
        <f>IFERROR(__xludf.DUMMYFUNCTION("""COMPUTED_VALUE"""),"#N/A")</f>
        <v>#N/A</v>
      </c>
    </row>
    <row r="2729">
      <c r="A2729" t="str">
        <f>IFERROR(__xludf.DUMMYFUNCTION("""COMPUTED_VALUE"""),"#N/A")</f>
        <v>#N/A</v>
      </c>
      <c r="B2729" s="451" t="str">
        <f>IFERROR(__xludf.DUMMYFUNCTION("""COMPUTED_VALUE"""),"#N/A")</f>
        <v>#N/A</v>
      </c>
    </row>
    <row r="2730">
      <c r="A2730" t="str">
        <f>IFERROR(__xludf.DUMMYFUNCTION("""COMPUTED_VALUE"""),"#N/A")</f>
        <v>#N/A</v>
      </c>
      <c r="B2730" s="451" t="str">
        <f>IFERROR(__xludf.DUMMYFUNCTION("""COMPUTED_VALUE"""),"#N/A")</f>
        <v>#N/A</v>
      </c>
    </row>
    <row r="2731">
      <c r="A2731" t="str">
        <f>IFERROR(__xludf.DUMMYFUNCTION("""COMPUTED_VALUE"""),"#N/A")</f>
        <v>#N/A</v>
      </c>
      <c r="B2731" s="451" t="str">
        <f>IFERROR(__xludf.DUMMYFUNCTION("""COMPUTED_VALUE"""),"#N/A")</f>
        <v>#N/A</v>
      </c>
    </row>
    <row r="2732">
      <c r="A2732" t="str">
        <f>IFERROR(__xludf.DUMMYFUNCTION("""COMPUTED_VALUE"""),"#N/A")</f>
        <v>#N/A</v>
      </c>
      <c r="B2732" s="451" t="str">
        <f>IFERROR(__xludf.DUMMYFUNCTION("""COMPUTED_VALUE"""),"#N/A")</f>
        <v>#N/A</v>
      </c>
    </row>
    <row r="2733">
      <c r="A2733" t="str">
        <f>IFERROR(__xludf.DUMMYFUNCTION("""COMPUTED_VALUE"""),"#N/A")</f>
        <v>#N/A</v>
      </c>
      <c r="B2733" s="451" t="str">
        <f>IFERROR(__xludf.DUMMYFUNCTION("""COMPUTED_VALUE"""),"#N/A")</f>
        <v>#N/A</v>
      </c>
    </row>
    <row r="2734">
      <c r="A2734" t="str">
        <f>IFERROR(__xludf.DUMMYFUNCTION("""COMPUTED_VALUE"""),"#N/A")</f>
        <v>#N/A</v>
      </c>
      <c r="B2734" s="451" t="str">
        <f>IFERROR(__xludf.DUMMYFUNCTION("""COMPUTED_VALUE"""),"#N/A")</f>
        <v>#N/A</v>
      </c>
    </row>
    <row r="2735">
      <c r="A2735" t="str">
        <f>IFERROR(__xludf.DUMMYFUNCTION("""COMPUTED_VALUE"""),"#N/A")</f>
        <v>#N/A</v>
      </c>
      <c r="B2735" s="451" t="str">
        <f>IFERROR(__xludf.DUMMYFUNCTION("""COMPUTED_VALUE"""),"#N/A")</f>
        <v>#N/A</v>
      </c>
    </row>
    <row r="2736">
      <c r="A2736" t="str">
        <f>IFERROR(__xludf.DUMMYFUNCTION("""COMPUTED_VALUE"""),"#N/A")</f>
        <v>#N/A</v>
      </c>
      <c r="B2736" s="451" t="str">
        <f>IFERROR(__xludf.DUMMYFUNCTION("""COMPUTED_VALUE"""),"#N/A")</f>
        <v>#N/A</v>
      </c>
    </row>
    <row r="2737">
      <c r="A2737" t="str">
        <f>IFERROR(__xludf.DUMMYFUNCTION("""COMPUTED_VALUE"""),"#N/A")</f>
        <v>#N/A</v>
      </c>
      <c r="B2737" s="451" t="str">
        <f>IFERROR(__xludf.DUMMYFUNCTION("""COMPUTED_VALUE"""),"#N/A")</f>
        <v>#N/A</v>
      </c>
    </row>
    <row r="2738">
      <c r="A2738" t="str">
        <f>IFERROR(__xludf.DUMMYFUNCTION("""COMPUTED_VALUE"""),"#N/A")</f>
        <v>#N/A</v>
      </c>
      <c r="B2738" s="451" t="str">
        <f>IFERROR(__xludf.DUMMYFUNCTION("""COMPUTED_VALUE"""),"#N/A")</f>
        <v>#N/A</v>
      </c>
    </row>
    <row r="2739">
      <c r="A2739" t="str">
        <f>IFERROR(__xludf.DUMMYFUNCTION("""COMPUTED_VALUE"""),"#N/A")</f>
        <v>#N/A</v>
      </c>
      <c r="B2739" s="451" t="str">
        <f>IFERROR(__xludf.DUMMYFUNCTION("""COMPUTED_VALUE"""),"#N/A")</f>
        <v>#N/A</v>
      </c>
    </row>
    <row r="2740">
      <c r="A2740" t="str">
        <f>IFERROR(__xludf.DUMMYFUNCTION("""COMPUTED_VALUE"""),"#N/A")</f>
        <v>#N/A</v>
      </c>
      <c r="B2740" s="451" t="str">
        <f>IFERROR(__xludf.DUMMYFUNCTION("""COMPUTED_VALUE"""),"#N/A")</f>
        <v>#N/A</v>
      </c>
    </row>
    <row r="2741">
      <c r="A2741" t="str">
        <f>IFERROR(__xludf.DUMMYFUNCTION("""COMPUTED_VALUE"""),"#N/A")</f>
        <v>#N/A</v>
      </c>
      <c r="B2741" s="451" t="str">
        <f>IFERROR(__xludf.DUMMYFUNCTION("""COMPUTED_VALUE"""),"#N/A")</f>
        <v>#N/A</v>
      </c>
    </row>
    <row r="2742">
      <c r="A2742" t="str">
        <f>IFERROR(__xludf.DUMMYFUNCTION("""COMPUTED_VALUE"""),"#N/A")</f>
        <v>#N/A</v>
      </c>
      <c r="B2742" s="451" t="str">
        <f>IFERROR(__xludf.DUMMYFUNCTION("""COMPUTED_VALUE"""),"#N/A")</f>
        <v>#N/A</v>
      </c>
    </row>
    <row r="2743">
      <c r="A2743" t="str">
        <f>IFERROR(__xludf.DUMMYFUNCTION("""COMPUTED_VALUE"""),"#N/A")</f>
        <v>#N/A</v>
      </c>
      <c r="B2743" s="451" t="str">
        <f>IFERROR(__xludf.DUMMYFUNCTION("""COMPUTED_VALUE"""),"#N/A")</f>
        <v>#N/A</v>
      </c>
    </row>
    <row r="2744">
      <c r="A2744" t="str">
        <f>IFERROR(__xludf.DUMMYFUNCTION("""COMPUTED_VALUE"""),"#N/A")</f>
        <v>#N/A</v>
      </c>
      <c r="B2744" s="451" t="str">
        <f>IFERROR(__xludf.DUMMYFUNCTION("""COMPUTED_VALUE"""),"#N/A")</f>
        <v>#N/A</v>
      </c>
    </row>
    <row r="2745">
      <c r="A2745" t="str">
        <f>IFERROR(__xludf.DUMMYFUNCTION("""COMPUTED_VALUE"""),"#N/A")</f>
        <v>#N/A</v>
      </c>
      <c r="B2745" s="451" t="str">
        <f>IFERROR(__xludf.DUMMYFUNCTION("""COMPUTED_VALUE"""),"#N/A")</f>
        <v>#N/A</v>
      </c>
    </row>
    <row r="2746">
      <c r="A2746" t="str">
        <f>IFERROR(__xludf.DUMMYFUNCTION("""COMPUTED_VALUE"""),"#N/A")</f>
        <v>#N/A</v>
      </c>
      <c r="B2746" s="451" t="str">
        <f>IFERROR(__xludf.DUMMYFUNCTION("""COMPUTED_VALUE"""),"#N/A")</f>
        <v>#N/A</v>
      </c>
    </row>
    <row r="2747">
      <c r="A2747" t="str">
        <f>IFERROR(__xludf.DUMMYFUNCTION("""COMPUTED_VALUE"""),"#N/A")</f>
        <v>#N/A</v>
      </c>
      <c r="B2747" s="451" t="str">
        <f>IFERROR(__xludf.DUMMYFUNCTION("""COMPUTED_VALUE"""),"#N/A")</f>
        <v>#N/A</v>
      </c>
    </row>
    <row r="2748">
      <c r="A2748" t="str">
        <f>IFERROR(__xludf.DUMMYFUNCTION("""COMPUTED_VALUE"""),"#N/A")</f>
        <v>#N/A</v>
      </c>
      <c r="B2748" s="451" t="str">
        <f>IFERROR(__xludf.DUMMYFUNCTION("""COMPUTED_VALUE"""),"#N/A")</f>
        <v>#N/A</v>
      </c>
    </row>
    <row r="2749">
      <c r="A2749" t="str">
        <f>IFERROR(__xludf.DUMMYFUNCTION("""COMPUTED_VALUE"""),"#N/A")</f>
        <v>#N/A</v>
      </c>
      <c r="B2749" s="451" t="str">
        <f>IFERROR(__xludf.DUMMYFUNCTION("""COMPUTED_VALUE"""),"#N/A")</f>
        <v>#N/A</v>
      </c>
    </row>
    <row r="2750">
      <c r="A2750" t="str">
        <f>IFERROR(__xludf.DUMMYFUNCTION("""COMPUTED_VALUE"""),"#N/A")</f>
        <v>#N/A</v>
      </c>
      <c r="B2750" s="451" t="str">
        <f>IFERROR(__xludf.DUMMYFUNCTION("""COMPUTED_VALUE"""),"#N/A")</f>
        <v>#N/A</v>
      </c>
    </row>
    <row r="2751">
      <c r="A2751" t="str">
        <f>IFERROR(__xludf.DUMMYFUNCTION("""COMPUTED_VALUE"""),"#N/A")</f>
        <v>#N/A</v>
      </c>
      <c r="B2751" s="451" t="str">
        <f>IFERROR(__xludf.DUMMYFUNCTION("""COMPUTED_VALUE"""),"#N/A")</f>
        <v>#N/A</v>
      </c>
    </row>
    <row r="2752">
      <c r="A2752" t="str">
        <f>IFERROR(__xludf.DUMMYFUNCTION("""COMPUTED_VALUE"""),"#N/A")</f>
        <v>#N/A</v>
      </c>
      <c r="B2752" s="451" t="str">
        <f>IFERROR(__xludf.DUMMYFUNCTION("""COMPUTED_VALUE"""),"#N/A")</f>
        <v>#N/A</v>
      </c>
    </row>
    <row r="2753">
      <c r="A2753" t="str">
        <f>IFERROR(__xludf.DUMMYFUNCTION("""COMPUTED_VALUE"""),"#N/A")</f>
        <v>#N/A</v>
      </c>
      <c r="B2753" s="451" t="str">
        <f>IFERROR(__xludf.DUMMYFUNCTION("""COMPUTED_VALUE"""),"#N/A")</f>
        <v>#N/A</v>
      </c>
    </row>
    <row r="2754">
      <c r="A2754" t="str">
        <f>IFERROR(__xludf.DUMMYFUNCTION("""COMPUTED_VALUE"""),"#N/A")</f>
        <v>#N/A</v>
      </c>
      <c r="B2754" s="451" t="str">
        <f>IFERROR(__xludf.DUMMYFUNCTION("""COMPUTED_VALUE"""),"#N/A")</f>
        <v>#N/A</v>
      </c>
    </row>
    <row r="2755">
      <c r="A2755" t="str">
        <f>IFERROR(__xludf.DUMMYFUNCTION("""COMPUTED_VALUE"""),"#N/A")</f>
        <v>#N/A</v>
      </c>
      <c r="B2755" s="451" t="str">
        <f>IFERROR(__xludf.DUMMYFUNCTION("""COMPUTED_VALUE"""),"#N/A")</f>
        <v>#N/A</v>
      </c>
    </row>
    <row r="2756">
      <c r="A2756" t="str">
        <f>IFERROR(__xludf.DUMMYFUNCTION("""COMPUTED_VALUE"""),"#N/A")</f>
        <v>#N/A</v>
      </c>
      <c r="B2756" s="451" t="str">
        <f>IFERROR(__xludf.DUMMYFUNCTION("""COMPUTED_VALUE"""),"#N/A")</f>
        <v>#N/A</v>
      </c>
    </row>
    <row r="2757">
      <c r="A2757" t="str">
        <f>IFERROR(__xludf.DUMMYFUNCTION("""COMPUTED_VALUE"""),"#N/A")</f>
        <v>#N/A</v>
      </c>
      <c r="B2757" s="451" t="str">
        <f>IFERROR(__xludf.DUMMYFUNCTION("""COMPUTED_VALUE"""),"#N/A")</f>
        <v>#N/A</v>
      </c>
    </row>
    <row r="2758">
      <c r="A2758" t="str">
        <f>IFERROR(__xludf.DUMMYFUNCTION("""COMPUTED_VALUE"""),"#N/A")</f>
        <v>#N/A</v>
      </c>
      <c r="B2758" s="451" t="str">
        <f>IFERROR(__xludf.DUMMYFUNCTION("""COMPUTED_VALUE"""),"#N/A")</f>
        <v>#N/A</v>
      </c>
    </row>
    <row r="2759">
      <c r="A2759" t="str">
        <f>IFERROR(__xludf.DUMMYFUNCTION("""COMPUTED_VALUE"""),"#N/A")</f>
        <v>#N/A</v>
      </c>
      <c r="B2759" s="451" t="str">
        <f>IFERROR(__xludf.DUMMYFUNCTION("""COMPUTED_VALUE"""),"#N/A")</f>
        <v>#N/A</v>
      </c>
    </row>
    <row r="2760">
      <c r="A2760" t="str">
        <f>IFERROR(__xludf.DUMMYFUNCTION("""COMPUTED_VALUE"""),"#N/A")</f>
        <v>#N/A</v>
      </c>
      <c r="B2760" s="451" t="str">
        <f>IFERROR(__xludf.DUMMYFUNCTION("""COMPUTED_VALUE"""),"#N/A")</f>
        <v>#N/A</v>
      </c>
    </row>
    <row r="2761">
      <c r="A2761" t="str">
        <f>IFERROR(__xludf.DUMMYFUNCTION("""COMPUTED_VALUE"""),"#N/A")</f>
        <v>#N/A</v>
      </c>
      <c r="B2761" s="451" t="str">
        <f>IFERROR(__xludf.DUMMYFUNCTION("""COMPUTED_VALUE"""),"#N/A")</f>
        <v>#N/A</v>
      </c>
    </row>
    <row r="2762">
      <c r="A2762" t="str">
        <f>IFERROR(__xludf.DUMMYFUNCTION("""COMPUTED_VALUE"""),"#N/A")</f>
        <v>#N/A</v>
      </c>
      <c r="B2762" s="451" t="str">
        <f>IFERROR(__xludf.DUMMYFUNCTION("""COMPUTED_VALUE"""),"#N/A")</f>
        <v>#N/A</v>
      </c>
    </row>
    <row r="2763">
      <c r="A2763" t="str">
        <f>IFERROR(__xludf.DUMMYFUNCTION("""COMPUTED_VALUE"""),"#N/A")</f>
        <v>#N/A</v>
      </c>
      <c r="B2763" s="451" t="str">
        <f>IFERROR(__xludf.DUMMYFUNCTION("""COMPUTED_VALUE"""),"#N/A")</f>
        <v>#N/A</v>
      </c>
    </row>
    <row r="2764">
      <c r="A2764" t="str">
        <f>IFERROR(__xludf.DUMMYFUNCTION("""COMPUTED_VALUE"""),"#N/A")</f>
        <v>#N/A</v>
      </c>
      <c r="B2764" s="451" t="str">
        <f>IFERROR(__xludf.DUMMYFUNCTION("""COMPUTED_VALUE"""),"#N/A")</f>
        <v>#N/A</v>
      </c>
    </row>
    <row r="2765">
      <c r="A2765" t="str">
        <f>IFERROR(__xludf.DUMMYFUNCTION("""COMPUTED_VALUE"""),"#N/A")</f>
        <v>#N/A</v>
      </c>
      <c r="B2765" s="451" t="str">
        <f>IFERROR(__xludf.DUMMYFUNCTION("""COMPUTED_VALUE"""),"#N/A")</f>
        <v>#N/A</v>
      </c>
    </row>
    <row r="2766">
      <c r="A2766" t="str">
        <f>IFERROR(__xludf.DUMMYFUNCTION("""COMPUTED_VALUE"""),"#N/A")</f>
        <v>#N/A</v>
      </c>
      <c r="B2766" s="451" t="str">
        <f>IFERROR(__xludf.DUMMYFUNCTION("""COMPUTED_VALUE"""),"#N/A")</f>
        <v>#N/A</v>
      </c>
    </row>
    <row r="2767">
      <c r="A2767" t="str">
        <f>IFERROR(__xludf.DUMMYFUNCTION("""COMPUTED_VALUE"""),"#N/A")</f>
        <v>#N/A</v>
      </c>
      <c r="B2767" s="451" t="str">
        <f>IFERROR(__xludf.DUMMYFUNCTION("""COMPUTED_VALUE"""),"#N/A")</f>
        <v>#N/A</v>
      </c>
    </row>
    <row r="2768">
      <c r="A2768" t="str">
        <f>IFERROR(__xludf.DUMMYFUNCTION("""COMPUTED_VALUE"""),"#N/A")</f>
        <v>#N/A</v>
      </c>
      <c r="B2768" s="451" t="str">
        <f>IFERROR(__xludf.DUMMYFUNCTION("""COMPUTED_VALUE"""),"#N/A")</f>
        <v>#N/A</v>
      </c>
    </row>
    <row r="2769">
      <c r="A2769" t="str">
        <f>IFERROR(__xludf.DUMMYFUNCTION("""COMPUTED_VALUE"""),"#N/A")</f>
        <v>#N/A</v>
      </c>
      <c r="B2769" s="451" t="str">
        <f>IFERROR(__xludf.DUMMYFUNCTION("""COMPUTED_VALUE"""),"#N/A")</f>
        <v>#N/A</v>
      </c>
    </row>
    <row r="2770">
      <c r="A2770" t="str">
        <f>IFERROR(__xludf.DUMMYFUNCTION("""COMPUTED_VALUE"""),"#N/A")</f>
        <v>#N/A</v>
      </c>
      <c r="B2770" s="451" t="str">
        <f>IFERROR(__xludf.DUMMYFUNCTION("""COMPUTED_VALUE"""),"#N/A")</f>
        <v>#N/A</v>
      </c>
    </row>
    <row r="2771">
      <c r="A2771" t="str">
        <f>IFERROR(__xludf.DUMMYFUNCTION("""COMPUTED_VALUE"""),"#N/A")</f>
        <v>#N/A</v>
      </c>
      <c r="B2771" s="451" t="str">
        <f>IFERROR(__xludf.DUMMYFUNCTION("""COMPUTED_VALUE"""),"#N/A")</f>
        <v>#N/A</v>
      </c>
    </row>
    <row r="2772">
      <c r="A2772" t="str">
        <f>IFERROR(__xludf.DUMMYFUNCTION("""COMPUTED_VALUE"""),"#N/A")</f>
        <v>#N/A</v>
      </c>
      <c r="B2772" s="451" t="str">
        <f>IFERROR(__xludf.DUMMYFUNCTION("""COMPUTED_VALUE"""),"#N/A")</f>
        <v>#N/A</v>
      </c>
    </row>
    <row r="2773">
      <c r="A2773" t="str">
        <f>IFERROR(__xludf.DUMMYFUNCTION("""COMPUTED_VALUE"""),"#N/A")</f>
        <v>#N/A</v>
      </c>
      <c r="B2773" s="451" t="str">
        <f>IFERROR(__xludf.DUMMYFUNCTION("""COMPUTED_VALUE"""),"#N/A")</f>
        <v>#N/A</v>
      </c>
    </row>
    <row r="2774">
      <c r="A2774" t="str">
        <f>IFERROR(__xludf.DUMMYFUNCTION("""COMPUTED_VALUE"""),"#N/A")</f>
        <v>#N/A</v>
      </c>
      <c r="B2774" s="451" t="str">
        <f>IFERROR(__xludf.DUMMYFUNCTION("""COMPUTED_VALUE"""),"#N/A")</f>
        <v>#N/A</v>
      </c>
    </row>
    <row r="2775">
      <c r="A2775" t="str">
        <f>IFERROR(__xludf.DUMMYFUNCTION("""COMPUTED_VALUE"""),"#N/A")</f>
        <v>#N/A</v>
      </c>
      <c r="B2775" s="451" t="str">
        <f>IFERROR(__xludf.DUMMYFUNCTION("""COMPUTED_VALUE"""),"#N/A")</f>
        <v>#N/A</v>
      </c>
    </row>
    <row r="2776">
      <c r="A2776" t="str">
        <f>IFERROR(__xludf.DUMMYFUNCTION("""COMPUTED_VALUE"""),"#N/A")</f>
        <v>#N/A</v>
      </c>
      <c r="B2776" s="451" t="str">
        <f>IFERROR(__xludf.DUMMYFUNCTION("""COMPUTED_VALUE"""),"#N/A")</f>
        <v>#N/A</v>
      </c>
    </row>
    <row r="2777">
      <c r="A2777" t="str">
        <f>IFERROR(__xludf.DUMMYFUNCTION("""COMPUTED_VALUE"""),"#N/A")</f>
        <v>#N/A</v>
      </c>
      <c r="B2777" s="451" t="str">
        <f>IFERROR(__xludf.DUMMYFUNCTION("""COMPUTED_VALUE"""),"#N/A")</f>
        <v>#N/A</v>
      </c>
    </row>
    <row r="2778">
      <c r="A2778" t="str">
        <f>IFERROR(__xludf.DUMMYFUNCTION("""COMPUTED_VALUE"""),"#N/A")</f>
        <v>#N/A</v>
      </c>
      <c r="B2778" s="451" t="str">
        <f>IFERROR(__xludf.DUMMYFUNCTION("""COMPUTED_VALUE"""),"#N/A")</f>
        <v>#N/A</v>
      </c>
    </row>
    <row r="2779">
      <c r="A2779" t="str">
        <f>IFERROR(__xludf.DUMMYFUNCTION("""COMPUTED_VALUE"""),"#N/A")</f>
        <v>#N/A</v>
      </c>
      <c r="B2779" s="451" t="str">
        <f>IFERROR(__xludf.DUMMYFUNCTION("""COMPUTED_VALUE"""),"#N/A")</f>
        <v>#N/A</v>
      </c>
    </row>
    <row r="2780">
      <c r="A2780" t="str">
        <f>IFERROR(__xludf.DUMMYFUNCTION("""COMPUTED_VALUE"""),"#N/A")</f>
        <v>#N/A</v>
      </c>
      <c r="B2780" s="451" t="str">
        <f>IFERROR(__xludf.DUMMYFUNCTION("""COMPUTED_VALUE"""),"#N/A")</f>
        <v>#N/A</v>
      </c>
    </row>
    <row r="2781">
      <c r="A2781" t="str">
        <f>IFERROR(__xludf.DUMMYFUNCTION("""COMPUTED_VALUE"""),"#N/A")</f>
        <v>#N/A</v>
      </c>
      <c r="B2781" s="451" t="str">
        <f>IFERROR(__xludf.DUMMYFUNCTION("""COMPUTED_VALUE"""),"#N/A")</f>
        <v>#N/A</v>
      </c>
    </row>
    <row r="2782">
      <c r="A2782" t="str">
        <f>IFERROR(__xludf.DUMMYFUNCTION("""COMPUTED_VALUE"""),"#N/A")</f>
        <v>#N/A</v>
      </c>
      <c r="B2782" s="451" t="str">
        <f>IFERROR(__xludf.DUMMYFUNCTION("""COMPUTED_VALUE"""),"#N/A")</f>
        <v>#N/A</v>
      </c>
    </row>
    <row r="2783">
      <c r="A2783" t="str">
        <f>IFERROR(__xludf.DUMMYFUNCTION("""COMPUTED_VALUE"""),"#N/A")</f>
        <v>#N/A</v>
      </c>
      <c r="B2783" s="451" t="str">
        <f>IFERROR(__xludf.DUMMYFUNCTION("""COMPUTED_VALUE"""),"#N/A")</f>
        <v>#N/A</v>
      </c>
    </row>
    <row r="2784">
      <c r="A2784" t="str">
        <f>IFERROR(__xludf.DUMMYFUNCTION("""COMPUTED_VALUE"""),"#N/A")</f>
        <v>#N/A</v>
      </c>
      <c r="B2784" s="451" t="str">
        <f>IFERROR(__xludf.DUMMYFUNCTION("""COMPUTED_VALUE"""),"#N/A")</f>
        <v>#N/A</v>
      </c>
    </row>
    <row r="2785">
      <c r="A2785" t="str">
        <f>IFERROR(__xludf.DUMMYFUNCTION("""COMPUTED_VALUE"""),"#N/A")</f>
        <v>#N/A</v>
      </c>
      <c r="B2785" s="451" t="str">
        <f>IFERROR(__xludf.DUMMYFUNCTION("""COMPUTED_VALUE"""),"#N/A")</f>
        <v>#N/A</v>
      </c>
    </row>
    <row r="2786">
      <c r="A2786" t="str">
        <f>IFERROR(__xludf.DUMMYFUNCTION("""COMPUTED_VALUE"""),"#N/A")</f>
        <v>#N/A</v>
      </c>
      <c r="B2786" s="451" t="str">
        <f>IFERROR(__xludf.DUMMYFUNCTION("""COMPUTED_VALUE"""),"#N/A")</f>
        <v>#N/A</v>
      </c>
    </row>
    <row r="2787">
      <c r="A2787" t="str">
        <f>IFERROR(__xludf.DUMMYFUNCTION("""COMPUTED_VALUE"""),"#N/A")</f>
        <v>#N/A</v>
      </c>
      <c r="B2787" s="451" t="str">
        <f>IFERROR(__xludf.DUMMYFUNCTION("""COMPUTED_VALUE"""),"#N/A")</f>
        <v>#N/A</v>
      </c>
    </row>
    <row r="2788">
      <c r="A2788" t="str">
        <f>IFERROR(__xludf.DUMMYFUNCTION("""COMPUTED_VALUE"""),"#N/A")</f>
        <v>#N/A</v>
      </c>
      <c r="B2788" s="451" t="str">
        <f>IFERROR(__xludf.DUMMYFUNCTION("""COMPUTED_VALUE"""),"#N/A")</f>
        <v>#N/A</v>
      </c>
    </row>
    <row r="2789">
      <c r="A2789" t="str">
        <f>IFERROR(__xludf.DUMMYFUNCTION("""COMPUTED_VALUE"""),"#N/A")</f>
        <v>#N/A</v>
      </c>
      <c r="B2789" s="451" t="str">
        <f>IFERROR(__xludf.DUMMYFUNCTION("""COMPUTED_VALUE"""),"#N/A")</f>
        <v>#N/A</v>
      </c>
    </row>
    <row r="2790">
      <c r="A2790" t="str">
        <f>IFERROR(__xludf.DUMMYFUNCTION("""COMPUTED_VALUE"""),"#N/A")</f>
        <v>#N/A</v>
      </c>
      <c r="B2790" s="451" t="str">
        <f>IFERROR(__xludf.DUMMYFUNCTION("""COMPUTED_VALUE"""),"#N/A")</f>
        <v>#N/A</v>
      </c>
    </row>
    <row r="2791">
      <c r="A2791" t="str">
        <f>IFERROR(__xludf.DUMMYFUNCTION("""COMPUTED_VALUE"""),"#N/A")</f>
        <v>#N/A</v>
      </c>
      <c r="B2791" s="451" t="str">
        <f>IFERROR(__xludf.DUMMYFUNCTION("""COMPUTED_VALUE"""),"#N/A")</f>
        <v>#N/A</v>
      </c>
    </row>
    <row r="2792">
      <c r="A2792" t="str">
        <f>IFERROR(__xludf.DUMMYFUNCTION("""COMPUTED_VALUE"""),"#N/A")</f>
        <v>#N/A</v>
      </c>
      <c r="B2792" s="451" t="str">
        <f>IFERROR(__xludf.DUMMYFUNCTION("""COMPUTED_VALUE"""),"#N/A")</f>
        <v>#N/A</v>
      </c>
    </row>
    <row r="2793">
      <c r="A2793" t="str">
        <f>IFERROR(__xludf.DUMMYFUNCTION("""COMPUTED_VALUE"""),"#N/A")</f>
        <v>#N/A</v>
      </c>
      <c r="B2793" s="451" t="str">
        <f>IFERROR(__xludf.DUMMYFUNCTION("""COMPUTED_VALUE"""),"#N/A")</f>
        <v>#N/A</v>
      </c>
    </row>
    <row r="2794">
      <c r="A2794" t="str">
        <f>IFERROR(__xludf.DUMMYFUNCTION("""COMPUTED_VALUE"""),"#N/A")</f>
        <v>#N/A</v>
      </c>
      <c r="B2794" s="451" t="str">
        <f>IFERROR(__xludf.DUMMYFUNCTION("""COMPUTED_VALUE"""),"#N/A")</f>
        <v>#N/A</v>
      </c>
    </row>
    <row r="2795">
      <c r="A2795" t="str">
        <f>IFERROR(__xludf.DUMMYFUNCTION("""COMPUTED_VALUE"""),"#N/A")</f>
        <v>#N/A</v>
      </c>
      <c r="B2795" s="451" t="str">
        <f>IFERROR(__xludf.DUMMYFUNCTION("""COMPUTED_VALUE"""),"#N/A")</f>
        <v>#N/A</v>
      </c>
    </row>
    <row r="2796">
      <c r="A2796" t="str">
        <f>IFERROR(__xludf.DUMMYFUNCTION("""COMPUTED_VALUE"""),"#N/A")</f>
        <v>#N/A</v>
      </c>
      <c r="B2796" s="451" t="str">
        <f>IFERROR(__xludf.DUMMYFUNCTION("""COMPUTED_VALUE"""),"#N/A")</f>
        <v>#N/A</v>
      </c>
    </row>
    <row r="2797">
      <c r="A2797" t="str">
        <f>IFERROR(__xludf.DUMMYFUNCTION("""COMPUTED_VALUE"""),"#N/A")</f>
        <v>#N/A</v>
      </c>
      <c r="B2797" s="451" t="str">
        <f>IFERROR(__xludf.DUMMYFUNCTION("""COMPUTED_VALUE"""),"#N/A")</f>
        <v>#N/A</v>
      </c>
    </row>
    <row r="2798">
      <c r="A2798" t="str">
        <f>IFERROR(__xludf.DUMMYFUNCTION("""COMPUTED_VALUE"""),"#N/A")</f>
        <v>#N/A</v>
      </c>
      <c r="B2798" s="451" t="str">
        <f>IFERROR(__xludf.DUMMYFUNCTION("""COMPUTED_VALUE"""),"#N/A")</f>
        <v>#N/A</v>
      </c>
    </row>
    <row r="2799">
      <c r="A2799" t="str">
        <f>IFERROR(__xludf.DUMMYFUNCTION("""COMPUTED_VALUE"""),"#N/A")</f>
        <v>#N/A</v>
      </c>
      <c r="B2799" s="451" t="str">
        <f>IFERROR(__xludf.DUMMYFUNCTION("""COMPUTED_VALUE"""),"#N/A")</f>
        <v>#N/A</v>
      </c>
    </row>
    <row r="2800">
      <c r="A2800" t="str">
        <f>IFERROR(__xludf.DUMMYFUNCTION("""COMPUTED_VALUE"""),"#N/A")</f>
        <v>#N/A</v>
      </c>
      <c r="B2800" s="451" t="str">
        <f>IFERROR(__xludf.DUMMYFUNCTION("""COMPUTED_VALUE"""),"#N/A")</f>
        <v>#N/A</v>
      </c>
    </row>
    <row r="2801">
      <c r="A2801" t="str">
        <f>IFERROR(__xludf.DUMMYFUNCTION("""COMPUTED_VALUE"""),"#N/A")</f>
        <v>#N/A</v>
      </c>
      <c r="B2801" s="451" t="str">
        <f>IFERROR(__xludf.DUMMYFUNCTION("""COMPUTED_VALUE"""),"#N/A")</f>
        <v>#N/A</v>
      </c>
    </row>
    <row r="2802">
      <c r="A2802" t="str">
        <f>IFERROR(__xludf.DUMMYFUNCTION("""COMPUTED_VALUE"""),"#N/A")</f>
        <v>#N/A</v>
      </c>
      <c r="B2802" s="451" t="str">
        <f>IFERROR(__xludf.DUMMYFUNCTION("""COMPUTED_VALUE"""),"#N/A")</f>
        <v>#N/A</v>
      </c>
    </row>
    <row r="2803">
      <c r="A2803" t="str">
        <f>IFERROR(__xludf.DUMMYFUNCTION("""COMPUTED_VALUE"""),"#N/A")</f>
        <v>#N/A</v>
      </c>
      <c r="B2803" s="451" t="str">
        <f>IFERROR(__xludf.DUMMYFUNCTION("""COMPUTED_VALUE"""),"#N/A")</f>
        <v>#N/A</v>
      </c>
    </row>
    <row r="2804">
      <c r="A2804" t="str">
        <f>IFERROR(__xludf.DUMMYFUNCTION("""COMPUTED_VALUE"""),"#N/A")</f>
        <v>#N/A</v>
      </c>
      <c r="B2804" s="451" t="str">
        <f>IFERROR(__xludf.DUMMYFUNCTION("""COMPUTED_VALUE"""),"#N/A")</f>
        <v>#N/A</v>
      </c>
    </row>
    <row r="2805">
      <c r="A2805" t="str">
        <f>IFERROR(__xludf.DUMMYFUNCTION("""COMPUTED_VALUE"""),"#N/A")</f>
        <v>#N/A</v>
      </c>
      <c r="B2805" s="451" t="str">
        <f>IFERROR(__xludf.DUMMYFUNCTION("""COMPUTED_VALUE"""),"#N/A")</f>
        <v>#N/A</v>
      </c>
    </row>
    <row r="2806">
      <c r="A2806" t="str">
        <f>IFERROR(__xludf.DUMMYFUNCTION("""COMPUTED_VALUE"""),"#N/A")</f>
        <v>#N/A</v>
      </c>
      <c r="B2806" s="451" t="str">
        <f>IFERROR(__xludf.DUMMYFUNCTION("""COMPUTED_VALUE"""),"#N/A")</f>
        <v>#N/A</v>
      </c>
    </row>
    <row r="2807">
      <c r="A2807" t="str">
        <f>IFERROR(__xludf.DUMMYFUNCTION("""COMPUTED_VALUE"""),"#N/A")</f>
        <v>#N/A</v>
      </c>
      <c r="B2807" s="451" t="str">
        <f>IFERROR(__xludf.DUMMYFUNCTION("""COMPUTED_VALUE"""),"#N/A")</f>
        <v>#N/A</v>
      </c>
    </row>
    <row r="2808">
      <c r="A2808" t="str">
        <f>IFERROR(__xludf.DUMMYFUNCTION("""COMPUTED_VALUE"""),"#N/A")</f>
        <v>#N/A</v>
      </c>
      <c r="B2808" s="451" t="str">
        <f>IFERROR(__xludf.DUMMYFUNCTION("""COMPUTED_VALUE"""),"#N/A")</f>
        <v>#N/A</v>
      </c>
    </row>
    <row r="2809">
      <c r="A2809" t="str">
        <f>IFERROR(__xludf.DUMMYFUNCTION("""COMPUTED_VALUE"""),"#N/A")</f>
        <v>#N/A</v>
      </c>
      <c r="B2809" s="451" t="str">
        <f>IFERROR(__xludf.DUMMYFUNCTION("""COMPUTED_VALUE"""),"#N/A")</f>
        <v>#N/A</v>
      </c>
    </row>
    <row r="2810">
      <c r="A2810" t="str">
        <f>IFERROR(__xludf.DUMMYFUNCTION("""COMPUTED_VALUE"""),"#N/A")</f>
        <v>#N/A</v>
      </c>
      <c r="B2810" s="451" t="str">
        <f>IFERROR(__xludf.DUMMYFUNCTION("""COMPUTED_VALUE"""),"#N/A")</f>
        <v>#N/A</v>
      </c>
    </row>
    <row r="2811">
      <c r="A2811" t="str">
        <f>IFERROR(__xludf.DUMMYFUNCTION("""COMPUTED_VALUE"""),"#N/A")</f>
        <v>#N/A</v>
      </c>
      <c r="B2811" s="451" t="str">
        <f>IFERROR(__xludf.DUMMYFUNCTION("""COMPUTED_VALUE"""),"#N/A")</f>
        <v>#N/A</v>
      </c>
    </row>
    <row r="2812">
      <c r="A2812" t="str">
        <f>IFERROR(__xludf.DUMMYFUNCTION("""COMPUTED_VALUE"""),"#N/A")</f>
        <v>#N/A</v>
      </c>
      <c r="B2812" s="451" t="str">
        <f>IFERROR(__xludf.DUMMYFUNCTION("""COMPUTED_VALUE"""),"#N/A")</f>
        <v>#N/A</v>
      </c>
    </row>
    <row r="2813">
      <c r="A2813" t="str">
        <f>IFERROR(__xludf.DUMMYFUNCTION("""COMPUTED_VALUE"""),"#N/A")</f>
        <v>#N/A</v>
      </c>
      <c r="B2813" s="451" t="str">
        <f>IFERROR(__xludf.DUMMYFUNCTION("""COMPUTED_VALUE"""),"#N/A")</f>
        <v>#N/A</v>
      </c>
    </row>
    <row r="2814">
      <c r="A2814" t="str">
        <f>IFERROR(__xludf.DUMMYFUNCTION("""COMPUTED_VALUE"""),"#N/A")</f>
        <v>#N/A</v>
      </c>
      <c r="B2814" s="451" t="str">
        <f>IFERROR(__xludf.DUMMYFUNCTION("""COMPUTED_VALUE"""),"#N/A")</f>
        <v>#N/A</v>
      </c>
    </row>
    <row r="2815">
      <c r="A2815" t="str">
        <f>IFERROR(__xludf.DUMMYFUNCTION("""COMPUTED_VALUE"""),"#N/A")</f>
        <v>#N/A</v>
      </c>
      <c r="B2815" s="451" t="str">
        <f>IFERROR(__xludf.DUMMYFUNCTION("""COMPUTED_VALUE"""),"#N/A")</f>
        <v>#N/A</v>
      </c>
    </row>
    <row r="2816">
      <c r="A2816" t="str">
        <f>IFERROR(__xludf.DUMMYFUNCTION("""COMPUTED_VALUE"""),"#N/A")</f>
        <v>#N/A</v>
      </c>
      <c r="B2816" s="451" t="str">
        <f>IFERROR(__xludf.DUMMYFUNCTION("""COMPUTED_VALUE"""),"#N/A")</f>
        <v>#N/A</v>
      </c>
    </row>
    <row r="2817">
      <c r="A2817" t="str">
        <f>IFERROR(__xludf.DUMMYFUNCTION("""COMPUTED_VALUE"""),"#N/A")</f>
        <v>#N/A</v>
      </c>
      <c r="B2817" s="451" t="str">
        <f>IFERROR(__xludf.DUMMYFUNCTION("""COMPUTED_VALUE"""),"#N/A")</f>
        <v>#N/A</v>
      </c>
    </row>
    <row r="2818">
      <c r="A2818" t="str">
        <f>IFERROR(__xludf.DUMMYFUNCTION("""COMPUTED_VALUE"""),"#N/A")</f>
        <v>#N/A</v>
      </c>
      <c r="B2818" s="451" t="str">
        <f>IFERROR(__xludf.DUMMYFUNCTION("""COMPUTED_VALUE"""),"#N/A")</f>
        <v>#N/A</v>
      </c>
    </row>
    <row r="2819">
      <c r="A2819" t="str">
        <f>IFERROR(__xludf.DUMMYFUNCTION("""COMPUTED_VALUE"""),"#N/A")</f>
        <v>#N/A</v>
      </c>
      <c r="B2819" s="451" t="str">
        <f>IFERROR(__xludf.DUMMYFUNCTION("""COMPUTED_VALUE"""),"#N/A")</f>
        <v>#N/A</v>
      </c>
    </row>
    <row r="2820">
      <c r="A2820" t="str">
        <f>IFERROR(__xludf.DUMMYFUNCTION("""COMPUTED_VALUE"""),"#N/A")</f>
        <v>#N/A</v>
      </c>
      <c r="B2820" s="451" t="str">
        <f>IFERROR(__xludf.DUMMYFUNCTION("""COMPUTED_VALUE"""),"#N/A")</f>
        <v>#N/A</v>
      </c>
    </row>
    <row r="2821">
      <c r="A2821" t="str">
        <f>IFERROR(__xludf.DUMMYFUNCTION("""COMPUTED_VALUE"""),"#N/A")</f>
        <v>#N/A</v>
      </c>
      <c r="B2821" s="451" t="str">
        <f>IFERROR(__xludf.DUMMYFUNCTION("""COMPUTED_VALUE"""),"#N/A")</f>
        <v>#N/A</v>
      </c>
    </row>
    <row r="2822">
      <c r="A2822" t="str">
        <f>IFERROR(__xludf.DUMMYFUNCTION("""COMPUTED_VALUE"""),"#N/A")</f>
        <v>#N/A</v>
      </c>
      <c r="B2822" s="451" t="str">
        <f>IFERROR(__xludf.DUMMYFUNCTION("""COMPUTED_VALUE"""),"#N/A")</f>
        <v>#N/A</v>
      </c>
    </row>
    <row r="2823">
      <c r="A2823" t="str">
        <f>IFERROR(__xludf.DUMMYFUNCTION("""COMPUTED_VALUE"""),"#N/A")</f>
        <v>#N/A</v>
      </c>
      <c r="B2823" s="451" t="str">
        <f>IFERROR(__xludf.DUMMYFUNCTION("""COMPUTED_VALUE"""),"#N/A")</f>
        <v>#N/A</v>
      </c>
    </row>
    <row r="2824">
      <c r="A2824" t="str">
        <f>IFERROR(__xludf.DUMMYFUNCTION("""COMPUTED_VALUE"""),"#N/A")</f>
        <v>#N/A</v>
      </c>
      <c r="B2824" s="451" t="str">
        <f>IFERROR(__xludf.DUMMYFUNCTION("""COMPUTED_VALUE"""),"#N/A")</f>
        <v>#N/A</v>
      </c>
    </row>
    <row r="2825">
      <c r="A2825" t="str">
        <f>IFERROR(__xludf.DUMMYFUNCTION("""COMPUTED_VALUE"""),"#N/A")</f>
        <v>#N/A</v>
      </c>
      <c r="B2825" s="451" t="str">
        <f>IFERROR(__xludf.DUMMYFUNCTION("""COMPUTED_VALUE"""),"#N/A")</f>
        <v>#N/A</v>
      </c>
    </row>
    <row r="2826">
      <c r="A2826" t="str">
        <f>IFERROR(__xludf.DUMMYFUNCTION("""COMPUTED_VALUE"""),"#N/A")</f>
        <v>#N/A</v>
      </c>
      <c r="B2826" s="451" t="str">
        <f>IFERROR(__xludf.DUMMYFUNCTION("""COMPUTED_VALUE"""),"#N/A")</f>
        <v>#N/A</v>
      </c>
    </row>
    <row r="2827">
      <c r="A2827" t="str">
        <f>IFERROR(__xludf.DUMMYFUNCTION("""COMPUTED_VALUE"""),"#N/A")</f>
        <v>#N/A</v>
      </c>
      <c r="B2827" s="451" t="str">
        <f>IFERROR(__xludf.DUMMYFUNCTION("""COMPUTED_VALUE"""),"#N/A")</f>
        <v>#N/A</v>
      </c>
    </row>
    <row r="2828">
      <c r="A2828" t="str">
        <f>IFERROR(__xludf.DUMMYFUNCTION("""COMPUTED_VALUE"""),"#N/A")</f>
        <v>#N/A</v>
      </c>
      <c r="B2828" s="451" t="str">
        <f>IFERROR(__xludf.DUMMYFUNCTION("""COMPUTED_VALUE"""),"#N/A")</f>
        <v>#N/A</v>
      </c>
    </row>
    <row r="2829">
      <c r="A2829" t="str">
        <f>IFERROR(__xludf.DUMMYFUNCTION("""COMPUTED_VALUE"""),"#N/A")</f>
        <v>#N/A</v>
      </c>
      <c r="B2829" s="451" t="str">
        <f>IFERROR(__xludf.DUMMYFUNCTION("""COMPUTED_VALUE"""),"#N/A")</f>
        <v>#N/A</v>
      </c>
    </row>
    <row r="2830">
      <c r="A2830" t="str">
        <f>IFERROR(__xludf.DUMMYFUNCTION("""COMPUTED_VALUE"""),"#N/A")</f>
        <v>#N/A</v>
      </c>
      <c r="B2830" s="451" t="str">
        <f>IFERROR(__xludf.DUMMYFUNCTION("""COMPUTED_VALUE"""),"#N/A")</f>
        <v>#N/A</v>
      </c>
    </row>
    <row r="2831">
      <c r="A2831" t="str">
        <f>IFERROR(__xludf.DUMMYFUNCTION("""COMPUTED_VALUE"""),"#N/A")</f>
        <v>#N/A</v>
      </c>
      <c r="B2831" s="451" t="str">
        <f>IFERROR(__xludf.DUMMYFUNCTION("""COMPUTED_VALUE"""),"#N/A")</f>
        <v>#N/A</v>
      </c>
    </row>
    <row r="2832">
      <c r="A2832" t="str">
        <f>IFERROR(__xludf.DUMMYFUNCTION("""COMPUTED_VALUE"""),"#N/A")</f>
        <v>#N/A</v>
      </c>
      <c r="B2832" s="451" t="str">
        <f>IFERROR(__xludf.DUMMYFUNCTION("""COMPUTED_VALUE"""),"#N/A")</f>
        <v>#N/A</v>
      </c>
    </row>
    <row r="2833">
      <c r="A2833" t="str">
        <f>IFERROR(__xludf.DUMMYFUNCTION("""COMPUTED_VALUE"""),"#N/A")</f>
        <v>#N/A</v>
      </c>
      <c r="B2833" s="451" t="str">
        <f>IFERROR(__xludf.DUMMYFUNCTION("""COMPUTED_VALUE"""),"#N/A")</f>
        <v>#N/A</v>
      </c>
    </row>
    <row r="2834">
      <c r="A2834" t="str">
        <f>IFERROR(__xludf.DUMMYFUNCTION("""COMPUTED_VALUE"""),"#N/A")</f>
        <v>#N/A</v>
      </c>
      <c r="B2834" s="451" t="str">
        <f>IFERROR(__xludf.DUMMYFUNCTION("""COMPUTED_VALUE"""),"#N/A")</f>
        <v>#N/A</v>
      </c>
    </row>
    <row r="2835">
      <c r="A2835" t="str">
        <f>IFERROR(__xludf.DUMMYFUNCTION("""COMPUTED_VALUE"""),"#N/A")</f>
        <v>#N/A</v>
      </c>
      <c r="B2835" s="451" t="str">
        <f>IFERROR(__xludf.DUMMYFUNCTION("""COMPUTED_VALUE"""),"#N/A")</f>
        <v>#N/A</v>
      </c>
    </row>
    <row r="2836">
      <c r="A2836" t="str">
        <f>IFERROR(__xludf.DUMMYFUNCTION("""COMPUTED_VALUE"""),"#N/A")</f>
        <v>#N/A</v>
      </c>
      <c r="B2836" s="451" t="str">
        <f>IFERROR(__xludf.DUMMYFUNCTION("""COMPUTED_VALUE"""),"#N/A")</f>
        <v>#N/A</v>
      </c>
    </row>
    <row r="2837">
      <c r="A2837" t="str">
        <f>IFERROR(__xludf.DUMMYFUNCTION("""COMPUTED_VALUE"""),"#N/A")</f>
        <v>#N/A</v>
      </c>
      <c r="B2837" s="451" t="str">
        <f>IFERROR(__xludf.DUMMYFUNCTION("""COMPUTED_VALUE"""),"#N/A")</f>
        <v>#N/A</v>
      </c>
    </row>
    <row r="2838">
      <c r="A2838" t="str">
        <f>IFERROR(__xludf.DUMMYFUNCTION("""COMPUTED_VALUE"""),"#N/A")</f>
        <v>#N/A</v>
      </c>
      <c r="B2838" s="451" t="str">
        <f>IFERROR(__xludf.DUMMYFUNCTION("""COMPUTED_VALUE"""),"#N/A")</f>
        <v>#N/A</v>
      </c>
    </row>
    <row r="2839">
      <c r="A2839" t="str">
        <f>IFERROR(__xludf.DUMMYFUNCTION("""COMPUTED_VALUE"""),"#N/A")</f>
        <v>#N/A</v>
      </c>
      <c r="B2839" s="451" t="str">
        <f>IFERROR(__xludf.DUMMYFUNCTION("""COMPUTED_VALUE"""),"#N/A")</f>
        <v>#N/A</v>
      </c>
    </row>
    <row r="2840">
      <c r="A2840" t="str">
        <f>IFERROR(__xludf.DUMMYFUNCTION("""COMPUTED_VALUE"""),"#N/A")</f>
        <v>#N/A</v>
      </c>
      <c r="B2840" s="451" t="str">
        <f>IFERROR(__xludf.DUMMYFUNCTION("""COMPUTED_VALUE"""),"#N/A")</f>
        <v>#N/A</v>
      </c>
    </row>
    <row r="2841">
      <c r="A2841" t="str">
        <f>IFERROR(__xludf.DUMMYFUNCTION("""COMPUTED_VALUE"""),"#N/A")</f>
        <v>#N/A</v>
      </c>
      <c r="B2841" s="451" t="str">
        <f>IFERROR(__xludf.DUMMYFUNCTION("""COMPUTED_VALUE"""),"#N/A")</f>
        <v>#N/A</v>
      </c>
    </row>
    <row r="2842">
      <c r="A2842" t="str">
        <f>IFERROR(__xludf.DUMMYFUNCTION("""COMPUTED_VALUE"""),"#N/A")</f>
        <v>#N/A</v>
      </c>
      <c r="B2842" s="451" t="str">
        <f>IFERROR(__xludf.DUMMYFUNCTION("""COMPUTED_VALUE"""),"#N/A")</f>
        <v>#N/A</v>
      </c>
    </row>
    <row r="2843">
      <c r="A2843" t="str">
        <f>IFERROR(__xludf.DUMMYFUNCTION("""COMPUTED_VALUE"""),"#N/A")</f>
        <v>#N/A</v>
      </c>
      <c r="B2843" s="451" t="str">
        <f>IFERROR(__xludf.DUMMYFUNCTION("""COMPUTED_VALUE"""),"#N/A")</f>
        <v>#N/A</v>
      </c>
    </row>
    <row r="2844">
      <c r="A2844" t="str">
        <f>IFERROR(__xludf.DUMMYFUNCTION("""COMPUTED_VALUE"""),"#N/A")</f>
        <v>#N/A</v>
      </c>
      <c r="B2844" s="451" t="str">
        <f>IFERROR(__xludf.DUMMYFUNCTION("""COMPUTED_VALUE"""),"#N/A")</f>
        <v>#N/A</v>
      </c>
    </row>
    <row r="2845">
      <c r="A2845" t="str">
        <f>IFERROR(__xludf.DUMMYFUNCTION("""COMPUTED_VALUE"""),"#N/A")</f>
        <v>#N/A</v>
      </c>
      <c r="B2845" s="451" t="str">
        <f>IFERROR(__xludf.DUMMYFUNCTION("""COMPUTED_VALUE"""),"#N/A")</f>
        <v>#N/A</v>
      </c>
    </row>
    <row r="2846">
      <c r="A2846" t="str">
        <f>IFERROR(__xludf.DUMMYFUNCTION("""COMPUTED_VALUE"""),"#N/A")</f>
        <v>#N/A</v>
      </c>
      <c r="B2846" s="451" t="str">
        <f>IFERROR(__xludf.DUMMYFUNCTION("""COMPUTED_VALUE"""),"#N/A")</f>
        <v>#N/A</v>
      </c>
    </row>
    <row r="2847">
      <c r="A2847" t="str">
        <f>IFERROR(__xludf.DUMMYFUNCTION("""COMPUTED_VALUE"""),"#N/A")</f>
        <v>#N/A</v>
      </c>
      <c r="B2847" s="451" t="str">
        <f>IFERROR(__xludf.DUMMYFUNCTION("""COMPUTED_VALUE"""),"#N/A")</f>
        <v>#N/A</v>
      </c>
    </row>
    <row r="2848">
      <c r="A2848" t="str">
        <f>IFERROR(__xludf.DUMMYFUNCTION("""COMPUTED_VALUE"""),"#N/A")</f>
        <v>#N/A</v>
      </c>
      <c r="B2848" s="451" t="str">
        <f>IFERROR(__xludf.DUMMYFUNCTION("""COMPUTED_VALUE"""),"#N/A")</f>
        <v>#N/A</v>
      </c>
    </row>
    <row r="2849">
      <c r="A2849" t="str">
        <f>IFERROR(__xludf.DUMMYFUNCTION("""COMPUTED_VALUE"""),"#N/A")</f>
        <v>#N/A</v>
      </c>
      <c r="B2849" s="451" t="str">
        <f>IFERROR(__xludf.DUMMYFUNCTION("""COMPUTED_VALUE"""),"#N/A")</f>
        <v>#N/A</v>
      </c>
    </row>
    <row r="2850">
      <c r="A2850" t="str">
        <f>IFERROR(__xludf.DUMMYFUNCTION("""COMPUTED_VALUE"""),"#N/A")</f>
        <v>#N/A</v>
      </c>
      <c r="B2850" s="451" t="str">
        <f>IFERROR(__xludf.DUMMYFUNCTION("""COMPUTED_VALUE"""),"#N/A")</f>
        <v>#N/A</v>
      </c>
    </row>
    <row r="2851">
      <c r="A2851" t="str">
        <f>IFERROR(__xludf.DUMMYFUNCTION("""COMPUTED_VALUE"""),"#N/A")</f>
        <v>#N/A</v>
      </c>
      <c r="B2851" s="451" t="str">
        <f>IFERROR(__xludf.DUMMYFUNCTION("""COMPUTED_VALUE"""),"#N/A")</f>
        <v>#N/A</v>
      </c>
    </row>
    <row r="2852">
      <c r="A2852" t="str">
        <f>IFERROR(__xludf.DUMMYFUNCTION("""COMPUTED_VALUE"""),"#N/A")</f>
        <v>#N/A</v>
      </c>
      <c r="B2852" s="451" t="str">
        <f>IFERROR(__xludf.DUMMYFUNCTION("""COMPUTED_VALUE"""),"#N/A")</f>
        <v>#N/A</v>
      </c>
    </row>
    <row r="2853">
      <c r="A2853" t="str">
        <f>IFERROR(__xludf.DUMMYFUNCTION("""COMPUTED_VALUE"""),"#N/A")</f>
        <v>#N/A</v>
      </c>
      <c r="B2853" s="451" t="str">
        <f>IFERROR(__xludf.DUMMYFUNCTION("""COMPUTED_VALUE"""),"#N/A")</f>
        <v>#N/A</v>
      </c>
    </row>
    <row r="2854">
      <c r="A2854" t="str">
        <f>IFERROR(__xludf.DUMMYFUNCTION("""COMPUTED_VALUE"""),"#N/A")</f>
        <v>#N/A</v>
      </c>
      <c r="B2854" s="451" t="str">
        <f>IFERROR(__xludf.DUMMYFUNCTION("""COMPUTED_VALUE"""),"#N/A")</f>
        <v>#N/A</v>
      </c>
    </row>
    <row r="2855">
      <c r="A2855" t="str">
        <f>IFERROR(__xludf.DUMMYFUNCTION("""COMPUTED_VALUE"""),"#N/A")</f>
        <v>#N/A</v>
      </c>
      <c r="B2855" s="451" t="str">
        <f>IFERROR(__xludf.DUMMYFUNCTION("""COMPUTED_VALUE"""),"#N/A")</f>
        <v>#N/A</v>
      </c>
    </row>
    <row r="2856">
      <c r="A2856" t="str">
        <f>IFERROR(__xludf.DUMMYFUNCTION("""COMPUTED_VALUE"""),"#N/A")</f>
        <v>#N/A</v>
      </c>
      <c r="B2856" s="451" t="str">
        <f>IFERROR(__xludf.DUMMYFUNCTION("""COMPUTED_VALUE"""),"#N/A")</f>
        <v>#N/A</v>
      </c>
    </row>
    <row r="2857">
      <c r="A2857" t="str">
        <f>IFERROR(__xludf.DUMMYFUNCTION("""COMPUTED_VALUE"""),"#N/A")</f>
        <v>#N/A</v>
      </c>
      <c r="B2857" s="451" t="str">
        <f>IFERROR(__xludf.DUMMYFUNCTION("""COMPUTED_VALUE"""),"#N/A")</f>
        <v>#N/A</v>
      </c>
    </row>
    <row r="2858">
      <c r="A2858" t="str">
        <f>IFERROR(__xludf.DUMMYFUNCTION("""COMPUTED_VALUE"""),"#N/A")</f>
        <v>#N/A</v>
      </c>
      <c r="B2858" s="451" t="str">
        <f>IFERROR(__xludf.DUMMYFUNCTION("""COMPUTED_VALUE"""),"#N/A")</f>
        <v>#N/A</v>
      </c>
    </row>
    <row r="2859">
      <c r="A2859" t="str">
        <f>IFERROR(__xludf.DUMMYFUNCTION("""COMPUTED_VALUE"""),"#N/A")</f>
        <v>#N/A</v>
      </c>
      <c r="B2859" s="451" t="str">
        <f>IFERROR(__xludf.DUMMYFUNCTION("""COMPUTED_VALUE"""),"#N/A")</f>
        <v>#N/A</v>
      </c>
    </row>
    <row r="2860">
      <c r="A2860" t="str">
        <f>IFERROR(__xludf.DUMMYFUNCTION("""COMPUTED_VALUE"""),"#N/A")</f>
        <v>#N/A</v>
      </c>
      <c r="B2860" s="451" t="str">
        <f>IFERROR(__xludf.DUMMYFUNCTION("""COMPUTED_VALUE"""),"#N/A")</f>
        <v>#N/A</v>
      </c>
    </row>
    <row r="2861">
      <c r="A2861" t="str">
        <f>IFERROR(__xludf.DUMMYFUNCTION("""COMPUTED_VALUE"""),"#N/A")</f>
        <v>#N/A</v>
      </c>
      <c r="B2861" s="451" t="str">
        <f>IFERROR(__xludf.DUMMYFUNCTION("""COMPUTED_VALUE"""),"#N/A")</f>
        <v>#N/A</v>
      </c>
    </row>
    <row r="2862">
      <c r="A2862" t="str">
        <f>IFERROR(__xludf.DUMMYFUNCTION("""COMPUTED_VALUE"""),"#N/A")</f>
        <v>#N/A</v>
      </c>
      <c r="B2862" s="451" t="str">
        <f>IFERROR(__xludf.DUMMYFUNCTION("""COMPUTED_VALUE"""),"#N/A")</f>
        <v>#N/A</v>
      </c>
    </row>
    <row r="2863">
      <c r="A2863" t="str">
        <f>IFERROR(__xludf.DUMMYFUNCTION("""COMPUTED_VALUE"""),"#N/A")</f>
        <v>#N/A</v>
      </c>
      <c r="B2863" s="451" t="str">
        <f>IFERROR(__xludf.DUMMYFUNCTION("""COMPUTED_VALUE"""),"#N/A")</f>
        <v>#N/A</v>
      </c>
    </row>
    <row r="2864">
      <c r="A2864" t="str">
        <f>IFERROR(__xludf.DUMMYFUNCTION("""COMPUTED_VALUE"""),"#N/A")</f>
        <v>#N/A</v>
      </c>
      <c r="B2864" s="451" t="str">
        <f>IFERROR(__xludf.DUMMYFUNCTION("""COMPUTED_VALUE"""),"#N/A")</f>
        <v>#N/A</v>
      </c>
    </row>
    <row r="2865">
      <c r="A2865" t="str">
        <f>IFERROR(__xludf.DUMMYFUNCTION("""COMPUTED_VALUE"""),"#N/A")</f>
        <v>#N/A</v>
      </c>
      <c r="B2865" s="451" t="str">
        <f>IFERROR(__xludf.DUMMYFUNCTION("""COMPUTED_VALUE"""),"#N/A")</f>
        <v>#N/A</v>
      </c>
    </row>
    <row r="2866">
      <c r="A2866" t="str">
        <f>IFERROR(__xludf.DUMMYFUNCTION("""COMPUTED_VALUE"""),"#N/A")</f>
        <v>#N/A</v>
      </c>
      <c r="B2866" s="451" t="str">
        <f>IFERROR(__xludf.DUMMYFUNCTION("""COMPUTED_VALUE"""),"#N/A")</f>
        <v>#N/A</v>
      </c>
    </row>
    <row r="2867">
      <c r="A2867" t="str">
        <f>IFERROR(__xludf.DUMMYFUNCTION("""COMPUTED_VALUE"""),"#N/A")</f>
        <v>#N/A</v>
      </c>
      <c r="B2867" s="451" t="str">
        <f>IFERROR(__xludf.DUMMYFUNCTION("""COMPUTED_VALUE"""),"#N/A")</f>
        <v>#N/A</v>
      </c>
    </row>
    <row r="2868">
      <c r="A2868" t="str">
        <f>IFERROR(__xludf.DUMMYFUNCTION("""COMPUTED_VALUE"""),"#N/A")</f>
        <v>#N/A</v>
      </c>
      <c r="B2868" s="451" t="str">
        <f>IFERROR(__xludf.DUMMYFUNCTION("""COMPUTED_VALUE"""),"#N/A")</f>
        <v>#N/A</v>
      </c>
    </row>
    <row r="2869">
      <c r="A2869" t="str">
        <f>IFERROR(__xludf.DUMMYFUNCTION("""COMPUTED_VALUE"""),"#N/A")</f>
        <v>#N/A</v>
      </c>
      <c r="B2869" s="451" t="str">
        <f>IFERROR(__xludf.DUMMYFUNCTION("""COMPUTED_VALUE"""),"#N/A")</f>
        <v>#N/A</v>
      </c>
    </row>
    <row r="2870">
      <c r="A2870" t="str">
        <f>IFERROR(__xludf.DUMMYFUNCTION("""COMPUTED_VALUE"""),"#N/A")</f>
        <v>#N/A</v>
      </c>
      <c r="B2870" s="451" t="str">
        <f>IFERROR(__xludf.DUMMYFUNCTION("""COMPUTED_VALUE"""),"#N/A")</f>
        <v>#N/A</v>
      </c>
    </row>
    <row r="2871">
      <c r="A2871" t="str">
        <f>IFERROR(__xludf.DUMMYFUNCTION("""COMPUTED_VALUE"""),"#N/A")</f>
        <v>#N/A</v>
      </c>
      <c r="B2871" s="451" t="str">
        <f>IFERROR(__xludf.DUMMYFUNCTION("""COMPUTED_VALUE"""),"#N/A")</f>
        <v>#N/A</v>
      </c>
    </row>
    <row r="2872">
      <c r="A2872" t="str">
        <f>IFERROR(__xludf.DUMMYFUNCTION("""COMPUTED_VALUE"""),"#N/A")</f>
        <v>#N/A</v>
      </c>
      <c r="B2872" s="451" t="str">
        <f>IFERROR(__xludf.DUMMYFUNCTION("""COMPUTED_VALUE"""),"#N/A")</f>
        <v>#N/A</v>
      </c>
    </row>
    <row r="2873">
      <c r="A2873" t="str">
        <f>IFERROR(__xludf.DUMMYFUNCTION("""COMPUTED_VALUE"""),"#N/A")</f>
        <v>#N/A</v>
      </c>
      <c r="B2873" s="451" t="str">
        <f>IFERROR(__xludf.DUMMYFUNCTION("""COMPUTED_VALUE"""),"#N/A")</f>
        <v>#N/A</v>
      </c>
    </row>
    <row r="2874">
      <c r="A2874" t="str">
        <f>IFERROR(__xludf.DUMMYFUNCTION("""COMPUTED_VALUE"""),"#N/A")</f>
        <v>#N/A</v>
      </c>
      <c r="B2874" s="451" t="str">
        <f>IFERROR(__xludf.DUMMYFUNCTION("""COMPUTED_VALUE"""),"#N/A")</f>
        <v>#N/A</v>
      </c>
    </row>
    <row r="2875">
      <c r="A2875" t="str">
        <f>IFERROR(__xludf.DUMMYFUNCTION("""COMPUTED_VALUE"""),"#N/A")</f>
        <v>#N/A</v>
      </c>
      <c r="B2875" s="451" t="str">
        <f>IFERROR(__xludf.DUMMYFUNCTION("""COMPUTED_VALUE"""),"#N/A")</f>
        <v>#N/A</v>
      </c>
    </row>
    <row r="2876">
      <c r="A2876" t="str">
        <f>IFERROR(__xludf.DUMMYFUNCTION("""COMPUTED_VALUE"""),"#N/A")</f>
        <v>#N/A</v>
      </c>
      <c r="B2876" s="451" t="str">
        <f>IFERROR(__xludf.DUMMYFUNCTION("""COMPUTED_VALUE"""),"#N/A")</f>
        <v>#N/A</v>
      </c>
    </row>
    <row r="2877">
      <c r="A2877" t="str">
        <f>IFERROR(__xludf.DUMMYFUNCTION("""COMPUTED_VALUE"""),"#N/A")</f>
        <v>#N/A</v>
      </c>
      <c r="B2877" s="451" t="str">
        <f>IFERROR(__xludf.DUMMYFUNCTION("""COMPUTED_VALUE"""),"#N/A")</f>
        <v>#N/A</v>
      </c>
    </row>
    <row r="2878">
      <c r="A2878" t="str">
        <f>IFERROR(__xludf.DUMMYFUNCTION("""COMPUTED_VALUE"""),"#N/A")</f>
        <v>#N/A</v>
      </c>
      <c r="B2878" s="451" t="str">
        <f>IFERROR(__xludf.DUMMYFUNCTION("""COMPUTED_VALUE"""),"#N/A")</f>
        <v>#N/A</v>
      </c>
    </row>
    <row r="2879">
      <c r="A2879" t="str">
        <f>IFERROR(__xludf.DUMMYFUNCTION("""COMPUTED_VALUE"""),"#N/A")</f>
        <v>#N/A</v>
      </c>
      <c r="B2879" s="451" t="str">
        <f>IFERROR(__xludf.DUMMYFUNCTION("""COMPUTED_VALUE"""),"#N/A")</f>
        <v>#N/A</v>
      </c>
    </row>
    <row r="2880">
      <c r="A2880" t="str">
        <f>IFERROR(__xludf.DUMMYFUNCTION("""COMPUTED_VALUE"""),"#N/A")</f>
        <v>#N/A</v>
      </c>
      <c r="B2880" s="451" t="str">
        <f>IFERROR(__xludf.DUMMYFUNCTION("""COMPUTED_VALUE"""),"#N/A")</f>
        <v>#N/A</v>
      </c>
    </row>
    <row r="2881">
      <c r="A2881" t="str">
        <f>IFERROR(__xludf.DUMMYFUNCTION("""COMPUTED_VALUE"""),"#N/A")</f>
        <v>#N/A</v>
      </c>
      <c r="B2881" s="451" t="str">
        <f>IFERROR(__xludf.DUMMYFUNCTION("""COMPUTED_VALUE"""),"#N/A")</f>
        <v>#N/A</v>
      </c>
    </row>
    <row r="2882">
      <c r="A2882" t="str">
        <f>IFERROR(__xludf.DUMMYFUNCTION("""COMPUTED_VALUE"""),"#N/A")</f>
        <v>#N/A</v>
      </c>
      <c r="B2882" s="451" t="str">
        <f>IFERROR(__xludf.DUMMYFUNCTION("""COMPUTED_VALUE"""),"#N/A")</f>
        <v>#N/A</v>
      </c>
    </row>
    <row r="2883">
      <c r="A2883" t="str">
        <f>IFERROR(__xludf.DUMMYFUNCTION("""COMPUTED_VALUE"""),"#N/A")</f>
        <v>#N/A</v>
      </c>
      <c r="B2883" s="451" t="str">
        <f>IFERROR(__xludf.DUMMYFUNCTION("""COMPUTED_VALUE"""),"#N/A")</f>
        <v>#N/A</v>
      </c>
    </row>
    <row r="2884">
      <c r="A2884" t="str">
        <f>IFERROR(__xludf.DUMMYFUNCTION("""COMPUTED_VALUE"""),"#N/A")</f>
        <v>#N/A</v>
      </c>
      <c r="B2884" s="451" t="str">
        <f>IFERROR(__xludf.DUMMYFUNCTION("""COMPUTED_VALUE"""),"#N/A")</f>
        <v>#N/A</v>
      </c>
    </row>
    <row r="2885">
      <c r="A2885" t="str">
        <f>IFERROR(__xludf.DUMMYFUNCTION("""COMPUTED_VALUE"""),"#N/A")</f>
        <v>#N/A</v>
      </c>
      <c r="B2885" s="451" t="str">
        <f>IFERROR(__xludf.DUMMYFUNCTION("""COMPUTED_VALUE"""),"#N/A")</f>
        <v>#N/A</v>
      </c>
    </row>
    <row r="2886">
      <c r="A2886" t="str">
        <f>IFERROR(__xludf.DUMMYFUNCTION("""COMPUTED_VALUE"""),"#N/A")</f>
        <v>#N/A</v>
      </c>
      <c r="B2886" s="451" t="str">
        <f>IFERROR(__xludf.DUMMYFUNCTION("""COMPUTED_VALUE"""),"#N/A")</f>
        <v>#N/A</v>
      </c>
    </row>
    <row r="2887">
      <c r="A2887" t="str">
        <f>IFERROR(__xludf.DUMMYFUNCTION("""COMPUTED_VALUE"""),"#N/A")</f>
        <v>#N/A</v>
      </c>
      <c r="B2887" s="451" t="str">
        <f>IFERROR(__xludf.DUMMYFUNCTION("""COMPUTED_VALUE"""),"#N/A")</f>
        <v>#N/A</v>
      </c>
    </row>
    <row r="2888">
      <c r="A2888" t="str">
        <f>IFERROR(__xludf.DUMMYFUNCTION("""COMPUTED_VALUE"""),"#N/A")</f>
        <v>#N/A</v>
      </c>
      <c r="B2888" s="451" t="str">
        <f>IFERROR(__xludf.DUMMYFUNCTION("""COMPUTED_VALUE"""),"#N/A")</f>
        <v>#N/A</v>
      </c>
    </row>
    <row r="2889">
      <c r="A2889" t="str">
        <f>IFERROR(__xludf.DUMMYFUNCTION("""COMPUTED_VALUE"""),"#N/A")</f>
        <v>#N/A</v>
      </c>
      <c r="B2889" s="451" t="str">
        <f>IFERROR(__xludf.DUMMYFUNCTION("""COMPUTED_VALUE"""),"#N/A")</f>
        <v>#N/A</v>
      </c>
    </row>
    <row r="2890">
      <c r="A2890" t="str">
        <f>IFERROR(__xludf.DUMMYFUNCTION("""COMPUTED_VALUE"""),"#N/A")</f>
        <v>#N/A</v>
      </c>
      <c r="B2890" s="451" t="str">
        <f>IFERROR(__xludf.DUMMYFUNCTION("""COMPUTED_VALUE"""),"#N/A")</f>
        <v>#N/A</v>
      </c>
    </row>
    <row r="2891">
      <c r="A2891" t="str">
        <f>IFERROR(__xludf.DUMMYFUNCTION("""COMPUTED_VALUE"""),"#N/A")</f>
        <v>#N/A</v>
      </c>
      <c r="B2891" s="451" t="str">
        <f>IFERROR(__xludf.DUMMYFUNCTION("""COMPUTED_VALUE"""),"#N/A")</f>
        <v>#N/A</v>
      </c>
    </row>
    <row r="2892">
      <c r="A2892" t="str">
        <f>IFERROR(__xludf.DUMMYFUNCTION("""COMPUTED_VALUE"""),"#N/A")</f>
        <v>#N/A</v>
      </c>
      <c r="B2892" s="451" t="str">
        <f>IFERROR(__xludf.DUMMYFUNCTION("""COMPUTED_VALUE"""),"#N/A")</f>
        <v>#N/A</v>
      </c>
    </row>
    <row r="2893">
      <c r="A2893" t="str">
        <f>IFERROR(__xludf.DUMMYFUNCTION("""COMPUTED_VALUE"""),"#N/A")</f>
        <v>#N/A</v>
      </c>
      <c r="B2893" s="451" t="str">
        <f>IFERROR(__xludf.DUMMYFUNCTION("""COMPUTED_VALUE"""),"#N/A")</f>
        <v>#N/A</v>
      </c>
    </row>
    <row r="2894">
      <c r="A2894" t="str">
        <f>IFERROR(__xludf.DUMMYFUNCTION("""COMPUTED_VALUE"""),"#N/A")</f>
        <v>#N/A</v>
      </c>
      <c r="B2894" s="451" t="str">
        <f>IFERROR(__xludf.DUMMYFUNCTION("""COMPUTED_VALUE"""),"#N/A")</f>
        <v>#N/A</v>
      </c>
    </row>
    <row r="2895">
      <c r="A2895" t="str">
        <f>IFERROR(__xludf.DUMMYFUNCTION("""COMPUTED_VALUE"""),"#N/A")</f>
        <v>#N/A</v>
      </c>
      <c r="B2895" s="451" t="str">
        <f>IFERROR(__xludf.DUMMYFUNCTION("""COMPUTED_VALUE"""),"#N/A")</f>
        <v>#N/A</v>
      </c>
    </row>
    <row r="2896">
      <c r="A2896" t="str">
        <f>IFERROR(__xludf.DUMMYFUNCTION("""COMPUTED_VALUE"""),"#N/A")</f>
        <v>#N/A</v>
      </c>
      <c r="B2896" s="451" t="str">
        <f>IFERROR(__xludf.DUMMYFUNCTION("""COMPUTED_VALUE"""),"#N/A")</f>
        <v>#N/A</v>
      </c>
    </row>
    <row r="2897">
      <c r="A2897" t="str">
        <f>IFERROR(__xludf.DUMMYFUNCTION("""COMPUTED_VALUE"""),"#N/A")</f>
        <v>#N/A</v>
      </c>
      <c r="B2897" s="451" t="str">
        <f>IFERROR(__xludf.DUMMYFUNCTION("""COMPUTED_VALUE"""),"#N/A")</f>
        <v>#N/A</v>
      </c>
    </row>
    <row r="2898">
      <c r="A2898" t="str">
        <f>IFERROR(__xludf.DUMMYFUNCTION("""COMPUTED_VALUE"""),"#N/A")</f>
        <v>#N/A</v>
      </c>
      <c r="B2898" s="451" t="str">
        <f>IFERROR(__xludf.DUMMYFUNCTION("""COMPUTED_VALUE"""),"#N/A")</f>
        <v>#N/A</v>
      </c>
    </row>
    <row r="2899">
      <c r="A2899" t="str">
        <f>IFERROR(__xludf.DUMMYFUNCTION("""COMPUTED_VALUE"""),"#N/A")</f>
        <v>#N/A</v>
      </c>
      <c r="B2899" s="451" t="str">
        <f>IFERROR(__xludf.DUMMYFUNCTION("""COMPUTED_VALUE"""),"#N/A")</f>
        <v>#N/A</v>
      </c>
    </row>
    <row r="2900">
      <c r="A2900" t="str">
        <f>IFERROR(__xludf.DUMMYFUNCTION("""COMPUTED_VALUE"""),"#N/A")</f>
        <v>#N/A</v>
      </c>
      <c r="B2900" s="451" t="str">
        <f>IFERROR(__xludf.DUMMYFUNCTION("""COMPUTED_VALUE"""),"#N/A")</f>
        <v>#N/A</v>
      </c>
    </row>
    <row r="2901">
      <c r="A2901" t="str">
        <f>IFERROR(__xludf.DUMMYFUNCTION("""COMPUTED_VALUE"""),"#N/A")</f>
        <v>#N/A</v>
      </c>
      <c r="B2901" s="451" t="str">
        <f>IFERROR(__xludf.DUMMYFUNCTION("""COMPUTED_VALUE"""),"#N/A")</f>
        <v>#N/A</v>
      </c>
    </row>
    <row r="2902">
      <c r="A2902" t="str">
        <f>IFERROR(__xludf.DUMMYFUNCTION("""COMPUTED_VALUE"""),"#N/A")</f>
        <v>#N/A</v>
      </c>
      <c r="B2902" s="451" t="str">
        <f>IFERROR(__xludf.DUMMYFUNCTION("""COMPUTED_VALUE"""),"#N/A")</f>
        <v>#N/A</v>
      </c>
    </row>
    <row r="2903">
      <c r="A2903" t="str">
        <f>IFERROR(__xludf.DUMMYFUNCTION("""COMPUTED_VALUE"""),"#N/A")</f>
        <v>#N/A</v>
      </c>
      <c r="B2903" s="451" t="str">
        <f>IFERROR(__xludf.DUMMYFUNCTION("""COMPUTED_VALUE"""),"#N/A")</f>
        <v>#N/A</v>
      </c>
    </row>
    <row r="2904">
      <c r="A2904" t="str">
        <f>IFERROR(__xludf.DUMMYFUNCTION("""COMPUTED_VALUE"""),"#N/A")</f>
        <v>#N/A</v>
      </c>
      <c r="B2904" s="451" t="str">
        <f>IFERROR(__xludf.DUMMYFUNCTION("""COMPUTED_VALUE"""),"#N/A")</f>
        <v>#N/A</v>
      </c>
    </row>
    <row r="2905">
      <c r="A2905" t="str">
        <f>IFERROR(__xludf.DUMMYFUNCTION("""COMPUTED_VALUE"""),"#N/A")</f>
        <v>#N/A</v>
      </c>
      <c r="B2905" s="451" t="str">
        <f>IFERROR(__xludf.DUMMYFUNCTION("""COMPUTED_VALUE"""),"#N/A")</f>
        <v>#N/A</v>
      </c>
    </row>
    <row r="2906">
      <c r="A2906" t="str">
        <f>IFERROR(__xludf.DUMMYFUNCTION("""COMPUTED_VALUE"""),"#N/A")</f>
        <v>#N/A</v>
      </c>
      <c r="B2906" s="451" t="str">
        <f>IFERROR(__xludf.DUMMYFUNCTION("""COMPUTED_VALUE"""),"#N/A")</f>
        <v>#N/A</v>
      </c>
    </row>
    <row r="2907">
      <c r="A2907" t="str">
        <f>IFERROR(__xludf.DUMMYFUNCTION("""COMPUTED_VALUE"""),"#N/A")</f>
        <v>#N/A</v>
      </c>
      <c r="B2907" s="451" t="str">
        <f>IFERROR(__xludf.DUMMYFUNCTION("""COMPUTED_VALUE"""),"#N/A")</f>
        <v>#N/A</v>
      </c>
    </row>
    <row r="2908">
      <c r="A2908" t="str">
        <f>IFERROR(__xludf.DUMMYFUNCTION("""COMPUTED_VALUE"""),"#N/A")</f>
        <v>#N/A</v>
      </c>
      <c r="B2908" s="451" t="str">
        <f>IFERROR(__xludf.DUMMYFUNCTION("""COMPUTED_VALUE"""),"#N/A")</f>
        <v>#N/A</v>
      </c>
    </row>
    <row r="2909">
      <c r="A2909" t="str">
        <f>IFERROR(__xludf.DUMMYFUNCTION("""COMPUTED_VALUE"""),"#N/A")</f>
        <v>#N/A</v>
      </c>
      <c r="B2909" s="451" t="str">
        <f>IFERROR(__xludf.DUMMYFUNCTION("""COMPUTED_VALUE"""),"#N/A")</f>
        <v>#N/A</v>
      </c>
    </row>
    <row r="2910">
      <c r="A2910" t="str">
        <f>IFERROR(__xludf.DUMMYFUNCTION("""COMPUTED_VALUE"""),"#N/A")</f>
        <v>#N/A</v>
      </c>
      <c r="B2910" s="451" t="str">
        <f>IFERROR(__xludf.DUMMYFUNCTION("""COMPUTED_VALUE"""),"#N/A")</f>
        <v>#N/A</v>
      </c>
    </row>
    <row r="2911">
      <c r="A2911" t="str">
        <f>IFERROR(__xludf.DUMMYFUNCTION("""COMPUTED_VALUE"""),"#N/A")</f>
        <v>#N/A</v>
      </c>
      <c r="B2911" s="451" t="str">
        <f>IFERROR(__xludf.DUMMYFUNCTION("""COMPUTED_VALUE"""),"#N/A")</f>
        <v>#N/A</v>
      </c>
    </row>
    <row r="2912">
      <c r="A2912" t="str">
        <f>IFERROR(__xludf.DUMMYFUNCTION("""COMPUTED_VALUE"""),"#N/A")</f>
        <v>#N/A</v>
      </c>
      <c r="B2912" s="451" t="str">
        <f>IFERROR(__xludf.DUMMYFUNCTION("""COMPUTED_VALUE"""),"#N/A")</f>
        <v>#N/A</v>
      </c>
    </row>
    <row r="2913">
      <c r="A2913" t="str">
        <f>IFERROR(__xludf.DUMMYFUNCTION("""COMPUTED_VALUE"""),"#N/A")</f>
        <v>#N/A</v>
      </c>
      <c r="B2913" s="451" t="str">
        <f>IFERROR(__xludf.DUMMYFUNCTION("""COMPUTED_VALUE"""),"#N/A")</f>
        <v>#N/A</v>
      </c>
    </row>
    <row r="2914">
      <c r="A2914" t="str">
        <f>IFERROR(__xludf.DUMMYFUNCTION("""COMPUTED_VALUE"""),"#N/A")</f>
        <v>#N/A</v>
      </c>
      <c r="B2914" s="451" t="str">
        <f>IFERROR(__xludf.DUMMYFUNCTION("""COMPUTED_VALUE"""),"#N/A")</f>
        <v>#N/A</v>
      </c>
    </row>
    <row r="2915">
      <c r="A2915" t="str">
        <f>IFERROR(__xludf.DUMMYFUNCTION("""COMPUTED_VALUE"""),"#N/A")</f>
        <v>#N/A</v>
      </c>
      <c r="B2915" s="451" t="str">
        <f>IFERROR(__xludf.DUMMYFUNCTION("""COMPUTED_VALUE"""),"#N/A")</f>
        <v>#N/A</v>
      </c>
    </row>
    <row r="2916">
      <c r="A2916" t="str">
        <f>IFERROR(__xludf.DUMMYFUNCTION("""COMPUTED_VALUE"""),"#N/A")</f>
        <v>#N/A</v>
      </c>
      <c r="B2916" s="451" t="str">
        <f>IFERROR(__xludf.DUMMYFUNCTION("""COMPUTED_VALUE"""),"#N/A")</f>
        <v>#N/A</v>
      </c>
    </row>
    <row r="2917">
      <c r="A2917" t="str">
        <f>IFERROR(__xludf.DUMMYFUNCTION("""COMPUTED_VALUE"""),"#N/A")</f>
        <v>#N/A</v>
      </c>
      <c r="B2917" s="451" t="str">
        <f>IFERROR(__xludf.DUMMYFUNCTION("""COMPUTED_VALUE"""),"#N/A")</f>
        <v>#N/A</v>
      </c>
    </row>
    <row r="2918">
      <c r="A2918" t="str">
        <f>IFERROR(__xludf.DUMMYFUNCTION("""COMPUTED_VALUE"""),"#N/A")</f>
        <v>#N/A</v>
      </c>
      <c r="B2918" s="451" t="str">
        <f>IFERROR(__xludf.DUMMYFUNCTION("""COMPUTED_VALUE"""),"#N/A")</f>
        <v>#N/A</v>
      </c>
    </row>
    <row r="2919">
      <c r="A2919" t="str">
        <f>IFERROR(__xludf.DUMMYFUNCTION("""COMPUTED_VALUE"""),"#N/A")</f>
        <v>#N/A</v>
      </c>
      <c r="B2919" s="451" t="str">
        <f>IFERROR(__xludf.DUMMYFUNCTION("""COMPUTED_VALUE"""),"#N/A")</f>
        <v>#N/A</v>
      </c>
    </row>
    <row r="2920">
      <c r="A2920" t="str">
        <f>IFERROR(__xludf.DUMMYFUNCTION("""COMPUTED_VALUE"""),"#N/A")</f>
        <v>#N/A</v>
      </c>
      <c r="B2920" s="451" t="str">
        <f>IFERROR(__xludf.DUMMYFUNCTION("""COMPUTED_VALUE"""),"#N/A")</f>
        <v>#N/A</v>
      </c>
    </row>
    <row r="2921">
      <c r="A2921" t="str">
        <f>IFERROR(__xludf.DUMMYFUNCTION("""COMPUTED_VALUE"""),"#N/A")</f>
        <v>#N/A</v>
      </c>
      <c r="B2921" s="451" t="str">
        <f>IFERROR(__xludf.DUMMYFUNCTION("""COMPUTED_VALUE"""),"#N/A")</f>
        <v>#N/A</v>
      </c>
    </row>
    <row r="2922">
      <c r="A2922" t="str">
        <f>IFERROR(__xludf.DUMMYFUNCTION("""COMPUTED_VALUE"""),"#N/A")</f>
        <v>#N/A</v>
      </c>
      <c r="B2922" s="451" t="str">
        <f>IFERROR(__xludf.DUMMYFUNCTION("""COMPUTED_VALUE"""),"#N/A")</f>
        <v>#N/A</v>
      </c>
    </row>
    <row r="2923">
      <c r="A2923" t="str">
        <f>IFERROR(__xludf.DUMMYFUNCTION("""COMPUTED_VALUE"""),"#N/A")</f>
        <v>#N/A</v>
      </c>
      <c r="B2923" s="451" t="str">
        <f>IFERROR(__xludf.DUMMYFUNCTION("""COMPUTED_VALUE"""),"#N/A")</f>
        <v>#N/A</v>
      </c>
    </row>
    <row r="2924">
      <c r="A2924" t="str">
        <f>IFERROR(__xludf.DUMMYFUNCTION("""COMPUTED_VALUE"""),"#N/A")</f>
        <v>#N/A</v>
      </c>
      <c r="B2924" s="451" t="str">
        <f>IFERROR(__xludf.DUMMYFUNCTION("""COMPUTED_VALUE"""),"#N/A")</f>
        <v>#N/A</v>
      </c>
    </row>
    <row r="2925">
      <c r="A2925" t="str">
        <f>IFERROR(__xludf.DUMMYFUNCTION("""COMPUTED_VALUE"""),"#N/A")</f>
        <v>#N/A</v>
      </c>
      <c r="B2925" s="451" t="str">
        <f>IFERROR(__xludf.DUMMYFUNCTION("""COMPUTED_VALUE"""),"#N/A")</f>
        <v>#N/A</v>
      </c>
    </row>
    <row r="2926">
      <c r="A2926" t="str">
        <f>IFERROR(__xludf.DUMMYFUNCTION("""COMPUTED_VALUE"""),"#N/A")</f>
        <v>#N/A</v>
      </c>
      <c r="B2926" s="451" t="str">
        <f>IFERROR(__xludf.DUMMYFUNCTION("""COMPUTED_VALUE"""),"#N/A")</f>
        <v>#N/A</v>
      </c>
    </row>
    <row r="2927">
      <c r="A2927" t="str">
        <f>IFERROR(__xludf.DUMMYFUNCTION("""COMPUTED_VALUE"""),"#N/A")</f>
        <v>#N/A</v>
      </c>
      <c r="B2927" s="451" t="str">
        <f>IFERROR(__xludf.DUMMYFUNCTION("""COMPUTED_VALUE"""),"#N/A")</f>
        <v>#N/A</v>
      </c>
    </row>
    <row r="2928">
      <c r="A2928" t="str">
        <f>IFERROR(__xludf.DUMMYFUNCTION("""COMPUTED_VALUE"""),"#N/A")</f>
        <v>#N/A</v>
      </c>
      <c r="B2928" s="451" t="str">
        <f>IFERROR(__xludf.DUMMYFUNCTION("""COMPUTED_VALUE"""),"#N/A")</f>
        <v>#N/A</v>
      </c>
    </row>
    <row r="2929">
      <c r="A2929" t="str">
        <f>IFERROR(__xludf.DUMMYFUNCTION("""COMPUTED_VALUE"""),"#N/A")</f>
        <v>#N/A</v>
      </c>
      <c r="B2929" s="451" t="str">
        <f>IFERROR(__xludf.DUMMYFUNCTION("""COMPUTED_VALUE"""),"#N/A")</f>
        <v>#N/A</v>
      </c>
    </row>
    <row r="2930">
      <c r="A2930" t="str">
        <f>IFERROR(__xludf.DUMMYFUNCTION("""COMPUTED_VALUE"""),"#N/A")</f>
        <v>#N/A</v>
      </c>
      <c r="B2930" s="451" t="str">
        <f>IFERROR(__xludf.DUMMYFUNCTION("""COMPUTED_VALUE"""),"#N/A")</f>
        <v>#N/A</v>
      </c>
    </row>
    <row r="2931">
      <c r="A2931" t="str">
        <f>IFERROR(__xludf.DUMMYFUNCTION("""COMPUTED_VALUE"""),"#N/A")</f>
        <v>#N/A</v>
      </c>
      <c r="B2931" s="451" t="str">
        <f>IFERROR(__xludf.DUMMYFUNCTION("""COMPUTED_VALUE"""),"#N/A")</f>
        <v>#N/A</v>
      </c>
    </row>
    <row r="2932">
      <c r="A2932" t="str">
        <f>IFERROR(__xludf.DUMMYFUNCTION("""COMPUTED_VALUE"""),"#N/A")</f>
        <v>#N/A</v>
      </c>
      <c r="B2932" s="451" t="str">
        <f>IFERROR(__xludf.DUMMYFUNCTION("""COMPUTED_VALUE"""),"#N/A")</f>
        <v>#N/A</v>
      </c>
    </row>
    <row r="2933">
      <c r="A2933" t="str">
        <f>IFERROR(__xludf.DUMMYFUNCTION("""COMPUTED_VALUE"""),"#N/A")</f>
        <v>#N/A</v>
      </c>
      <c r="B2933" s="451" t="str">
        <f>IFERROR(__xludf.DUMMYFUNCTION("""COMPUTED_VALUE"""),"#N/A")</f>
        <v>#N/A</v>
      </c>
    </row>
    <row r="2934">
      <c r="A2934" t="str">
        <f>IFERROR(__xludf.DUMMYFUNCTION("""COMPUTED_VALUE"""),"#N/A")</f>
        <v>#N/A</v>
      </c>
      <c r="B2934" s="451" t="str">
        <f>IFERROR(__xludf.DUMMYFUNCTION("""COMPUTED_VALUE"""),"#N/A")</f>
        <v>#N/A</v>
      </c>
    </row>
    <row r="2935">
      <c r="A2935" t="str">
        <f>IFERROR(__xludf.DUMMYFUNCTION("""COMPUTED_VALUE"""),"#N/A")</f>
        <v>#N/A</v>
      </c>
      <c r="B2935" s="451" t="str">
        <f>IFERROR(__xludf.DUMMYFUNCTION("""COMPUTED_VALUE"""),"#N/A")</f>
        <v>#N/A</v>
      </c>
    </row>
    <row r="2936">
      <c r="A2936" t="str">
        <f>IFERROR(__xludf.DUMMYFUNCTION("""COMPUTED_VALUE"""),"#N/A")</f>
        <v>#N/A</v>
      </c>
      <c r="B2936" s="451" t="str">
        <f>IFERROR(__xludf.DUMMYFUNCTION("""COMPUTED_VALUE"""),"#N/A")</f>
        <v>#N/A</v>
      </c>
    </row>
    <row r="2937">
      <c r="A2937" t="str">
        <f>IFERROR(__xludf.DUMMYFUNCTION("""COMPUTED_VALUE"""),"#N/A")</f>
        <v>#N/A</v>
      </c>
      <c r="B2937" s="451" t="str">
        <f>IFERROR(__xludf.DUMMYFUNCTION("""COMPUTED_VALUE"""),"#N/A")</f>
        <v>#N/A</v>
      </c>
    </row>
    <row r="2938">
      <c r="A2938" t="str">
        <f>IFERROR(__xludf.DUMMYFUNCTION("""COMPUTED_VALUE"""),"#N/A")</f>
        <v>#N/A</v>
      </c>
      <c r="B2938" s="451" t="str">
        <f>IFERROR(__xludf.DUMMYFUNCTION("""COMPUTED_VALUE"""),"#N/A")</f>
        <v>#N/A</v>
      </c>
    </row>
    <row r="2939">
      <c r="A2939" t="str">
        <f>IFERROR(__xludf.DUMMYFUNCTION("""COMPUTED_VALUE"""),"#N/A")</f>
        <v>#N/A</v>
      </c>
      <c r="B2939" s="451" t="str">
        <f>IFERROR(__xludf.DUMMYFUNCTION("""COMPUTED_VALUE"""),"#N/A")</f>
        <v>#N/A</v>
      </c>
    </row>
    <row r="2940">
      <c r="A2940" t="str">
        <f>IFERROR(__xludf.DUMMYFUNCTION("""COMPUTED_VALUE"""),"#N/A")</f>
        <v>#N/A</v>
      </c>
      <c r="B2940" s="451" t="str">
        <f>IFERROR(__xludf.DUMMYFUNCTION("""COMPUTED_VALUE"""),"#N/A")</f>
        <v>#N/A</v>
      </c>
    </row>
    <row r="2941">
      <c r="A2941" t="str">
        <f>IFERROR(__xludf.DUMMYFUNCTION("""COMPUTED_VALUE"""),"#N/A")</f>
        <v>#N/A</v>
      </c>
      <c r="B2941" s="451" t="str">
        <f>IFERROR(__xludf.DUMMYFUNCTION("""COMPUTED_VALUE"""),"#N/A")</f>
        <v>#N/A</v>
      </c>
    </row>
    <row r="2942">
      <c r="A2942" t="str">
        <f>IFERROR(__xludf.DUMMYFUNCTION("""COMPUTED_VALUE"""),"#N/A")</f>
        <v>#N/A</v>
      </c>
      <c r="B2942" s="451" t="str">
        <f>IFERROR(__xludf.DUMMYFUNCTION("""COMPUTED_VALUE"""),"#N/A")</f>
        <v>#N/A</v>
      </c>
    </row>
    <row r="2943">
      <c r="A2943" t="str">
        <f>IFERROR(__xludf.DUMMYFUNCTION("""COMPUTED_VALUE"""),"#N/A")</f>
        <v>#N/A</v>
      </c>
      <c r="B2943" s="451" t="str">
        <f>IFERROR(__xludf.DUMMYFUNCTION("""COMPUTED_VALUE"""),"#N/A")</f>
        <v>#N/A</v>
      </c>
    </row>
    <row r="2944">
      <c r="A2944" t="str">
        <f>IFERROR(__xludf.DUMMYFUNCTION("""COMPUTED_VALUE"""),"#N/A")</f>
        <v>#N/A</v>
      </c>
      <c r="B2944" s="451" t="str">
        <f>IFERROR(__xludf.DUMMYFUNCTION("""COMPUTED_VALUE"""),"#N/A")</f>
        <v>#N/A</v>
      </c>
    </row>
    <row r="2945">
      <c r="A2945" t="str">
        <f>IFERROR(__xludf.DUMMYFUNCTION("""COMPUTED_VALUE"""),"#N/A")</f>
        <v>#N/A</v>
      </c>
      <c r="B2945" s="451" t="str">
        <f>IFERROR(__xludf.DUMMYFUNCTION("""COMPUTED_VALUE"""),"#N/A")</f>
        <v>#N/A</v>
      </c>
    </row>
    <row r="2946">
      <c r="A2946" t="str">
        <f>IFERROR(__xludf.DUMMYFUNCTION("""COMPUTED_VALUE"""),"#N/A")</f>
        <v>#N/A</v>
      </c>
      <c r="B2946" s="451" t="str">
        <f>IFERROR(__xludf.DUMMYFUNCTION("""COMPUTED_VALUE"""),"#N/A")</f>
        <v>#N/A</v>
      </c>
    </row>
    <row r="2947">
      <c r="A2947" t="str">
        <f>IFERROR(__xludf.DUMMYFUNCTION("""COMPUTED_VALUE"""),"#N/A")</f>
        <v>#N/A</v>
      </c>
      <c r="B2947" s="451" t="str">
        <f>IFERROR(__xludf.DUMMYFUNCTION("""COMPUTED_VALUE"""),"#N/A")</f>
        <v>#N/A</v>
      </c>
    </row>
    <row r="2948">
      <c r="A2948" t="str">
        <f>IFERROR(__xludf.DUMMYFUNCTION("""COMPUTED_VALUE"""),"#N/A")</f>
        <v>#N/A</v>
      </c>
      <c r="B2948" s="451" t="str">
        <f>IFERROR(__xludf.DUMMYFUNCTION("""COMPUTED_VALUE"""),"#N/A")</f>
        <v>#N/A</v>
      </c>
    </row>
    <row r="2949">
      <c r="A2949" t="str">
        <f>IFERROR(__xludf.DUMMYFUNCTION("""COMPUTED_VALUE"""),"#N/A")</f>
        <v>#N/A</v>
      </c>
      <c r="B2949" s="451" t="str">
        <f>IFERROR(__xludf.DUMMYFUNCTION("""COMPUTED_VALUE"""),"#N/A")</f>
        <v>#N/A</v>
      </c>
    </row>
    <row r="2950">
      <c r="A2950" t="str">
        <f>IFERROR(__xludf.DUMMYFUNCTION("""COMPUTED_VALUE"""),"#N/A")</f>
        <v>#N/A</v>
      </c>
      <c r="B2950" s="451" t="str">
        <f>IFERROR(__xludf.DUMMYFUNCTION("""COMPUTED_VALUE"""),"#N/A")</f>
        <v>#N/A</v>
      </c>
    </row>
    <row r="2951">
      <c r="A2951" t="str">
        <f>IFERROR(__xludf.DUMMYFUNCTION("""COMPUTED_VALUE"""),"#N/A")</f>
        <v>#N/A</v>
      </c>
      <c r="B2951" s="451" t="str">
        <f>IFERROR(__xludf.DUMMYFUNCTION("""COMPUTED_VALUE"""),"#N/A")</f>
        <v>#N/A</v>
      </c>
    </row>
    <row r="2952">
      <c r="A2952" t="str">
        <f>IFERROR(__xludf.DUMMYFUNCTION("""COMPUTED_VALUE"""),"#N/A")</f>
        <v>#N/A</v>
      </c>
      <c r="B2952" s="451" t="str">
        <f>IFERROR(__xludf.DUMMYFUNCTION("""COMPUTED_VALUE"""),"#N/A")</f>
        <v>#N/A</v>
      </c>
    </row>
    <row r="2953">
      <c r="A2953" t="str">
        <f>IFERROR(__xludf.DUMMYFUNCTION("""COMPUTED_VALUE"""),"#N/A")</f>
        <v>#N/A</v>
      </c>
      <c r="B2953" s="451" t="str">
        <f>IFERROR(__xludf.DUMMYFUNCTION("""COMPUTED_VALUE"""),"#N/A")</f>
        <v>#N/A</v>
      </c>
    </row>
    <row r="2954">
      <c r="A2954" t="str">
        <f>IFERROR(__xludf.DUMMYFUNCTION("""COMPUTED_VALUE"""),"#N/A")</f>
        <v>#N/A</v>
      </c>
      <c r="B2954" s="451" t="str">
        <f>IFERROR(__xludf.DUMMYFUNCTION("""COMPUTED_VALUE"""),"#N/A")</f>
        <v>#N/A</v>
      </c>
    </row>
    <row r="2955">
      <c r="A2955" t="str">
        <f>IFERROR(__xludf.DUMMYFUNCTION("""COMPUTED_VALUE"""),"#N/A")</f>
        <v>#N/A</v>
      </c>
      <c r="B2955" s="451" t="str">
        <f>IFERROR(__xludf.DUMMYFUNCTION("""COMPUTED_VALUE"""),"#N/A")</f>
        <v>#N/A</v>
      </c>
    </row>
    <row r="2956">
      <c r="A2956" t="str">
        <f>IFERROR(__xludf.DUMMYFUNCTION("""COMPUTED_VALUE"""),"#N/A")</f>
        <v>#N/A</v>
      </c>
      <c r="B2956" s="451" t="str">
        <f>IFERROR(__xludf.DUMMYFUNCTION("""COMPUTED_VALUE"""),"#N/A")</f>
        <v>#N/A</v>
      </c>
    </row>
    <row r="2957">
      <c r="A2957" t="str">
        <f>IFERROR(__xludf.DUMMYFUNCTION("""COMPUTED_VALUE"""),"#N/A")</f>
        <v>#N/A</v>
      </c>
      <c r="B2957" s="451" t="str">
        <f>IFERROR(__xludf.DUMMYFUNCTION("""COMPUTED_VALUE"""),"#N/A")</f>
        <v>#N/A</v>
      </c>
    </row>
    <row r="2958">
      <c r="A2958" t="str">
        <f>IFERROR(__xludf.DUMMYFUNCTION("""COMPUTED_VALUE"""),"#N/A")</f>
        <v>#N/A</v>
      </c>
      <c r="B2958" s="451" t="str">
        <f>IFERROR(__xludf.DUMMYFUNCTION("""COMPUTED_VALUE"""),"#N/A")</f>
        <v>#N/A</v>
      </c>
    </row>
    <row r="2959">
      <c r="A2959" t="str">
        <f>IFERROR(__xludf.DUMMYFUNCTION("""COMPUTED_VALUE"""),"#N/A")</f>
        <v>#N/A</v>
      </c>
      <c r="B2959" s="451" t="str">
        <f>IFERROR(__xludf.DUMMYFUNCTION("""COMPUTED_VALUE"""),"#N/A")</f>
        <v>#N/A</v>
      </c>
    </row>
    <row r="2960">
      <c r="A2960" t="str">
        <f>IFERROR(__xludf.DUMMYFUNCTION("""COMPUTED_VALUE"""),"#N/A")</f>
        <v>#N/A</v>
      </c>
      <c r="B2960" s="451" t="str">
        <f>IFERROR(__xludf.DUMMYFUNCTION("""COMPUTED_VALUE"""),"#N/A")</f>
        <v>#N/A</v>
      </c>
    </row>
    <row r="2961">
      <c r="A2961" t="str">
        <f>IFERROR(__xludf.DUMMYFUNCTION("""COMPUTED_VALUE"""),"#N/A")</f>
        <v>#N/A</v>
      </c>
      <c r="B2961" s="451" t="str">
        <f>IFERROR(__xludf.DUMMYFUNCTION("""COMPUTED_VALUE"""),"#N/A")</f>
        <v>#N/A</v>
      </c>
    </row>
    <row r="2962">
      <c r="A2962" t="str">
        <f>IFERROR(__xludf.DUMMYFUNCTION("""COMPUTED_VALUE"""),"#N/A")</f>
        <v>#N/A</v>
      </c>
      <c r="B2962" s="451" t="str">
        <f>IFERROR(__xludf.DUMMYFUNCTION("""COMPUTED_VALUE"""),"#N/A")</f>
        <v>#N/A</v>
      </c>
    </row>
    <row r="2963">
      <c r="A2963" t="str">
        <f>IFERROR(__xludf.DUMMYFUNCTION("""COMPUTED_VALUE"""),"#N/A")</f>
        <v>#N/A</v>
      </c>
      <c r="B2963" s="451" t="str">
        <f>IFERROR(__xludf.DUMMYFUNCTION("""COMPUTED_VALUE"""),"#N/A")</f>
        <v>#N/A</v>
      </c>
    </row>
    <row r="2964">
      <c r="A2964" t="str">
        <f>IFERROR(__xludf.DUMMYFUNCTION("""COMPUTED_VALUE"""),"#N/A")</f>
        <v>#N/A</v>
      </c>
      <c r="B2964" s="451" t="str">
        <f>IFERROR(__xludf.DUMMYFUNCTION("""COMPUTED_VALUE"""),"#N/A")</f>
        <v>#N/A</v>
      </c>
    </row>
    <row r="2965">
      <c r="A2965" t="str">
        <f>IFERROR(__xludf.DUMMYFUNCTION("""COMPUTED_VALUE"""),"#N/A")</f>
        <v>#N/A</v>
      </c>
      <c r="B2965" s="451" t="str">
        <f>IFERROR(__xludf.DUMMYFUNCTION("""COMPUTED_VALUE"""),"#N/A")</f>
        <v>#N/A</v>
      </c>
    </row>
    <row r="2966">
      <c r="A2966" t="str">
        <f>IFERROR(__xludf.DUMMYFUNCTION("""COMPUTED_VALUE"""),"#N/A")</f>
        <v>#N/A</v>
      </c>
      <c r="B2966" s="451" t="str">
        <f>IFERROR(__xludf.DUMMYFUNCTION("""COMPUTED_VALUE"""),"#N/A")</f>
        <v>#N/A</v>
      </c>
    </row>
    <row r="2967">
      <c r="A2967" t="str">
        <f>IFERROR(__xludf.DUMMYFUNCTION("""COMPUTED_VALUE"""),"#N/A")</f>
        <v>#N/A</v>
      </c>
      <c r="B2967" s="451" t="str">
        <f>IFERROR(__xludf.DUMMYFUNCTION("""COMPUTED_VALUE"""),"#N/A")</f>
        <v>#N/A</v>
      </c>
    </row>
    <row r="2968">
      <c r="A2968" t="str">
        <f>IFERROR(__xludf.DUMMYFUNCTION("""COMPUTED_VALUE"""),"#N/A")</f>
        <v>#N/A</v>
      </c>
      <c r="B2968" s="451" t="str">
        <f>IFERROR(__xludf.DUMMYFUNCTION("""COMPUTED_VALUE"""),"#N/A")</f>
        <v>#N/A</v>
      </c>
    </row>
    <row r="2969">
      <c r="A2969" t="str">
        <f>IFERROR(__xludf.DUMMYFUNCTION("""COMPUTED_VALUE"""),"#N/A")</f>
        <v>#N/A</v>
      </c>
      <c r="B2969" s="451" t="str">
        <f>IFERROR(__xludf.DUMMYFUNCTION("""COMPUTED_VALUE"""),"#N/A")</f>
        <v>#N/A</v>
      </c>
    </row>
    <row r="2970">
      <c r="A2970" t="str">
        <f>IFERROR(__xludf.DUMMYFUNCTION("""COMPUTED_VALUE"""),"#N/A")</f>
        <v>#N/A</v>
      </c>
      <c r="B2970" s="451" t="str">
        <f>IFERROR(__xludf.DUMMYFUNCTION("""COMPUTED_VALUE"""),"#N/A")</f>
        <v>#N/A</v>
      </c>
    </row>
    <row r="2971">
      <c r="A2971" t="str">
        <f>IFERROR(__xludf.DUMMYFUNCTION("""COMPUTED_VALUE"""),"#N/A")</f>
        <v>#N/A</v>
      </c>
      <c r="B2971" s="451" t="str">
        <f>IFERROR(__xludf.DUMMYFUNCTION("""COMPUTED_VALUE"""),"#N/A")</f>
        <v>#N/A</v>
      </c>
    </row>
    <row r="2972">
      <c r="A2972" t="str">
        <f>IFERROR(__xludf.DUMMYFUNCTION("""COMPUTED_VALUE"""),"#N/A")</f>
        <v>#N/A</v>
      </c>
      <c r="B2972" s="451" t="str">
        <f>IFERROR(__xludf.DUMMYFUNCTION("""COMPUTED_VALUE"""),"#N/A")</f>
        <v>#N/A</v>
      </c>
    </row>
    <row r="2973">
      <c r="A2973" t="str">
        <f>IFERROR(__xludf.DUMMYFUNCTION("""COMPUTED_VALUE"""),"#N/A")</f>
        <v>#N/A</v>
      </c>
      <c r="B2973" s="451" t="str">
        <f>IFERROR(__xludf.DUMMYFUNCTION("""COMPUTED_VALUE"""),"#N/A")</f>
        <v>#N/A</v>
      </c>
    </row>
    <row r="2974">
      <c r="A2974" t="str">
        <f>IFERROR(__xludf.DUMMYFUNCTION("""COMPUTED_VALUE"""),"#N/A")</f>
        <v>#N/A</v>
      </c>
      <c r="B2974" s="451" t="str">
        <f>IFERROR(__xludf.DUMMYFUNCTION("""COMPUTED_VALUE"""),"#N/A")</f>
        <v>#N/A</v>
      </c>
    </row>
    <row r="2975">
      <c r="A2975" t="str">
        <f>IFERROR(__xludf.DUMMYFUNCTION("""COMPUTED_VALUE"""),"#N/A")</f>
        <v>#N/A</v>
      </c>
      <c r="B2975" s="451" t="str">
        <f>IFERROR(__xludf.DUMMYFUNCTION("""COMPUTED_VALUE"""),"#N/A")</f>
        <v>#N/A</v>
      </c>
    </row>
    <row r="2976">
      <c r="A2976" t="str">
        <f>IFERROR(__xludf.DUMMYFUNCTION("""COMPUTED_VALUE"""),"#N/A")</f>
        <v>#N/A</v>
      </c>
      <c r="B2976" s="451" t="str">
        <f>IFERROR(__xludf.DUMMYFUNCTION("""COMPUTED_VALUE"""),"#N/A")</f>
        <v>#N/A</v>
      </c>
    </row>
    <row r="2977">
      <c r="A2977" t="str">
        <f>IFERROR(__xludf.DUMMYFUNCTION("""COMPUTED_VALUE"""),"#N/A")</f>
        <v>#N/A</v>
      </c>
      <c r="B2977" s="451" t="str">
        <f>IFERROR(__xludf.DUMMYFUNCTION("""COMPUTED_VALUE"""),"#N/A")</f>
        <v>#N/A</v>
      </c>
    </row>
    <row r="2978">
      <c r="A2978" t="str">
        <f>IFERROR(__xludf.DUMMYFUNCTION("""COMPUTED_VALUE"""),"#N/A")</f>
        <v>#N/A</v>
      </c>
      <c r="B2978" s="451" t="str">
        <f>IFERROR(__xludf.DUMMYFUNCTION("""COMPUTED_VALUE"""),"#N/A")</f>
        <v>#N/A</v>
      </c>
    </row>
    <row r="2979">
      <c r="A2979" t="str">
        <f>IFERROR(__xludf.DUMMYFUNCTION("""COMPUTED_VALUE"""),"#N/A")</f>
        <v>#N/A</v>
      </c>
      <c r="B2979" s="451" t="str">
        <f>IFERROR(__xludf.DUMMYFUNCTION("""COMPUTED_VALUE"""),"#N/A")</f>
        <v>#N/A</v>
      </c>
    </row>
    <row r="2980">
      <c r="A2980" t="str">
        <f>IFERROR(__xludf.DUMMYFUNCTION("""COMPUTED_VALUE"""),"#N/A")</f>
        <v>#N/A</v>
      </c>
      <c r="B2980" s="451" t="str">
        <f>IFERROR(__xludf.DUMMYFUNCTION("""COMPUTED_VALUE"""),"#N/A")</f>
        <v>#N/A</v>
      </c>
    </row>
    <row r="2981">
      <c r="A2981" t="str">
        <f>IFERROR(__xludf.DUMMYFUNCTION("""COMPUTED_VALUE"""),"#N/A")</f>
        <v>#N/A</v>
      </c>
      <c r="B2981" s="451" t="str">
        <f>IFERROR(__xludf.DUMMYFUNCTION("""COMPUTED_VALUE"""),"#N/A")</f>
        <v>#N/A</v>
      </c>
    </row>
    <row r="2982">
      <c r="A2982" t="str">
        <f>IFERROR(__xludf.DUMMYFUNCTION("""COMPUTED_VALUE"""),"#N/A")</f>
        <v>#N/A</v>
      </c>
      <c r="B2982" s="451" t="str">
        <f>IFERROR(__xludf.DUMMYFUNCTION("""COMPUTED_VALUE"""),"#N/A")</f>
        <v>#N/A</v>
      </c>
    </row>
    <row r="2983">
      <c r="A2983" t="str">
        <f>IFERROR(__xludf.DUMMYFUNCTION("""COMPUTED_VALUE"""),"#N/A")</f>
        <v>#N/A</v>
      </c>
      <c r="B2983" s="451" t="str">
        <f>IFERROR(__xludf.DUMMYFUNCTION("""COMPUTED_VALUE"""),"#N/A")</f>
        <v>#N/A</v>
      </c>
    </row>
    <row r="2984">
      <c r="A2984" t="str">
        <f>IFERROR(__xludf.DUMMYFUNCTION("""COMPUTED_VALUE"""),"#N/A")</f>
        <v>#N/A</v>
      </c>
      <c r="B2984" s="451" t="str">
        <f>IFERROR(__xludf.DUMMYFUNCTION("""COMPUTED_VALUE"""),"#N/A")</f>
        <v>#N/A</v>
      </c>
    </row>
    <row r="2985">
      <c r="A2985" t="str">
        <f>IFERROR(__xludf.DUMMYFUNCTION("""COMPUTED_VALUE"""),"#N/A")</f>
        <v>#N/A</v>
      </c>
      <c r="B2985" s="451" t="str">
        <f>IFERROR(__xludf.DUMMYFUNCTION("""COMPUTED_VALUE"""),"#N/A")</f>
        <v>#N/A</v>
      </c>
    </row>
    <row r="2986">
      <c r="A2986" t="str">
        <f>IFERROR(__xludf.DUMMYFUNCTION("""COMPUTED_VALUE"""),"#N/A")</f>
        <v>#N/A</v>
      </c>
      <c r="B2986" s="451" t="str">
        <f>IFERROR(__xludf.DUMMYFUNCTION("""COMPUTED_VALUE"""),"#N/A")</f>
        <v>#N/A</v>
      </c>
    </row>
    <row r="2987">
      <c r="A2987" t="str">
        <f>IFERROR(__xludf.DUMMYFUNCTION("""COMPUTED_VALUE"""),"#N/A")</f>
        <v>#N/A</v>
      </c>
      <c r="B2987" s="451" t="str">
        <f>IFERROR(__xludf.DUMMYFUNCTION("""COMPUTED_VALUE"""),"#N/A")</f>
        <v>#N/A</v>
      </c>
    </row>
    <row r="2988">
      <c r="A2988" t="str">
        <f>IFERROR(__xludf.DUMMYFUNCTION("""COMPUTED_VALUE"""),"#N/A")</f>
        <v>#N/A</v>
      </c>
      <c r="B2988" s="451" t="str">
        <f>IFERROR(__xludf.DUMMYFUNCTION("""COMPUTED_VALUE"""),"#N/A")</f>
        <v>#N/A</v>
      </c>
    </row>
    <row r="2989">
      <c r="A2989" t="str">
        <f>IFERROR(__xludf.DUMMYFUNCTION("""COMPUTED_VALUE"""),"#N/A")</f>
        <v>#N/A</v>
      </c>
      <c r="B2989" s="451" t="str">
        <f>IFERROR(__xludf.DUMMYFUNCTION("""COMPUTED_VALUE"""),"#N/A")</f>
        <v>#N/A</v>
      </c>
    </row>
    <row r="2990">
      <c r="A2990" t="str">
        <f>IFERROR(__xludf.DUMMYFUNCTION("""COMPUTED_VALUE"""),"#N/A")</f>
        <v>#N/A</v>
      </c>
      <c r="B2990" s="451" t="str">
        <f>IFERROR(__xludf.DUMMYFUNCTION("""COMPUTED_VALUE"""),"#N/A")</f>
        <v>#N/A</v>
      </c>
    </row>
    <row r="2991">
      <c r="A2991" t="str">
        <f>IFERROR(__xludf.DUMMYFUNCTION("""COMPUTED_VALUE"""),"#N/A")</f>
        <v>#N/A</v>
      </c>
      <c r="B2991" s="451" t="str">
        <f>IFERROR(__xludf.DUMMYFUNCTION("""COMPUTED_VALUE"""),"#N/A")</f>
        <v>#N/A</v>
      </c>
    </row>
    <row r="2992">
      <c r="A2992" t="str">
        <f>IFERROR(__xludf.DUMMYFUNCTION("""COMPUTED_VALUE"""),"#N/A")</f>
        <v>#N/A</v>
      </c>
      <c r="B2992" s="451" t="str">
        <f>IFERROR(__xludf.DUMMYFUNCTION("""COMPUTED_VALUE"""),"#N/A")</f>
        <v>#N/A</v>
      </c>
    </row>
    <row r="2993">
      <c r="A2993" t="str">
        <f>IFERROR(__xludf.DUMMYFUNCTION("""COMPUTED_VALUE"""),"#N/A")</f>
        <v>#N/A</v>
      </c>
      <c r="B2993" s="451" t="str">
        <f>IFERROR(__xludf.DUMMYFUNCTION("""COMPUTED_VALUE"""),"#N/A")</f>
        <v>#N/A</v>
      </c>
    </row>
    <row r="2994">
      <c r="A2994" t="str">
        <f>IFERROR(__xludf.DUMMYFUNCTION("""COMPUTED_VALUE"""),"#N/A")</f>
        <v>#N/A</v>
      </c>
      <c r="B2994" s="451" t="str">
        <f>IFERROR(__xludf.DUMMYFUNCTION("""COMPUTED_VALUE"""),"#N/A")</f>
        <v>#N/A</v>
      </c>
    </row>
    <row r="2995">
      <c r="A2995" t="str">
        <f>IFERROR(__xludf.DUMMYFUNCTION("""COMPUTED_VALUE"""),"#N/A")</f>
        <v>#N/A</v>
      </c>
      <c r="B2995" s="451" t="str">
        <f>IFERROR(__xludf.DUMMYFUNCTION("""COMPUTED_VALUE"""),"#N/A")</f>
        <v>#N/A</v>
      </c>
    </row>
    <row r="2996">
      <c r="A2996" t="str">
        <f>IFERROR(__xludf.DUMMYFUNCTION("""COMPUTED_VALUE"""),"#N/A")</f>
        <v>#N/A</v>
      </c>
      <c r="B2996" s="451" t="str">
        <f>IFERROR(__xludf.DUMMYFUNCTION("""COMPUTED_VALUE"""),"#N/A")</f>
        <v>#N/A</v>
      </c>
    </row>
    <row r="2997">
      <c r="A2997" t="str">
        <f>IFERROR(__xludf.DUMMYFUNCTION("""COMPUTED_VALUE"""),"#N/A")</f>
        <v>#N/A</v>
      </c>
      <c r="B2997" s="451" t="str">
        <f>IFERROR(__xludf.DUMMYFUNCTION("""COMPUTED_VALUE"""),"#N/A")</f>
        <v>#N/A</v>
      </c>
    </row>
    <row r="2998">
      <c r="A2998" t="str">
        <f>IFERROR(__xludf.DUMMYFUNCTION("""COMPUTED_VALUE"""),"#N/A")</f>
        <v>#N/A</v>
      </c>
      <c r="B2998" s="451" t="str">
        <f>IFERROR(__xludf.DUMMYFUNCTION("""COMPUTED_VALUE"""),"#N/A")</f>
        <v>#N/A</v>
      </c>
    </row>
    <row r="2999">
      <c r="A2999" t="str">
        <f>IFERROR(__xludf.DUMMYFUNCTION("""COMPUTED_VALUE"""),"#N/A")</f>
        <v>#N/A</v>
      </c>
      <c r="B2999" s="451" t="str">
        <f>IFERROR(__xludf.DUMMYFUNCTION("""COMPUTED_VALUE"""),"#N/A")</f>
        <v>#N/A</v>
      </c>
    </row>
    <row r="3000">
      <c r="A3000" t="str">
        <f>IFERROR(__xludf.DUMMYFUNCTION("""COMPUTED_VALUE"""),"#N/A")</f>
        <v>#N/A</v>
      </c>
      <c r="B3000" s="451" t="str">
        <f>IFERROR(__xludf.DUMMYFUNCTION("""COMPUTED_VALUE"""),"#N/A")</f>
        <v>#N/A</v>
      </c>
    </row>
    <row r="3001">
      <c r="A3001" t="str">
        <f>IFERROR(__xludf.DUMMYFUNCTION("""COMPUTED_VALUE"""),"#N/A")</f>
        <v>#N/A</v>
      </c>
      <c r="B3001" s="451" t="str">
        <f>IFERROR(__xludf.DUMMYFUNCTION("""COMPUTED_VALUE"""),"#N/A")</f>
        <v>#N/A</v>
      </c>
    </row>
    <row r="3002">
      <c r="A3002" t="str">
        <f>IFERROR(__xludf.DUMMYFUNCTION("""COMPUTED_VALUE"""),"#N/A")</f>
        <v>#N/A</v>
      </c>
      <c r="B3002" s="451" t="str">
        <f>IFERROR(__xludf.DUMMYFUNCTION("""COMPUTED_VALUE"""),"#N/A")</f>
        <v>#N/A</v>
      </c>
    </row>
    <row r="3003">
      <c r="A3003" t="str">
        <f>IFERROR(__xludf.DUMMYFUNCTION("""COMPUTED_VALUE"""),"#N/A")</f>
        <v>#N/A</v>
      </c>
      <c r="B3003" s="451" t="str">
        <f>IFERROR(__xludf.DUMMYFUNCTION("""COMPUTED_VALUE"""),"#N/A")</f>
        <v>#N/A</v>
      </c>
    </row>
    <row r="3004">
      <c r="A3004" t="str">
        <f>IFERROR(__xludf.DUMMYFUNCTION("""COMPUTED_VALUE"""),"#N/A")</f>
        <v>#N/A</v>
      </c>
      <c r="B3004" s="451" t="str">
        <f>IFERROR(__xludf.DUMMYFUNCTION("""COMPUTED_VALUE"""),"#N/A")</f>
        <v>#N/A</v>
      </c>
    </row>
    <row r="3005">
      <c r="A3005" t="str">
        <f>IFERROR(__xludf.DUMMYFUNCTION("""COMPUTED_VALUE"""),"#N/A")</f>
        <v>#N/A</v>
      </c>
      <c r="B3005" s="451" t="str">
        <f>IFERROR(__xludf.DUMMYFUNCTION("""COMPUTED_VALUE"""),"#N/A")</f>
        <v>#N/A</v>
      </c>
    </row>
    <row r="3006">
      <c r="A3006" t="str">
        <f>IFERROR(__xludf.DUMMYFUNCTION("""COMPUTED_VALUE"""),"#N/A")</f>
        <v>#N/A</v>
      </c>
      <c r="B3006" s="451" t="str">
        <f>IFERROR(__xludf.DUMMYFUNCTION("""COMPUTED_VALUE"""),"#N/A")</f>
        <v>#N/A</v>
      </c>
    </row>
    <row r="3007">
      <c r="A3007" t="str">
        <f>IFERROR(__xludf.DUMMYFUNCTION("""COMPUTED_VALUE"""),"#N/A")</f>
        <v>#N/A</v>
      </c>
      <c r="B3007" s="451" t="str">
        <f>IFERROR(__xludf.DUMMYFUNCTION("""COMPUTED_VALUE"""),"#N/A")</f>
        <v>#N/A</v>
      </c>
    </row>
    <row r="3008">
      <c r="A3008" t="str">
        <f>IFERROR(__xludf.DUMMYFUNCTION("""COMPUTED_VALUE"""),"#N/A")</f>
        <v>#N/A</v>
      </c>
      <c r="B3008" s="451" t="str">
        <f>IFERROR(__xludf.DUMMYFUNCTION("""COMPUTED_VALUE"""),"#N/A")</f>
        <v>#N/A</v>
      </c>
    </row>
    <row r="3009">
      <c r="A3009" t="str">
        <f>IFERROR(__xludf.DUMMYFUNCTION("""COMPUTED_VALUE"""),"#N/A")</f>
        <v>#N/A</v>
      </c>
      <c r="B3009" s="451" t="str">
        <f>IFERROR(__xludf.DUMMYFUNCTION("""COMPUTED_VALUE"""),"#N/A")</f>
        <v>#N/A</v>
      </c>
    </row>
    <row r="3010">
      <c r="A3010" t="str">
        <f>IFERROR(__xludf.DUMMYFUNCTION("""COMPUTED_VALUE"""),"#N/A")</f>
        <v>#N/A</v>
      </c>
      <c r="B3010" s="451" t="str">
        <f>IFERROR(__xludf.DUMMYFUNCTION("""COMPUTED_VALUE"""),"#N/A")</f>
        <v>#N/A</v>
      </c>
    </row>
    <row r="3011">
      <c r="A3011" t="str">
        <f>IFERROR(__xludf.DUMMYFUNCTION("""COMPUTED_VALUE"""),"#N/A")</f>
        <v>#N/A</v>
      </c>
      <c r="B3011" s="451" t="str">
        <f>IFERROR(__xludf.DUMMYFUNCTION("""COMPUTED_VALUE"""),"#N/A")</f>
        <v>#N/A</v>
      </c>
    </row>
    <row r="3012">
      <c r="A3012" t="str">
        <f>IFERROR(__xludf.DUMMYFUNCTION("""COMPUTED_VALUE"""),"#N/A")</f>
        <v>#N/A</v>
      </c>
      <c r="B3012" s="451" t="str">
        <f>IFERROR(__xludf.DUMMYFUNCTION("""COMPUTED_VALUE"""),"#N/A")</f>
        <v>#N/A</v>
      </c>
    </row>
    <row r="3013">
      <c r="A3013" t="str">
        <f>IFERROR(__xludf.DUMMYFUNCTION("""COMPUTED_VALUE"""),"#N/A")</f>
        <v>#N/A</v>
      </c>
      <c r="B3013" s="451" t="str">
        <f>IFERROR(__xludf.DUMMYFUNCTION("""COMPUTED_VALUE"""),"#N/A")</f>
        <v>#N/A</v>
      </c>
    </row>
    <row r="3014">
      <c r="A3014" t="str">
        <f>IFERROR(__xludf.DUMMYFUNCTION("""COMPUTED_VALUE"""),"#N/A")</f>
        <v>#N/A</v>
      </c>
      <c r="B3014" s="451" t="str">
        <f>IFERROR(__xludf.DUMMYFUNCTION("""COMPUTED_VALUE"""),"#N/A")</f>
        <v>#N/A</v>
      </c>
    </row>
    <row r="3015">
      <c r="A3015" t="str">
        <f>IFERROR(__xludf.DUMMYFUNCTION("""COMPUTED_VALUE"""),"#N/A")</f>
        <v>#N/A</v>
      </c>
      <c r="B3015" s="451" t="str">
        <f>IFERROR(__xludf.DUMMYFUNCTION("""COMPUTED_VALUE"""),"#N/A")</f>
        <v>#N/A</v>
      </c>
    </row>
    <row r="3016">
      <c r="A3016" t="str">
        <f>IFERROR(__xludf.DUMMYFUNCTION("""COMPUTED_VALUE"""),"#N/A")</f>
        <v>#N/A</v>
      </c>
      <c r="B3016" s="451" t="str">
        <f>IFERROR(__xludf.DUMMYFUNCTION("""COMPUTED_VALUE"""),"#N/A")</f>
        <v>#N/A</v>
      </c>
    </row>
    <row r="3017">
      <c r="A3017" t="str">
        <f>IFERROR(__xludf.DUMMYFUNCTION("""COMPUTED_VALUE"""),"#N/A")</f>
        <v>#N/A</v>
      </c>
      <c r="B3017" s="451" t="str">
        <f>IFERROR(__xludf.DUMMYFUNCTION("""COMPUTED_VALUE"""),"#N/A")</f>
        <v>#N/A</v>
      </c>
    </row>
    <row r="3018">
      <c r="A3018" t="str">
        <f>IFERROR(__xludf.DUMMYFUNCTION("""COMPUTED_VALUE"""),"#N/A")</f>
        <v>#N/A</v>
      </c>
      <c r="B3018" s="451" t="str">
        <f>IFERROR(__xludf.DUMMYFUNCTION("""COMPUTED_VALUE"""),"#N/A")</f>
        <v>#N/A</v>
      </c>
    </row>
    <row r="3019">
      <c r="A3019" t="str">
        <f>IFERROR(__xludf.DUMMYFUNCTION("""COMPUTED_VALUE"""),"#N/A")</f>
        <v>#N/A</v>
      </c>
      <c r="B3019" s="451" t="str">
        <f>IFERROR(__xludf.DUMMYFUNCTION("""COMPUTED_VALUE"""),"#N/A")</f>
        <v>#N/A</v>
      </c>
    </row>
    <row r="3020">
      <c r="A3020" t="str">
        <f>IFERROR(__xludf.DUMMYFUNCTION("""COMPUTED_VALUE"""),"#N/A")</f>
        <v>#N/A</v>
      </c>
      <c r="B3020" s="451" t="str">
        <f>IFERROR(__xludf.DUMMYFUNCTION("""COMPUTED_VALUE"""),"#N/A")</f>
        <v>#N/A</v>
      </c>
    </row>
    <row r="3021">
      <c r="A3021" t="str">
        <f>IFERROR(__xludf.DUMMYFUNCTION("""COMPUTED_VALUE"""),"#N/A")</f>
        <v>#N/A</v>
      </c>
      <c r="B3021" s="451" t="str">
        <f>IFERROR(__xludf.DUMMYFUNCTION("""COMPUTED_VALUE"""),"#N/A")</f>
        <v>#N/A</v>
      </c>
    </row>
    <row r="3022">
      <c r="A3022" t="str">
        <f>IFERROR(__xludf.DUMMYFUNCTION("""COMPUTED_VALUE"""),"#N/A")</f>
        <v>#N/A</v>
      </c>
      <c r="B3022" s="451" t="str">
        <f>IFERROR(__xludf.DUMMYFUNCTION("""COMPUTED_VALUE"""),"#N/A")</f>
        <v>#N/A</v>
      </c>
    </row>
    <row r="3023">
      <c r="A3023" t="str">
        <f>IFERROR(__xludf.DUMMYFUNCTION("""COMPUTED_VALUE"""),"#N/A")</f>
        <v>#N/A</v>
      </c>
      <c r="B3023" s="451" t="str">
        <f>IFERROR(__xludf.DUMMYFUNCTION("""COMPUTED_VALUE"""),"#N/A")</f>
        <v>#N/A</v>
      </c>
    </row>
    <row r="3024">
      <c r="A3024" t="str">
        <f>IFERROR(__xludf.DUMMYFUNCTION("""COMPUTED_VALUE"""),"#N/A")</f>
        <v>#N/A</v>
      </c>
      <c r="B3024" s="451" t="str">
        <f>IFERROR(__xludf.DUMMYFUNCTION("""COMPUTED_VALUE"""),"#N/A")</f>
        <v>#N/A</v>
      </c>
    </row>
    <row r="3025">
      <c r="A3025" t="str">
        <f>IFERROR(__xludf.DUMMYFUNCTION("""COMPUTED_VALUE"""),"#N/A")</f>
        <v>#N/A</v>
      </c>
      <c r="B3025" s="451" t="str">
        <f>IFERROR(__xludf.DUMMYFUNCTION("""COMPUTED_VALUE"""),"#N/A")</f>
        <v>#N/A</v>
      </c>
    </row>
    <row r="3026">
      <c r="A3026" t="str">
        <f>IFERROR(__xludf.DUMMYFUNCTION("""COMPUTED_VALUE"""),"#N/A")</f>
        <v>#N/A</v>
      </c>
      <c r="B3026" s="451" t="str">
        <f>IFERROR(__xludf.DUMMYFUNCTION("""COMPUTED_VALUE"""),"#N/A")</f>
        <v>#N/A</v>
      </c>
    </row>
    <row r="3027">
      <c r="A3027" t="str">
        <f>IFERROR(__xludf.DUMMYFUNCTION("""COMPUTED_VALUE"""),"#N/A")</f>
        <v>#N/A</v>
      </c>
      <c r="B3027" s="451" t="str">
        <f>IFERROR(__xludf.DUMMYFUNCTION("""COMPUTED_VALUE"""),"#N/A")</f>
        <v>#N/A</v>
      </c>
    </row>
    <row r="3028">
      <c r="A3028" t="str">
        <f>IFERROR(__xludf.DUMMYFUNCTION("""COMPUTED_VALUE"""),"#N/A")</f>
        <v>#N/A</v>
      </c>
      <c r="B3028" s="451" t="str">
        <f>IFERROR(__xludf.DUMMYFUNCTION("""COMPUTED_VALUE"""),"#N/A")</f>
        <v>#N/A</v>
      </c>
    </row>
    <row r="3029">
      <c r="A3029" t="str">
        <f>IFERROR(__xludf.DUMMYFUNCTION("""COMPUTED_VALUE"""),"#N/A")</f>
        <v>#N/A</v>
      </c>
      <c r="B3029" s="451" t="str">
        <f>IFERROR(__xludf.DUMMYFUNCTION("""COMPUTED_VALUE"""),"#N/A")</f>
        <v>#N/A</v>
      </c>
    </row>
    <row r="3030">
      <c r="A3030" t="str">
        <f>IFERROR(__xludf.DUMMYFUNCTION("""COMPUTED_VALUE"""),"#N/A")</f>
        <v>#N/A</v>
      </c>
      <c r="B3030" s="451" t="str">
        <f>IFERROR(__xludf.DUMMYFUNCTION("""COMPUTED_VALUE"""),"#N/A")</f>
        <v>#N/A</v>
      </c>
    </row>
    <row r="3031">
      <c r="A3031" t="str">
        <f>IFERROR(__xludf.DUMMYFUNCTION("""COMPUTED_VALUE"""),"#N/A")</f>
        <v>#N/A</v>
      </c>
      <c r="B3031" s="451" t="str">
        <f>IFERROR(__xludf.DUMMYFUNCTION("""COMPUTED_VALUE"""),"#N/A")</f>
        <v>#N/A</v>
      </c>
    </row>
    <row r="3032">
      <c r="A3032" t="str">
        <f>IFERROR(__xludf.DUMMYFUNCTION("""COMPUTED_VALUE"""),"#N/A")</f>
        <v>#N/A</v>
      </c>
      <c r="B3032" s="451" t="str">
        <f>IFERROR(__xludf.DUMMYFUNCTION("""COMPUTED_VALUE"""),"#N/A")</f>
        <v>#N/A</v>
      </c>
    </row>
    <row r="3033">
      <c r="A3033" t="str">
        <f>IFERROR(__xludf.DUMMYFUNCTION("""COMPUTED_VALUE"""),"#N/A")</f>
        <v>#N/A</v>
      </c>
      <c r="B3033" s="451" t="str">
        <f>IFERROR(__xludf.DUMMYFUNCTION("""COMPUTED_VALUE"""),"#N/A")</f>
        <v>#N/A</v>
      </c>
    </row>
    <row r="3034">
      <c r="A3034" t="str">
        <f>IFERROR(__xludf.DUMMYFUNCTION("""COMPUTED_VALUE"""),"#N/A")</f>
        <v>#N/A</v>
      </c>
      <c r="B3034" s="451" t="str">
        <f>IFERROR(__xludf.DUMMYFUNCTION("""COMPUTED_VALUE"""),"#N/A")</f>
        <v>#N/A</v>
      </c>
    </row>
    <row r="3035">
      <c r="A3035" t="str">
        <f>IFERROR(__xludf.DUMMYFUNCTION("""COMPUTED_VALUE"""),"#N/A")</f>
        <v>#N/A</v>
      </c>
      <c r="B3035" s="451" t="str">
        <f>IFERROR(__xludf.DUMMYFUNCTION("""COMPUTED_VALUE"""),"#N/A")</f>
        <v>#N/A</v>
      </c>
    </row>
    <row r="3036">
      <c r="A3036" t="str">
        <f>IFERROR(__xludf.DUMMYFUNCTION("""COMPUTED_VALUE"""),"#N/A")</f>
        <v>#N/A</v>
      </c>
      <c r="B3036" s="451" t="str">
        <f>IFERROR(__xludf.DUMMYFUNCTION("""COMPUTED_VALUE"""),"#N/A")</f>
        <v>#N/A</v>
      </c>
    </row>
    <row r="3037">
      <c r="A3037" t="str">
        <f>IFERROR(__xludf.DUMMYFUNCTION("""COMPUTED_VALUE"""),"#N/A")</f>
        <v>#N/A</v>
      </c>
      <c r="B3037" s="451" t="str">
        <f>IFERROR(__xludf.DUMMYFUNCTION("""COMPUTED_VALUE"""),"#N/A")</f>
        <v>#N/A</v>
      </c>
    </row>
    <row r="3038">
      <c r="A3038" t="str">
        <f>IFERROR(__xludf.DUMMYFUNCTION("""COMPUTED_VALUE"""),"#N/A")</f>
        <v>#N/A</v>
      </c>
      <c r="B3038" s="451" t="str">
        <f>IFERROR(__xludf.DUMMYFUNCTION("""COMPUTED_VALUE"""),"#N/A")</f>
        <v>#N/A</v>
      </c>
    </row>
    <row r="3039">
      <c r="A3039" t="str">
        <f>IFERROR(__xludf.DUMMYFUNCTION("""COMPUTED_VALUE"""),"#N/A")</f>
        <v>#N/A</v>
      </c>
      <c r="B3039" s="451" t="str">
        <f>IFERROR(__xludf.DUMMYFUNCTION("""COMPUTED_VALUE"""),"#N/A")</f>
        <v>#N/A</v>
      </c>
    </row>
    <row r="3040">
      <c r="A3040" t="str">
        <f>IFERROR(__xludf.DUMMYFUNCTION("""COMPUTED_VALUE"""),"#N/A")</f>
        <v>#N/A</v>
      </c>
      <c r="B3040" s="451" t="str">
        <f>IFERROR(__xludf.DUMMYFUNCTION("""COMPUTED_VALUE"""),"#N/A")</f>
        <v>#N/A</v>
      </c>
    </row>
    <row r="3041">
      <c r="A3041" t="str">
        <f>IFERROR(__xludf.DUMMYFUNCTION("""COMPUTED_VALUE"""),"#N/A")</f>
        <v>#N/A</v>
      </c>
      <c r="B3041" s="451" t="str">
        <f>IFERROR(__xludf.DUMMYFUNCTION("""COMPUTED_VALUE"""),"#N/A")</f>
        <v>#N/A</v>
      </c>
    </row>
    <row r="3042">
      <c r="A3042" t="str">
        <f>IFERROR(__xludf.DUMMYFUNCTION("""COMPUTED_VALUE"""),"#N/A")</f>
        <v>#N/A</v>
      </c>
      <c r="B3042" s="451" t="str">
        <f>IFERROR(__xludf.DUMMYFUNCTION("""COMPUTED_VALUE"""),"#N/A")</f>
        <v>#N/A</v>
      </c>
    </row>
    <row r="3043">
      <c r="A3043" t="str">
        <f>IFERROR(__xludf.DUMMYFUNCTION("""COMPUTED_VALUE"""),"#N/A")</f>
        <v>#N/A</v>
      </c>
      <c r="B3043" s="451" t="str">
        <f>IFERROR(__xludf.DUMMYFUNCTION("""COMPUTED_VALUE"""),"#N/A")</f>
        <v>#N/A</v>
      </c>
    </row>
    <row r="3044">
      <c r="A3044" t="str">
        <f>IFERROR(__xludf.DUMMYFUNCTION("""COMPUTED_VALUE"""),"#N/A")</f>
        <v>#N/A</v>
      </c>
      <c r="B3044" s="451" t="str">
        <f>IFERROR(__xludf.DUMMYFUNCTION("""COMPUTED_VALUE"""),"#N/A")</f>
        <v>#N/A</v>
      </c>
    </row>
    <row r="3045">
      <c r="A3045" t="str">
        <f>IFERROR(__xludf.DUMMYFUNCTION("""COMPUTED_VALUE"""),"#N/A")</f>
        <v>#N/A</v>
      </c>
      <c r="B3045" s="451" t="str">
        <f>IFERROR(__xludf.DUMMYFUNCTION("""COMPUTED_VALUE"""),"#N/A")</f>
        <v>#N/A</v>
      </c>
    </row>
    <row r="3046">
      <c r="A3046" t="str">
        <f>IFERROR(__xludf.DUMMYFUNCTION("""COMPUTED_VALUE"""),"#N/A")</f>
        <v>#N/A</v>
      </c>
      <c r="B3046" s="451" t="str">
        <f>IFERROR(__xludf.DUMMYFUNCTION("""COMPUTED_VALUE"""),"#N/A")</f>
        <v>#N/A</v>
      </c>
    </row>
    <row r="3047">
      <c r="A3047" t="str">
        <f>IFERROR(__xludf.DUMMYFUNCTION("""COMPUTED_VALUE"""),"#N/A")</f>
        <v>#N/A</v>
      </c>
      <c r="B3047" s="451" t="str">
        <f>IFERROR(__xludf.DUMMYFUNCTION("""COMPUTED_VALUE"""),"#N/A")</f>
        <v>#N/A</v>
      </c>
    </row>
    <row r="3048">
      <c r="A3048" t="str">
        <f>IFERROR(__xludf.DUMMYFUNCTION("""COMPUTED_VALUE"""),"#N/A")</f>
        <v>#N/A</v>
      </c>
      <c r="B3048" s="451" t="str">
        <f>IFERROR(__xludf.DUMMYFUNCTION("""COMPUTED_VALUE"""),"#N/A")</f>
        <v>#N/A</v>
      </c>
    </row>
    <row r="3049">
      <c r="A3049" t="str">
        <f>IFERROR(__xludf.DUMMYFUNCTION("""COMPUTED_VALUE"""),"#N/A")</f>
        <v>#N/A</v>
      </c>
      <c r="B3049" s="451" t="str">
        <f>IFERROR(__xludf.DUMMYFUNCTION("""COMPUTED_VALUE"""),"#N/A")</f>
        <v>#N/A</v>
      </c>
    </row>
    <row r="3050">
      <c r="A3050" t="str">
        <f>IFERROR(__xludf.DUMMYFUNCTION("""COMPUTED_VALUE"""),"#N/A")</f>
        <v>#N/A</v>
      </c>
      <c r="B3050" s="451" t="str">
        <f>IFERROR(__xludf.DUMMYFUNCTION("""COMPUTED_VALUE"""),"#N/A")</f>
        <v>#N/A</v>
      </c>
    </row>
    <row r="3051">
      <c r="A3051" t="str">
        <f>IFERROR(__xludf.DUMMYFUNCTION("""COMPUTED_VALUE"""),"#N/A")</f>
        <v>#N/A</v>
      </c>
      <c r="B3051" s="451" t="str">
        <f>IFERROR(__xludf.DUMMYFUNCTION("""COMPUTED_VALUE"""),"#N/A")</f>
        <v>#N/A</v>
      </c>
    </row>
    <row r="3052">
      <c r="A3052" t="str">
        <f>IFERROR(__xludf.DUMMYFUNCTION("""COMPUTED_VALUE"""),"#N/A")</f>
        <v>#N/A</v>
      </c>
      <c r="B3052" s="451" t="str">
        <f>IFERROR(__xludf.DUMMYFUNCTION("""COMPUTED_VALUE"""),"#N/A")</f>
        <v>#N/A</v>
      </c>
    </row>
    <row r="3053">
      <c r="A3053" t="str">
        <f>IFERROR(__xludf.DUMMYFUNCTION("""COMPUTED_VALUE"""),"#N/A")</f>
        <v>#N/A</v>
      </c>
      <c r="B3053" s="451" t="str">
        <f>IFERROR(__xludf.DUMMYFUNCTION("""COMPUTED_VALUE"""),"#N/A")</f>
        <v>#N/A</v>
      </c>
    </row>
    <row r="3054">
      <c r="A3054" t="str">
        <f>IFERROR(__xludf.DUMMYFUNCTION("""COMPUTED_VALUE"""),"#N/A")</f>
        <v>#N/A</v>
      </c>
      <c r="B3054" s="451" t="str">
        <f>IFERROR(__xludf.DUMMYFUNCTION("""COMPUTED_VALUE"""),"#N/A")</f>
        <v>#N/A</v>
      </c>
    </row>
    <row r="3055">
      <c r="A3055" t="str">
        <f>IFERROR(__xludf.DUMMYFUNCTION("""COMPUTED_VALUE"""),"#N/A")</f>
        <v>#N/A</v>
      </c>
      <c r="B3055" s="451" t="str">
        <f>IFERROR(__xludf.DUMMYFUNCTION("""COMPUTED_VALUE"""),"#N/A")</f>
        <v>#N/A</v>
      </c>
    </row>
    <row r="3056">
      <c r="A3056" t="str">
        <f>IFERROR(__xludf.DUMMYFUNCTION("""COMPUTED_VALUE"""),"#N/A")</f>
        <v>#N/A</v>
      </c>
      <c r="B3056" s="451" t="str">
        <f>IFERROR(__xludf.DUMMYFUNCTION("""COMPUTED_VALUE"""),"#N/A")</f>
        <v>#N/A</v>
      </c>
    </row>
    <row r="3057">
      <c r="A3057" t="str">
        <f>IFERROR(__xludf.DUMMYFUNCTION("""COMPUTED_VALUE"""),"#N/A")</f>
        <v>#N/A</v>
      </c>
      <c r="B3057" s="451" t="str">
        <f>IFERROR(__xludf.DUMMYFUNCTION("""COMPUTED_VALUE"""),"#N/A")</f>
        <v>#N/A</v>
      </c>
    </row>
    <row r="3058">
      <c r="A3058" t="str">
        <f>IFERROR(__xludf.DUMMYFUNCTION("""COMPUTED_VALUE"""),"#N/A")</f>
        <v>#N/A</v>
      </c>
      <c r="B3058" s="451" t="str">
        <f>IFERROR(__xludf.DUMMYFUNCTION("""COMPUTED_VALUE"""),"#N/A")</f>
        <v>#N/A</v>
      </c>
    </row>
    <row r="3059">
      <c r="A3059" t="str">
        <f>IFERROR(__xludf.DUMMYFUNCTION("""COMPUTED_VALUE"""),"#N/A")</f>
        <v>#N/A</v>
      </c>
      <c r="B3059" s="451" t="str">
        <f>IFERROR(__xludf.DUMMYFUNCTION("""COMPUTED_VALUE"""),"#N/A")</f>
        <v>#N/A</v>
      </c>
    </row>
    <row r="3060">
      <c r="A3060" t="str">
        <f>IFERROR(__xludf.DUMMYFUNCTION("""COMPUTED_VALUE"""),"#N/A")</f>
        <v>#N/A</v>
      </c>
      <c r="B3060" s="451" t="str">
        <f>IFERROR(__xludf.DUMMYFUNCTION("""COMPUTED_VALUE"""),"#N/A")</f>
        <v>#N/A</v>
      </c>
    </row>
    <row r="3061">
      <c r="A3061" t="str">
        <f>IFERROR(__xludf.DUMMYFUNCTION("""COMPUTED_VALUE"""),"#N/A")</f>
        <v>#N/A</v>
      </c>
      <c r="B3061" s="451" t="str">
        <f>IFERROR(__xludf.DUMMYFUNCTION("""COMPUTED_VALUE"""),"#N/A")</f>
        <v>#N/A</v>
      </c>
    </row>
    <row r="3062">
      <c r="A3062" t="str">
        <f>IFERROR(__xludf.DUMMYFUNCTION("""COMPUTED_VALUE"""),"#N/A")</f>
        <v>#N/A</v>
      </c>
      <c r="B3062" s="451" t="str">
        <f>IFERROR(__xludf.DUMMYFUNCTION("""COMPUTED_VALUE"""),"#N/A")</f>
        <v>#N/A</v>
      </c>
    </row>
    <row r="3063">
      <c r="A3063" t="str">
        <f>IFERROR(__xludf.DUMMYFUNCTION("""COMPUTED_VALUE"""),"#N/A")</f>
        <v>#N/A</v>
      </c>
      <c r="B3063" s="451" t="str">
        <f>IFERROR(__xludf.DUMMYFUNCTION("""COMPUTED_VALUE"""),"#N/A")</f>
        <v>#N/A</v>
      </c>
    </row>
    <row r="3064">
      <c r="A3064" t="str">
        <f>IFERROR(__xludf.DUMMYFUNCTION("""COMPUTED_VALUE"""),"#N/A")</f>
        <v>#N/A</v>
      </c>
      <c r="B3064" s="451" t="str">
        <f>IFERROR(__xludf.DUMMYFUNCTION("""COMPUTED_VALUE"""),"#N/A")</f>
        <v>#N/A</v>
      </c>
    </row>
    <row r="3065">
      <c r="A3065" t="str">
        <f>IFERROR(__xludf.DUMMYFUNCTION("""COMPUTED_VALUE"""),"#N/A")</f>
        <v>#N/A</v>
      </c>
      <c r="B3065" s="451" t="str">
        <f>IFERROR(__xludf.DUMMYFUNCTION("""COMPUTED_VALUE"""),"#N/A")</f>
        <v>#N/A</v>
      </c>
    </row>
    <row r="3066">
      <c r="A3066" t="str">
        <f>IFERROR(__xludf.DUMMYFUNCTION("""COMPUTED_VALUE"""),"#N/A")</f>
        <v>#N/A</v>
      </c>
      <c r="B3066" s="451" t="str">
        <f>IFERROR(__xludf.DUMMYFUNCTION("""COMPUTED_VALUE"""),"#N/A")</f>
        <v>#N/A</v>
      </c>
    </row>
    <row r="3067">
      <c r="A3067" t="str">
        <f>IFERROR(__xludf.DUMMYFUNCTION("""COMPUTED_VALUE"""),"#N/A")</f>
        <v>#N/A</v>
      </c>
      <c r="B3067" s="451" t="str">
        <f>IFERROR(__xludf.DUMMYFUNCTION("""COMPUTED_VALUE"""),"#N/A")</f>
        <v>#N/A</v>
      </c>
    </row>
    <row r="3068">
      <c r="A3068" t="str">
        <f>IFERROR(__xludf.DUMMYFUNCTION("""COMPUTED_VALUE"""),"#N/A")</f>
        <v>#N/A</v>
      </c>
      <c r="B3068" s="451" t="str">
        <f>IFERROR(__xludf.DUMMYFUNCTION("""COMPUTED_VALUE"""),"#N/A")</f>
        <v>#N/A</v>
      </c>
    </row>
    <row r="3069">
      <c r="A3069" t="str">
        <f>IFERROR(__xludf.DUMMYFUNCTION("""COMPUTED_VALUE"""),"#N/A")</f>
        <v>#N/A</v>
      </c>
      <c r="B3069" s="451" t="str">
        <f>IFERROR(__xludf.DUMMYFUNCTION("""COMPUTED_VALUE"""),"#N/A")</f>
        <v>#N/A</v>
      </c>
    </row>
    <row r="3070">
      <c r="A3070" t="str">
        <f>IFERROR(__xludf.DUMMYFUNCTION("""COMPUTED_VALUE"""),"#N/A")</f>
        <v>#N/A</v>
      </c>
      <c r="B3070" s="451" t="str">
        <f>IFERROR(__xludf.DUMMYFUNCTION("""COMPUTED_VALUE"""),"#N/A")</f>
        <v>#N/A</v>
      </c>
    </row>
    <row r="3071">
      <c r="A3071" t="str">
        <f>IFERROR(__xludf.DUMMYFUNCTION("""COMPUTED_VALUE"""),"#N/A")</f>
        <v>#N/A</v>
      </c>
      <c r="B3071" s="451" t="str">
        <f>IFERROR(__xludf.DUMMYFUNCTION("""COMPUTED_VALUE"""),"#N/A")</f>
        <v>#N/A</v>
      </c>
    </row>
    <row r="3072">
      <c r="A3072" t="str">
        <f>IFERROR(__xludf.DUMMYFUNCTION("""COMPUTED_VALUE"""),"#N/A")</f>
        <v>#N/A</v>
      </c>
      <c r="B3072" s="451" t="str">
        <f>IFERROR(__xludf.DUMMYFUNCTION("""COMPUTED_VALUE"""),"#N/A")</f>
        <v>#N/A</v>
      </c>
    </row>
    <row r="3073">
      <c r="A3073" t="str">
        <f>IFERROR(__xludf.DUMMYFUNCTION("""COMPUTED_VALUE"""),"#N/A")</f>
        <v>#N/A</v>
      </c>
      <c r="B3073" s="451" t="str">
        <f>IFERROR(__xludf.DUMMYFUNCTION("""COMPUTED_VALUE"""),"#N/A")</f>
        <v>#N/A</v>
      </c>
    </row>
    <row r="3074">
      <c r="A3074" t="str">
        <f>IFERROR(__xludf.DUMMYFUNCTION("""COMPUTED_VALUE"""),"#N/A")</f>
        <v>#N/A</v>
      </c>
      <c r="B3074" s="451" t="str">
        <f>IFERROR(__xludf.DUMMYFUNCTION("""COMPUTED_VALUE"""),"#N/A")</f>
        <v>#N/A</v>
      </c>
    </row>
    <row r="3075">
      <c r="A3075" t="str">
        <f>IFERROR(__xludf.DUMMYFUNCTION("""COMPUTED_VALUE"""),"#N/A")</f>
        <v>#N/A</v>
      </c>
      <c r="B3075" s="451" t="str">
        <f>IFERROR(__xludf.DUMMYFUNCTION("""COMPUTED_VALUE"""),"#N/A")</f>
        <v>#N/A</v>
      </c>
    </row>
    <row r="3076">
      <c r="A3076" t="str">
        <f>IFERROR(__xludf.DUMMYFUNCTION("""COMPUTED_VALUE"""),"#N/A")</f>
        <v>#N/A</v>
      </c>
      <c r="B3076" s="451" t="str">
        <f>IFERROR(__xludf.DUMMYFUNCTION("""COMPUTED_VALUE"""),"#N/A")</f>
        <v>#N/A</v>
      </c>
    </row>
    <row r="3077">
      <c r="A3077" t="str">
        <f>IFERROR(__xludf.DUMMYFUNCTION("""COMPUTED_VALUE"""),"#N/A")</f>
        <v>#N/A</v>
      </c>
      <c r="B3077" s="451" t="str">
        <f>IFERROR(__xludf.DUMMYFUNCTION("""COMPUTED_VALUE"""),"#N/A")</f>
        <v>#N/A</v>
      </c>
    </row>
    <row r="3078">
      <c r="A3078" t="str">
        <f>IFERROR(__xludf.DUMMYFUNCTION("""COMPUTED_VALUE"""),"#N/A")</f>
        <v>#N/A</v>
      </c>
      <c r="B3078" s="451" t="str">
        <f>IFERROR(__xludf.DUMMYFUNCTION("""COMPUTED_VALUE"""),"#N/A")</f>
        <v>#N/A</v>
      </c>
    </row>
    <row r="3079">
      <c r="A3079" t="str">
        <f>IFERROR(__xludf.DUMMYFUNCTION("""COMPUTED_VALUE"""),"#N/A")</f>
        <v>#N/A</v>
      </c>
      <c r="B3079" s="451" t="str">
        <f>IFERROR(__xludf.DUMMYFUNCTION("""COMPUTED_VALUE"""),"#N/A")</f>
        <v>#N/A</v>
      </c>
    </row>
    <row r="3080">
      <c r="A3080" t="str">
        <f>IFERROR(__xludf.DUMMYFUNCTION("""COMPUTED_VALUE"""),"#N/A")</f>
        <v>#N/A</v>
      </c>
      <c r="B3080" s="451" t="str">
        <f>IFERROR(__xludf.DUMMYFUNCTION("""COMPUTED_VALUE"""),"#N/A")</f>
        <v>#N/A</v>
      </c>
    </row>
    <row r="3081">
      <c r="A3081" t="str">
        <f>IFERROR(__xludf.DUMMYFUNCTION("""COMPUTED_VALUE"""),"#N/A")</f>
        <v>#N/A</v>
      </c>
      <c r="B3081" s="451" t="str">
        <f>IFERROR(__xludf.DUMMYFUNCTION("""COMPUTED_VALUE"""),"#N/A")</f>
        <v>#N/A</v>
      </c>
    </row>
    <row r="3082">
      <c r="A3082" t="str">
        <f>IFERROR(__xludf.DUMMYFUNCTION("""COMPUTED_VALUE"""),"#N/A")</f>
        <v>#N/A</v>
      </c>
      <c r="B3082" s="451" t="str">
        <f>IFERROR(__xludf.DUMMYFUNCTION("""COMPUTED_VALUE"""),"#N/A")</f>
        <v>#N/A</v>
      </c>
    </row>
    <row r="3083">
      <c r="A3083" t="str">
        <f>IFERROR(__xludf.DUMMYFUNCTION("""COMPUTED_VALUE"""),"#N/A")</f>
        <v>#N/A</v>
      </c>
      <c r="B3083" s="451" t="str">
        <f>IFERROR(__xludf.DUMMYFUNCTION("""COMPUTED_VALUE"""),"#N/A")</f>
        <v>#N/A</v>
      </c>
    </row>
    <row r="3084">
      <c r="A3084" t="str">
        <f>IFERROR(__xludf.DUMMYFUNCTION("""COMPUTED_VALUE"""),"#N/A")</f>
        <v>#N/A</v>
      </c>
      <c r="B3084" s="451" t="str">
        <f>IFERROR(__xludf.DUMMYFUNCTION("""COMPUTED_VALUE"""),"#N/A")</f>
        <v>#N/A</v>
      </c>
    </row>
    <row r="3085">
      <c r="A3085" t="str">
        <f>IFERROR(__xludf.DUMMYFUNCTION("""COMPUTED_VALUE"""),"#N/A")</f>
        <v>#N/A</v>
      </c>
      <c r="B3085" s="451" t="str">
        <f>IFERROR(__xludf.DUMMYFUNCTION("""COMPUTED_VALUE"""),"#N/A")</f>
        <v>#N/A</v>
      </c>
    </row>
    <row r="3086">
      <c r="A3086" t="str">
        <f>IFERROR(__xludf.DUMMYFUNCTION("""COMPUTED_VALUE"""),"#N/A")</f>
        <v>#N/A</v>
      </c>
      <c r="B3086" s="451" t="str">
        <f>IFERROR(__xludf.DUMMYFUNCTION("""COMPUTED_VALUE"""),"#N/A")</f>
        <v>#N/A</v>
      </c>
    </row>
    <row r="3087">
      <c r="A3087" t="str">
        <f>IFERROR(__xludf.DUMMYFUNCTION("""COMPUTED_VALUE"""),"#N/A")</f>
        <v>#N/A</v>
      </c>
      <c r="B3087" s="451" t="str">
        <f>IFERROR(__xludf.DUMMYFUNCTION("""COMPUTED_VALUE"""),"#N/A")</f>
        <v>#N/A</v>
      </c>
    </row>
    <row r="3088">
      <c r="A3088" t="str">
        <f>IFERROR(__xludf.DUMMYFUNCTION("""COMPUTED_VALUE"""),"#N/A")</f>
        <v>#N/A</v>
      </c>
      <c r="B3088" s="451" t="str">
        <f>IFERROR(__xludf.DUMMYFUNCTION("""COMPUTED_VALUE"""),"#N/A")</f>
        <v>#N/A</v>
      </c>
    </row>
    <row r="3089">
      <c r="A3089" t="str">
        <f>IFERROR(__xludf.DUMMYFUNCTION("""COMPUTED_VALUE"""),"#N/A")</f>
        <v>#N/A</v>
      </c>
      <c r="B3089" s="451" t="str">
        <f>IFERROR(__xludf.DUMMYFUNCTION("""COMPUTED_VALUE"""),"#N/A")</f>
        <v>#N/A</v>
      </c>
    </row>
    <row r="3090">
      <c r="A3090" t="str">
        <f>IFERROR(__xludf.DUMMYFUNCTION("""COMPUTED_VALUE"""),"#N/A")</f>
        <v>#N/A</v>
      </c>
      <c r="B3090" s="451" t="str">
        <f>IFERROR(__xludf.DUMMYFUNCTION("""COMPUTED_VALUE"""),"#N/A")</f>
        <v>#N/A</v>
      </c>
    </row>
    <row r="3091">
      <c r="A3091" t="str">
        <f>IFERROR(__xludf.DUMMYFUNCTION("""COMPUTED_VALUE"""),"#N/A")</f>
        <v>#N/A</v>
      </c>
      <c r="B3091" s="451" t="str">
        <f>IFERROR(__xludf.DUMMYFUNCTION("""COMPUTED_VALUE"""),"#N/A")</f>
        <v>#N/A</v>
      </c>
    </row>
    <row r="3092">
      <c r="A3092" t="str">
        <f>IFERROR(__xludf.DUMMYFUNCTION("""COMPUTED_VALUE"""),"#N/A")</f>
        <v>#N/A</v>
      </c>
      <c r="B3092" s="451" t="str">
        <f>IFERROR(__xludf.DUMMYFUNCTION("""COMPUTED_VALUE"""),"#N/A")</f>
        <v>#N/A</v>
      </c>
    </row>
    <row r="3093">
      <c r="A3093" t="str">
        <f>IFERROR(__xludf.DUMMYFUNCTION("""COMPUTED_VALUE"""),"#N/A")</f>
        <v>#N/A</v>
      </c>
      <c r="B3093" s="451" t="str">
        <f>IFERROR(__xludf.DUMMYFUNCTION("""COMPUTED_VALUE"""),"#N/A")</f>
        <v>#N/A</v>
      </c>
    </row>
    <row r="3094">
      <c r="A3094" t="str">
        <f>IFERROR(__xludf.DUMMYFUNCTION("""COMPUTED_VALUE"""),"#N/A")</f>
        <v>#N/A</v>
      </c>
      <c r="B3094" s="451" t="str">
        <f>IFERROR(__xludf.DUMMYFUNCTION("""COMPUTED_VALUE"""),"#N/A")</f>
        <v>#N/A</v>
      </c>
    </row>
    <row r="3095">
      <c r="A3095" t="str">
        <f>IFERROR(__xludf.DUMMYFUNCTION("""COMPUTED_VALUE"""),"#N/A")</f>
        <v>#N/A</v>
      </c>
      <c r="B3095" s="451" t="str">
        <f>IFERROR(__xludf.DUMMYFUNCTION("""COMPUTED_VALUE"""),"#N/A")</f>
        <v>#N/A</v>
      </c>
    </row>
    <row r="3096">
      <c r="A3096" t="str">
        <f>IFERROR(__xludf.DUMMYFUNCTION("""COMPUTED_VALUE"""),"#N/A")</f>
        <v>#N/A</v>
      </c>
      <c r="B3096" s="451" t="str">
        <f>IFERROR(__xludf.DUMMYFUNCTION("""COMPUTED_VALUE"""),"#N/A")</f>
        <v>#N/A</v>
      </c>
    </row>
    <row r="3097">
      <c r="A3097" t="str">
        <f>IFERROR(__xludf.DUMMYFUNCTION("""COMPUTED_VALUE"""),"#N/A")</f>
        <v>#N/A</v>
      </c>
      <c r="B3097" s="451" t="str">
        <f>IFERROR(__xludf.DUMMYFUNCTION("""COMPUTED_VALUE"""),"#N/A")</f>
        <v>#N/A</v>
      </c>
    </row>
    <row r="3098">
      <c r="A3098" t="str">
        <f>IFERROR(__xludf.DUMMYFUNCTION("""COMPUTED_VALUE"""),"#N/A")</f>
        <v>#N/A</v>
      </c>
      <c r="B3098" s="451" t="str">
        <f>IFERROR(__xludf.DUMMYFUNCTION("""COMPUTED_VALUE"""),"#N/A")</f>
        <v>#N/A</v>
      </c>
    </row>
    <row r="3099">
      <c r="A3099" t="str">
        <f>IFERROR(__xludf.DUMMYFUNCTION("""COMPUTED_VALUE"""),"#N/A")</f>
        <v>#N/A</v>
      </c>
      <c r="B3099" s="451" t="str">
        <f>IFERROR(__xludf.DUMMYFUNCTION("""COMPUTED_VALUE"""),"#N/A")</f>
        <v>#N/A</v>
      </c>
    </row>
    <row r="3100">
      <c r="A3100" t="str">
        <f>IFERROR(__xludf.DUMMYFUNCTION("""COMPUTED_VALUE"""),"#N/A")</f>
        <v>#N/A</v>
      </c>
      <c r="B3100" s="451" t="str">
        <f>IFERROR(__xludf.DUMMYFUNCTION("""COMPUTED_VALUE"""),"#N/A")</f>
        <v>#N/A</v>
      </c>
    </row>
    <row r="3101">
      <c r="A3101" t="str">
        <f>IFERROR(__xludf.DUMMYFUNCTION("""COMPUTED_VALUE"""),"#N/A")</f>
        <v>#N/A</v>
      </c>
      <c r="B3101" s="451" t="str">
        <f>IFERROR(__xludf.DUMMYFUNCTION("""COMPUTED_VALUE"""),"#N/A")</f>
        <v>#N/A</v>
      </c>
    </row>
    <row r="3102">
      <c r="A3102" t="str">
        <f>IFERROR(__xludf.DUMMYFUNCTION("""COMPUTED_VALUE"""),"#N/A")</f>
        <v>#N/A</v>
      </c>
      <c r="B3102" s="451" t="str">
        <f>IFERROR(__xludf.DUMMYFUNCTION("""COMPUTED_VALUE"""),"#N/A")</f>
        <v>#N/A</v>
      </c>
    </row>
    <row r="3103">
      <c r="A3103" t="str">
        <f>IFERROR(__xludf.DUMMYFUNCTION("""COMPUTED_VALUE"""),"#N/A")</f>
        <v>#N/A</v>
      </c>
      <c r="B3103" s="451" t="str">
        <f>IFERROR(__xludf.DUMMYFUNCTION("""COMPUTED_VALUE"""),"#N/A")</f>
        <v>#N/A</v>
      </c>
    </row>
    <row r="3104">
      <c r="A3104" t="str">
        <f>IFERROR(__xludf.DUMMYFUNCTION("""COMPUTED_VALUE"""),"#N/A")</f>
        <v>#N/A</v>
      </c>
      <c r="B3104" s="451" t="str">
        <f>IFERROR(__xludf.DUMMYFUNCTION("""COMPUTED_VALUE"""),"#N/A")</f>
        <v>#N/A</v>
      </c>
    </row>
    <row r="3105">
      <c r="A3105" t="str">
        <f>IFERROR(__xludf.DUMMYFUNCTION("""COMPUTED_VALUE"""),"#N/A")</f>
        <v>#N/A</v>
      </c>
      <c r="B3105" s="451" t="str">
        <f>IFERROR(__xludf.DUMMYFUNCTION("""COMPUTED_VALUE"""),"#N/A")</f>
        <v>#N/A</v>
      </c>
    </row>
    <row r="3106">
      <c r="A3106" t="str">
        <f>IFERROR(__xludf.DUMMYFUNCTION("""COMPUTED_VALUE"""),"#N/A")</f>
        <v>#N/A</v>
      </c>
      <c r="B3106" s="451" t="str">
        <f>IFERROR(__xludf.DUMMYFUNCTION("""COMPUTED_VALUE"""),"#N/A")</f>
        <v>#N/A</v>
      </c>
    </row>
    <row r="3107">
      <c r="A3107" t="str">
        <f>IFERROR(__xludf.DUMMYFUNCTION("""COMPUTED_VALUE"""),"#N/A")</f>
        <v>#N/A</v>
      </c>
      <c r="B3107" s="451" t="str">
        <f>IFERROR(__xludf.DUMMYFUNCTION("""COMPUTED_VALUE"""),"#N/A")</f>
        <v>#N/A</v>
      </c>
    </row>
    <row r="3108">
      <c r="A3108" t="str">
        <f>IFERROR(__xludf.DUMMYFUNCTION("""COMPUTED_VALUE"""),"#N/A")</f>
        <v>#N/A</v>
      </c>
      <c r="B3108" s="451" t="str">
        <f>IFERROR(__xludf.DUMMYFUNCTION("""COMPUTED_VALUE"""),"#N/A")</f>
        <v>#N/A</v>
      </c>
    </row>
    <row r="3109">
      <c r="A3109" t="str">
        <f>IFERROR(__xludf.DUMMYFUNCTION("""COMPUTED_VALUE"""),"#N/A")</f>
        <v>#N/A</v>
      </c>
      <c r="B3109" s="451" t="str">
        <f>IFERROR(__xludf.DUMMYFUNCTION("""COMPUTED_VALUE"""),"#N/A")</f>
        <v>#N/A</v>
      </c>
    </row>
    <row r="3110">
      <c r="A3110" t="str">
        <f>IFERROR(__xludf.DUMMYFUNCTION("""COMPUTED_VALUE"""),"#N/A")</f>
        <v>#N/A</v>
      </c>
      <c r="B3110" s="451" t="str">
        <f>IFERROR(__xludf.DUMMYFUNCTION("""COMPUTED_VALUE"""),"#N/A")</f>
        <v>#N/A</v>
      </c>
    </row>
    <row r="3111">
      <c r="A3111" t="str">
        <f>IFERROR(__xludf.DUMMYFUNCTION("""COMPUTED_VALUE"""),"#N/A")</f>
        <v>#N/A</v>
      </c>
      <c r="B3111" s="451" t="str">
        <f>IFERROR(__xludf.DUMMYFUNCTION("""COMPUTED_VALUE"""),"#N/A")</f>
        <v>#N/A</v>
      </c>
    </row>
    <row r="3112">
      <c r="A3112" t="str">
        <f>IFERROR(__xludf.DUMMYFUNCTION("""COMPUTED_VALUE"""),"#N/A")</f>
        <v>#N/A</v>
      </c>
      <c r="B3112" s="451" t="str">
        <f>IFERROR(__xludf.DUMMYFUNCTION("""COMPUTED_VALUE"""),"#N/A")</f>
        <v>#N/A</v>
      </c>
    </row>
    <row r="3113">
      <c r="A3113" t="str">
        <f>IFERROR(__xludf.DUMMYFUNCTION("""COMPUTED_VALUE"""),"#N/A")</f>
        <v>#N/A</v>
      </c>
      <c r="B3113" s="451" t="str">
        <f>IFERROR(__xludf.DUMMYFUNCTION("""COMPUTED_VALUE"""),"#N/A")</f>
        <v>#N/A</v>
      </c>
    </row>
    <row r="3114">
      <c r="A3114" t="str">
        <f>IFERROR(__xludf.DUMMYFUNCTION("""COMPUTED_VALUE"""),"#N/A")</f>
        <v>#N/A</v>
      </c>
      <c r="B3114" s="451" t="str">
        <f>IFERROR(__xludf.DUMMYFUNCTION("""COMPUTED_VALUE"""),"#N/A")</f>
        <v>#N/A</v>
      </c>
    </row>
    <row r="3115">
      <c r="A3115" t="str">
        <f>IFERROR(__xludf.DUMMYFUNCTION("""COMPUTED_VALUE"""),"#N/A")</f>
        <v>#N/A</v>
      </c>
      <c r="B3115" s="451" t="str">
        <f>IFERROR(__xludf.DUMMYFUNCTION("""COMPUTED_VALUE"""),"#N/A")</f>
        <v>#N/A</v>
      </c>
    </row>
    <row r="3116">
      <c r="A3116" t="str">
        <f>IFERROR(__xludf.DUMMYFUNCTION("""COMPUTED_VALUE"""),"#N/A")</f>
        <v>#N/A</v>
      </c>
      <c r="B3116" s="451" t="str">
        <f>IFERROR(__xludf.DUMMYFUNCTION("""COMPUTED_VALUE"""),"#N/A")</f>
        <v>#N/A</v>
      </c>
    </row>
    <row r="3117">
      <c r="A3117" t="str">
        <f>IFERROR(__xludf.DUMMYFUNCTION("""COMPUTED_VALUE"""),"#N/A")</f>
        <v>#N/A</v>
      </c>
      <c r="B3117" s="451" t="str">
        <f>IFERROR(__xludf.DUMMYFUNCTION("""COMPUTED_VALUE"""),"#N/A")</f>
        <v>#N/A</v>
      </c>
    </row>
    <row r="3118">
      <c r="A3118" t="str">
        <f>IFERROR(__xludf.DUMMYFUNCTION("""COMPUTED_VALUE"""),"#N/A")</f>
        <v>#N/A</v>
      </c>
      <c r="B3118" s="451" t="str">
        <f>IFERROR(__xludf.DUMMYFUNCTION("""COMPUTED_VALUE"""),"#N/A")</f>
        <v>#N/A</v>
      </c>
    </row>
    <row r="3119">
      <c r="A3119" t="str">
        <f>IFERROR(__xludf.DUMMYFUNCTION("""COMPUTED_VALUE"""),"#N/A")</f>
        <v>#N/A</v>
      </c>
      <c r="B3119" s="451" t="str">
        <f>IFERROR(__xludf.DUMMYFUNCTION("""COMPUTED_VALUE"""),"#N/A")</f>
        <v>#N/A</v>
      </c>
    </row>
    <row r="3120">
      <c r="A3120" t="str">
        <f>IFERROR(__xludf.DUMMYFUNCTION("""COMPUTED_VALUE"""),"#N/A")</f>
        <v>#N/A</v>
      </c>
      <c r="B3120" s="451" t="str">
        <f>IFERROR(__xludf.DUMMYFUNCTION("""COMPUTED_VALUE"""),"#N/A")</f>
        <v>#N/A</v>
      </c>
    </row>
    <row r="3121">
      <c r="A3121" t="str">
        <f>IFERROR(__xludf.DUMMYFUNCTION("""COMPUTED_VALUE"""),"#N/A")</f>
        <v>#N/A</v>
      </c>
      <c r="B3121" s="451" t="str">
        <f>IFERROR(__xludf.DUMMYFUNCTION("""COMPUTED_VALUE"""),"#N/A")</f>
        <v>#N/A</v>
      </c>
    </row>
    <row r="3122">
      <c r="A3122" t="str">
        <f>IFERROR(__xludf.DUMMYFUNCTION("""COMPUTED_VALUE"""),"#N/A")</f>
        <v>#N/A</v>
      </c>
      <c r="B3122" s="451" t="str">
        <f>IFERROR(__xludf.DUMMYFUNCTION("""COMPUTED_VALUE"""),"#N/A")</f>
        <v>#N/A</v>
      </c>
    </row>
    <row r="3123">
      <c r="A3123" t="str">
        <f>IFERROR(__xludf.DUMMYFUNCTION("""COMPUTED_VALUE"""),"#N/A")</f>
        <v>#N/A</v>
      </c>
      <c r="B3123" s="451" t="str">
        <f>IFERROR(__xludf.DUMMYFUNCTION("""COMPUTED_VALUE"""),"#N/A")</f>
        <v>#N/A</v>
      </c>
    </row>
    <row r="3124">
      <c r="A3124" t="str">
        <f>IFERROR(__xludf.DUMMYFUNCTION("""COMPUTED_VALUE"""),"#N/A")</f>
        <v>#N/A</v>
      </c>
      <c r="B3124" s="451" t="str">
        <f>IFERROR(__xludf.DUMMYFUNCTION("""COMPUTED_VALUE"""),"#N/A")</f>
        <v>#N/A</v>
      </c>
    </row>
    <row r="3125">
      <c r="A3125" t="str">
        <f>IFERROR(__xludf.DUMMYFUNCTION("""COMPUTED_VALUE"""),"#N/A")</f>
        <v>#N/A</v>
      </c>
      <c r="B3125" s="451" t="str">
        <f>IFERROR(__xludf.DUMMYFUNCTION("""COMPUTED_VALUE"""),"#N/A")</f>
        <v>#N/A</v>
      </c>
    </row>
    <row r="3126">
      <c r="A3126" t="str">
        <f>IFERROR(__xludf.DUMMYFUNCTION("""COMPUTED_VALUE"""),"#N/A")</f>
        <v>#N/A</v>
      </c>
      <c r="B3126" s="451" t="str">
        <f>IFERROR(__xludf.DUMMYFUNCTION("""COMPUTED_VALUE"""),"#N/A")</f>
        <v>#N/A</v>
      </c>
    </row>
    <row r="3127">
      <c r="A3127" t="str">
        <f>IFERROR(__xludf.DUMMYFUNCTION("""COMPUTED_VALUE"""),"#N/A")</f>
        <v>#N/A</v>
      </c>
      <c r="B3127" s="451" t="str">
        <f>IFERROR(__xludf.DUMMYFUNCTION("""COMPUTED_VALUE"""),"#N/A")</f>
        <v>#N/A</v>
      </c>
    </row>
    <row r="3128">
      <c r="A3128" t="str">
        <f>IFERROR(__xludf.DUMMYFUNCTION("""COMPUTED_VALUE"""),"#N/A")</f>
        <v>#N/A</v>
      </c>
      <c r="B3128" s="451" t="str">
        <f>IFERROR(__xludf.DUMMYFUNCTION("""COMPUTED_VALUE"""),"#N/A")</f>
        <v>#N/A</v>
      </c>
    </row>
    <row r="3129">
      <c r="A3129" t="str">
        <f>IFERROR(__xludf.DUMMYFUNCTION("""COMPUTED_VALUE"""),"#N/A")</f>
        <v>#N/A</v>
      </c>
      <c r="B3129" s="451" t="str">
        <f>IFERROR(__xludf.DUMMYFUNCTION("""COMPUTED_VALUE"""),"#N/A")</f>
        <v>#N/A</v>
      </c>
    </row>
    <row r="3130">
      <c r="A3130" t="str">
        <f>IFERROR(__xludf.DUMMYFUNCTION("""COMPUTED_VALUE"""),"#N/A")</f>
        <v>#N/A</v>
      </c>
      <c r="B3130" s="451" t="str">
        <f>IFERROR(__xludf.DUMMYFUNCTION("""COMPUTED_VALUE"""),"#N/A")</f>
        <v>#N/A</v>
      </c>
    </row>
    <row r="3131">
      <c r="A3131" t="str">
        <f>IFERROR(__xludf.DUMMYFUNCTION("""COMPUTED_VALUE"""),"#N/A")</f>
        <v>#N/A</v>
      </c>
      <c r="B3131" s="451" t="str">
        <f>IFERROR(__xludf.DUMMYFUNCTION("""COMPUTED_VALUE"""),"#N/A")</f>
        <v>#N/A</v>
      </c>
    </row>
    <row r="3132">
      <c r="A3132" t="str">
        <f>IFERROR(__xludf.DUMMYFUNCTION("""COMPUTED_VALUE"""),"#N/A")</f>
        <v>#N/A</v>
      </c>
      <c r="B3132" s="451" t="str">
        <f>IFERROR(__xludf.DUMMYFUNCTION("""COMPUTED_VALUE"""),"#N/A")</f>
        <v>#N/A</v>
      </c>
    </row>
    <row r="3133">
      <c r="A3133" t="str">
        <f>IFERROR(__xludf.DUMMYFUNCTION("""COMPUTED_VALUE"""),"#N/A")</f>
        <v>#N/A</v>
      </c>
      <c r="B3133" s="451" t="str">
        <f>IFERROR(__xludf.DUMMYFUNCTION("""COMPUTED_VALUE"""),"#N/A")</f>
        <v>#N/A</v>
      </c>
    </row>
    <row r="3134">
      <c r="A3134" t="str">
        <f>IFERROR(__xludf.DUMMYFUNCTION("""COMPUTED_VALUE"""),"#N/A")</f>
        <v>#N/A</v>
      </c>
      <c r="B3134" s="451" t="str">
        <f>IFERROR(__xludf.DUMMYFUNCTION("""COMPUTED_VALUE"""),"#N/A")</f>
        <v>#N/A</v>
      </c>
    </row>
    <row r="3135">
      <c r="A3135" t="str">
        <f>IFERROR(__xludf.DUMMYFUNCTION("""COMPUTED_VALUE"""),"#N/A")</f>
        <v>#N/A</v>
      </c>
      <c r="B3135" s="451" t="str">
        <f>IFERROR(__xludf.DUMMYFUNCTION("""COMPUTED_VALUE"""),"#N/A")</f>
        <v>#N/A</v>
      </c>
    </row>
    <row r="3136">
      <c r="A3136" t="str">
        <f>IFERROR(__xludf.DUMMYFUNCTION("""COMPUTED_VALUE"""),"#N/A")</f>
        <v>#N/A</v>
      </c>
      <c r="B3136" s="451" t="str">
        <f>IFERROR(__xludf.DUMMYFUNCTION("""COMPUTED_VALUE"""),"#N/A")</f>
        <v>#N/A</v>
      </c>
    </row>
    <row r="3137">
      <c r="A3137" t="str">
        <f>IFERROR(__xludf.DUMMYFUNCTION("""COMPUTED_VALUE"""),"#N/A")</f>
        <v>#N/A</v>
      </c>
      <c r="B3137" s="451" t="str">
        <f>IFERROR(__xludf.DUMMYFUNCTION("""COMPUTED_VALUE"""),"#N/A")</f>
        <v>#N/A</v>
      </c>
    </row>
    <row r="3138">
      <c r="A3138" t="str">
        <f>IFERROR(__xludf.DUMMYFUNCTION("""COMPUTED_VALUE"""),"#N/A")</f>
        <v>#N/A</v>
      </c>
      <c r="B3138" s="451" t="str">
        <f>IFERROR(__xludf.DUMMYFUNCTION("""COMPUTED_VALUE"""),"#N/A")</f>
        <v>#N/A</v>
      </c>
    </row>
    <row r="3139">
      <c r="A3139" t="str">
        <f>IFERROR(__xludf.DUMMYFUNCTION("""COMPUTED_VALUE"""),"#N/A")</f>
        <v>#N/A</v>
      </c>
      <c r="B3139" s="451" t="str">
        <f>IFERROR(__xludf.DUMMYFUNCTION("""COMPUTED_VALUE"""),"#N/A")</f>
        <v>#N/A</v>
      </c>
    </row>
    <row r="3140">
      <c r="A3140" t="str">
        <f>IFERROR(__xludf.DUMMYFUNCTION("""COMPUTED_VALUE"""),"#N/A")</f>
        <v>#N/A</v>
      </c>
      <c r="B3140" s="451" t="str">
        <f>IFERROR(__xludf.DUMMYFUNCTION("""COMPUTED_VALUE"""),"#N/A")</f>
        <v>#N/A</v>
      </c>
    </row>
    <row r="3141">
      <c r="A3141" t="str">
        <f>IFERROR(__xludf.DUMMYFUNCTION("""COMPUTED_VALUE"""),"#N/A")</f>
        <v>#N/A</v>
      </c>
      <c r="B3141" s="451" t="str">
        <f>IFERROR(__xludf.DUMMYFUNCTION("""COMPUTED_VALUE"""),"#N/A")</f>
        <v>#N/A</v>
      </c>
    </row>
    <row r="3142">
      <c r="A3142" t="str">
        <f>IFERROR(__xludf.DUMMYFUNCTION("""COMPUTED_VALUE"""),"#N/A")</f>
        <v>#N/A</v>
      </c>
      <c r="B3142" s="451" t="str">
        <f>IFERROR(__xludf.DUMMYFUNCTION("""COMPUTED_VALUE"""),"#N/A")</f>
        <v>#N/A</v>
      </c>
    </row>
    <row r="3143">
      <c r="A3143" t="str">
        <f>IFERROR(__xludf.DUMMYFUNCTION("""COMPUTED_VALUE"""),"#N/A")</f>
        <v>#N/A</v>
      </c>
      <c r="B3143" s="451" t="str">
        <f>IFERROR(__xludf.DUMMYFUNCTION("""COMPUTED_VALUE"""),"#N/A")</f>
        <v>#N/A</v>
      </c>
    </row>
    <row r="3144">
      <c r="A3144" t="str">
        <f>IFERROR(__xludf.DUMMYFUNCTION("""COMPUTED_VALUE"""),"#N/A")</f>
        <v>#N/A</v>
      </c>
      <c r="B3144" s="451" t="str">
        <f>IFERROR(__xludf.DUMMYFUNCTION("""COMPUTED_VALUE"""),"#N/A")</f>
        <v>#N/A</v>
      </c>
    </row>
    <row r="3145">
      <c r="A3145" t="str">
        <f>IFERROR(__xludf.DUMMYFUNCTION("""COMPUTED_VALUE"""),"#N/A")</f>
        <v>#N/A</v>
      </c>
      <c r="B3145" s="451" t="str">
        <f>IFERROR(__xludf.DUMMYFUNCTION("""COMPUTED_VALUE"""),"#N/A")</f>
        <v>#N/A</v>
      </c>
    </row>
    <row r="3146">
      <c r="A3146" t="str">
        <f>IFERROR(__xludf.DUMMYFUNCTION("""COMPUTED_VALUE"""),"#N/A")</f>
        <v>#N/A</v>
      </c>
      <c r="B3146" s="451" t="str">
        <f>IFERROR(__xludf.DUMMYFUNCTION("""COMPUTED_VALUE"""),"#N/A")</f>
        <v>#N/A</v>
      </c>
    </row>
    <row r="3147">
      <c r="A3147" t="str">
        <f>IFERROR(__xludf.DUMMYFUNCTION("""COMPUTED_VALUE"""),"#N/A")</f>
        <v>#N/A</v>
      </c>
      <c r="B3147" s="451" t="str">
        <f>IFERROR(__xludf.DUMMYFUNCTION("""COMPUTED_VALUE"""),"#N/A")</f>
        <v>#N/A</v>
      </c>
    </row>
    <row r="3148">
      <c r="A3148" t="str">
        <f>IFERROR(__xludf.DUMMYFUNCTION("""COMPUTED_VALUE"""),"#N/A")</f>
        <v>#N/A</v>
      </c>
      <c r="B3148" s="451" t="str">
        <f>IFERROR(__xludf.DUMMYFUNCTION("""COMPUTED_VALUE"""),"#N/A")</f>
        <v>#N/A</v>
      </c>
    </row>
    <row r="3149">
      <c r="A3149" t="str">
        <f>IFERROR(__xludf.DUMMYFUNCTION("""COMPUTED_VALUE"""),"#N/A")</f>
        <v>#N/A</v>
      </c>
      <c r="B3149" s="451" t="str">
        <f>IFERROR(__xludf.DUMMYFUNCTION("""COMPUTED_VALUE"""),"#N/A")</f>
        <v>#N/A</v>
      </c>
    </row>
    <row r="3150">
      <c r="A3150" t="str">
        <f>IFERROR(__xludf.DUMMYFUNCTION("""COMPUTED_VALUE"""),"#N/A")</f>
        <v>#N/A</v>
      </c>
      <c r="B3150" s="451" t="str">
        <f>IFERROR(__xludf.DUMMYFUNCTION("""COMPUTED_VALUE"""),"#N/A")</f>
        <v>#N/A</v>
      </c>
    </row>
    <row r="3151">
      <c r="A3151" t="str">
        <f>IFERROR(__xludf.DUMMYFUNCTION("""COMPUTED_VALUE"""),"#N/A")</f>
        <v>#N/A</v>
      </c>
      <c r="B3151" s="451" t="str">
        <f>IFERROR(__xludf.DUMMYFUNCTION("""COMPUTED_VALUE"""),"#N/A")</f>
        <v>#N/A</v>
      </c>
    </row>
    <row r="3152">
      <c r="A3152" t="str">
        <f>IFERROR(__xludf.DUMMYFUNCTION("""COMPUTED_VALUE"""),"#N/A")</f>
        <v>#N/A</v>
      </c>
      <c r="B3152" s="451" t="str">
        <f>IFERROR(__xludf.DUMMYFUNCTION("""COMPUTED_VALUE"""),"#N/A")</f>
        <v>#N/A</v>
      </c>
    </row>
    <row r="3153">
      <c r="A3153" t="str">
        <f>IFERROR(__xludf.DUMMYFUNCTION("""COMPUTED_VALUE"""),"#N/A")</f>
        <v>#N/A</v>
      </c>
      <c r="B3153" s="451" t="str">
        <f>IFERROR(__xludf.DUMMYFUNCTION("""COMPUTED_VALUE"""),"#N/A")</f>
        <v>#N/A</v>
      </c>
    </row>
    <row r="3154">
      <c r="A3154" t="str">
        <f>IFERROR(__xludf.DUMMYFUNCTION("""COMPUTED_VALUE"""),"#N/A")</f>
        <v>#N/A</v>
      </c>
      <c r="B3154" s="451" t="str">
        <f>IFERROR(__xludf.DUMMYFUNCTION("""COMPUTED_VALUE"""),"#N/A")</f>
        <v>#N/A</v>
      </c>
    </row>
    <row r="3155">
      <c r="A3155" t="str">
        <f>IFERROR(__xludf.DUMMYFUNCTION("""COMPUTED_VALUE"""),"#N/A")</f>
        <v>#N/A</v>
      </c>
      <c r="B3155" s="451" t="str">
        <f>IFERROR(__xludf.DUMMYFUNCTION("""COMPUTED_VALUE"""),"#N/A")</f>
        <v>#N/A</v>
      </c>
    </row>
    <row r="3156">
      <c r="A3156" t="str">
        <f>IFERROR(__xludf.DUMMYFUNCTION("""COMPUTED_VALUE"""),"#N/A")</f>
        <v>#N/A</v>
      </c>
      <c r="B3156" s="451" t="str">
        <f>IFERROR(__xludf.DUMMYFUNCTION("""COMPUTED_VALUE"""),"#N/A")</f>
        <v>#N/A</v>
      </c>
    </row>
    <row r="3157">
      <c r="A3157" t="str">
        <f>IFERROR(__xludf.DUMMYFUNCTION("""COMPUTED_VALUE"""),"#N/A")</f>
        <v>#N/A</v>
      </c>
      <c r="B3157" s="451" t="str">
        <f>IFERROR(__xludf.DUMMYFUNCTION("""COMPUTED_VALUE"""),"#N/A")</f>
        <v>#N/A</v>
      </c>
    </row>
    <row r="3158">
      <c r="A3158" t="str">
        <f>IFERROR(__xludf.DUMMYFUNCTION("""COMPUTED_VALUE"""),"#N/A")</f>
        <v>#N/A</v>
      </c>
      <c r="B3158" s="451" t="str">
        <f>IFERROR(__xludf.DUMMYFUNCTION("""COMPUTED_VALUE"""),"#N/A")</f>
        <v>#N/A</v>
      </c>
    </row>
    <row r="3159">
      <c r="A3159" t="str">
        <f>IFERROR(__xludf.DUMMYFUNCTION("""COMPUTED_VALUE"""),"#N/A")</f>
        <v>#N/A</v>
      </c>
      <c r="B3159" s="451" t="str">
        <f>IFERROR(__xludf.DUMMYFUNCTION("""COMPUTED_VALUE"""),"#N/A")</f>
        <v>#N/A</v>
      </c>
    </row>
    <row r="3160">
      <c r="A3160" t="str">
        <f>IFERROR(__xludf.DUMMYFUNCTION("""COMPUTED_VALUE"""),"#N/A")</f>
        <v>#N/A</v>
      </c>
      <c r="B3160" s="451" t="str">
        <f>IFERROR(__xludf.DUMMYFUNCTION("""COMPUTED_VALUE"""),"#N/A")</f>
        <v>#N/A</v>
      </c>
    </row>
    <row r="3161">
      <c r="A3161" t="str">
        <f>IFERROR(__xludf.DUMMYFUNCTION("""COMPUTED_VALUE"""),"#N/A")</f>
        <v>#N/A</v>
      </c>
      <c r="B3161" s="451" t="str">
        <f>IFERROR(__xludf.DUMMYFUNCTION("""COMPUTED_VALUE"""),"#N/A")</f>
        <v>#N/A</v>
      </c>
    </row>
    <row r="3162">
      <c r="A3162" t="str">
        <f>IFERROR(__xludf.DUMMYFUNCTION("""COMPUTED_VALUE"""),"#N/A")</f>
        <v>#N/A</v>
      </c>
      <c r="B3162" s="451" t="str">
        <f>IFERROR(__xludf.DUMMYFUNCTION("""COMPUTED_VALUE"""),"#N/A")</f>
        <v>#N/A</v>
      </c>
    </row>
    <row r="3163">
      <c r="A3163" t="str">
        <f>IFERROR(__xludf.DUMMYFUNCTION("""COMPUTED_VALUE"""),"#N/A")</f>
        <v>#N/A</v>
      </c>
      <c r="B3163" s="451" t="str">
        <f>IFERROR(__xludf.DUMMYFUNCTION("""COMPUTED_VALUE"""),"#N/A")</f>
        <v>#N/A</v>
      </c>
    </row>
    <row r="3164">
      <c r="A3164" t="str">
        <f>IFERROR(__xludf.DUMMYFUNCTION("""COMPUTED_VALUE"""),"#N/A")</f>
        <v>#N/A</v>
      </c>
      <c r="B3164" s="451" t="str">
        <f>IFERROR(__xludf.DUMMYFUNCTION("""COMPUTED_VALUE"""),"#N/A")</f>
        <v>#N/A</v>
      </c>
    </row>
    <row r="3165">
      <c r="A3165" t="str">
        <f>IFERROR(__xludf.DUMMYFUNCTION("""COMPUTED_VALUE"""),"#N/A")</f>
        <v>#N/A</v>
      </c>
      <c r="B3165" s="451" t="str">
        <f>IFERROR(__xludf.DUMMYFUNCTION("""COMPUTED_VALUE"""),"#N/A")</f>
        <v>#N/A</v>
      </c>
    </row>
    <row r="3166">
      <c r="A3166" t="str">
        <f>IFERROR(__xludf.DUMMYFUNCTION("""COMPUTED_VALUE"""),"#N/A")</f>
        <v>#N/A</v>
      </c>
      <c r="B3166" s="451" t="str">
        <f>IFERROR(__xludf.DUMMYFUNCTION("""COMPUTED_VALUE"""),"#N/A")</f>
        <v>#N/A</v>
      </c>
    </row>
    <row r="3167">
      <c r="A3167" t="str">
        <f>IFERROR(__xludf.DUMMYFUNCTION("""COMPUTED_VALUE"""),"#N/A")</f>
        <v>#N/A</v>
      </c>
      <c r="B3167" s="451" t="str">
        <f>IFERROR(__xludf.DUMMYFUNCTION("""COMPUTED_VALUE"""),"#N/A")</f>
        <v>#N/A</v>
      </c>
    </row>
    <row r="3168">
      <c r="A3168" t="str">
        <f>IFERROR(__xludf.DUMMYFUNCTION("""COMPUTED_VALUE"""),"#N/A")</f>
        <v>#N/A</v>
      </c>
      <c r="B3168" s="451" t="str">
        <f>IFERROR(__xludf.DUMMYFUNCTION("""COMPUTED_VALUE"""),"#N/A")</f>
        <v>#N/A</v>
      </c>
    </row>
    <row r="3169">
      <c r="A3169" t="str">
        <f>IFERROR(__xludf.DUMMYFUNCTION("""COMPUTED_VALUE"""),"#N/A")</f>
        <v>#N/A</v>
      </c>
      <c r="B3169" s="451" t="str">
        <f>IFERROR(__xludf.DUMMYFUNCTION("""COMPUTED_VALUE"""),"#N/A")</f>
        <v>#N/A</v>
      </c>
    </row>
    <row r="3170">
      <c r="A3170" t="str">
        <f>IFERROR(__xludf.DUMMYFUNCTION("""COMPUTED_VALUE"""),"#N/A")</f>
        <v>#N/A</v>
      </c>
      <c r="B3170" s="451" t="str">
        <f>IFERROR(__xludf.DUMMYFUNCTION("""COMPUTED_VALUE"""),"#N/A")</f>
        <v>#N/A</v>
      </c>
    </row>
    <row r="3171">
      <c r="A3171" t="str">
        <f>IFERROR(__xludf.DUMMYFUNCTION("""COMPUTED_VALUE"""),"#N/A")</f>
        <v>#N/A</v>
      </c>
      <c r="B3171" s="451" t="str">
        <f>IFERROR(__xludf.DUMMYFUNCTION("""COMPUTED_VALUE"""),"#N/A")</f>
        <v>#N/A</v>
      </c>
    </row>
    <row r="3172">
      <c r="A3172" t="str">
        <f>IFERROR(__xludf.DUMMYFUNCTION("""COMPUTED_VALUE"""),"#N/A")</f>
        <v>#N/A</v>
      </c>
      <c r="B3172" s="451" t="str">
        <f>IFERROR(__xludf.DUMMYFUNCTION("""COMPUTED_VALUE"""),"#N/A")</f>
        <v>#N/A</v>
      </c>
    </row>
    <row r="3173">
      <c r="A3173" t="str">
        <f>IFERROR(__xludf.DUMMYFUNCTION("""COMPUTED_VALUE"""),"#N/A")</f>
        <v>#N/A</v>
      </c>
      <c r="B3173" s="451" t="str">
        <f>IFERROR(__xludf.DUMMYFUNCTION("""COMPUTED_VALUE"""),"#N/A")</f>
        <v>#N/A</v>
      </c>
    </row>
    <row r="3174">
      <c r="A3174" t="str">
        <f>IFERROR(__xludf.DUMMYFUNCTION("""COMPUTED_VALUE"""),"#N/A")</f>
        <v>#N/A</v>
      </c>
      <c r="B3174" s="451" t="str">
        <f>IFERROR(__xludf.DUMMYFUNCTION("""COMPUTED_VALUE"""),"#N/A")</f>
        <v>#N/A</v>
      </c>
    </row>
    <row r="3175">
      <c r="A3175" t="str">
        <f>IFERROR(__xludf.DUMMYFUNCTION("""COMPUTED_VALUE"""),"#N/A")</f>
        <v>#N/A</v>
      </c>
      <c r="B3175" s="451" t="str">
        <f>IFERROR(__xludf.DUMMYFUNCTION("""COMPUTED_VALUE"""),"#N/A")</f>
        <v>#N/A</v>
      </c>
    </row>
    <row r="3176">
      <c r="A3176" t="str">
        <f>IFERROR(__xludf.DUMMYFUNCTION("""COMPUTED_VALUE"""),"#N/A")</f>
        <v>#N/A</v>
      </c>
      <c r="B3176" s="451" t="str">
        <f>IFERROR(__xludf.DUMMYFUNCTION("""COMPUTED_VALUE"""),"#N/A")</f>
        <v>#N/A</v>
      </c>
    </row>
    <row r="3177">
      <c r="A3177" t="str">
        <f>IFERROR(__xludf.DUMMYFUNCTION("""COMPUTED_VALUE"""),"#N/A")</f>
        <v>#N/A</v>
      </c>
      <c r="B3177" s="451" t="str">
        <f>IFERROR(__xludf.DUMMYFUNCTION("""COMPUTED_VALUE"""),"#N/A")</f>
        <v>#N/A</v>
      </c>
    </row>
    <row r="3178">
      <c r="A3178" t="str">
        <f>IFERROR(__xludf.DUMMYFUNCTION("""COMPUTED_VALUE"""),"#N/A")</f>
        <v>#N/A</v>
      </c>
      <c r="B3178" s="451" t="str">
        <f>IFERROR(__xludf.DUMMYFUNCTION("""COMPUTED_VALUE"""),"#N/A")</f>
        <v>#N/A</v>
      </c>
    </row>
    <row r="3179">
      <c r="A3179" t="str">
        <f>IFERROR(__xludf.DUMMYFUNCTION("""COMPUTED_VALUE"""),"#N/A")</f>
        <v>#N/A</v>
      </c>
      <c r="B3179" s="451" t="str">
        <f>IFERROR(__xludf.DUMMYFUNCTION("""COMPUTED_VALUE"""),"#N/A")</f>
        <v>#N/A</v>
      </c>
    </row>
    <row r="3180">
      <c r="A3180" t="str">
        <f>IFERROR(__xludf.DUMMYFUNCTION("""COMPUTED_VALUE"""),"#N/A")</f>
        <v>#N/A</v>
      </c>
      <c r="B3180" s="451" t="str">
        <f>IFERROR(__xludf.DUMMYFUNCTION("""COMPUTED_VALUE"""),"#N/A")</f>
        <v>#N/A</v>
      </c>
    </row>
    <row r="3181">
      <c r="A3181" t="str">
        <f>IFERROR(__xludf.DUMMYFUNCTION("""COMPUTED_VALUE"""),"#N/A")</f>
        <v>#N/A</v>
      </c>
      <c r="B3181" s="451" t="str">
        <f>IFERROR(__xludf.DUMMYFUNCTION("""COMPUTED_VALUE"""),"#N/A")</f>
        <v>#N/A</v>
      </c>
    </row>
    <row r="3182">
      <c r="A3182" t="str">
        <f>IFERROR(__xludf.DUMMYFUNCTION("""COMPUTED_VALUE"""),"#N/A")</f>
        <v>#N/A</v>
      </c>
      <c r="B3182" s="451" t="str">
        <f>IFERROR(__xludf.DUMMYFUNCTION("""COMPUTED_VALUE"""),"#N/A")</f>
        <v>#N/A</v>
      </c>
    </row>
    <row r="3183">
      <c r="A3183" t="str">
        <f>IFERROR(__xludf.DUMMYFUNCTION("""COMPUTED_VALUE"""),"#N/A")</f>
        <v>#N/A</v>
      </c>
      <c r="B3183" s="451" t="str">
        <f>IFERROR(__xludf.DUMMYFUNCTION("""COMPUTED_VALUE"""),"#N/A")</f>
        <v>#N/A</v>
      </c>
    </row>
    <row r="3184">
      <c r="A3184" t="str">
        <f>IFERROR(__xludf.DUMMYFUNCTION("""COMPUTED_VALUE"""),"#N/A")</f>
        <v>#N/A</v>
      </c>
      <c r="B3184" s="451" t="str">
        <f>IFERROR(__xludf.DUMMYFUNCTION("""COMPUTED_VALUE"""),"#N/A")</f>
        <v>#N/A</v>
      </c>
    </row>
    <row r="3185">
      <c r="A3185" t="str">
        <f>IFERROR(__xludf.DUMMYFUNCTION("""COMPUTED_VALUE"""),"#N/A")</f>
        <v>#N/A</v>
      </c>
      <c r="B3185" s="451" t="str">
        <f>IFERROR(__xludf.DUMMYFUNCTION("""COMPUTED_VALUE"""),"#N/A")</f>
        <v>#N/A</v>
      </c>
    </row>
    <row r="3186">
      <c r="A3186" t="str">
        <f>IFERROR(__xludf.DUMMYFUNCTION("""COMPUTED_VALUE"""),"#N/A")</f>
        <v>#N/A</v>
      </c>
      <c r="B3186" s="451" t="str">
        <f>IFERROR(__xludf.DUMMYFUNCTION("""COMPUTED_VALUE"""),"#N/A")</f>
        <v>#N/A</v>
      </c>
    </row>
    <row r="3187">
      <c r="A3187" t="str">
        <f>IFERROR(__xludf.DUMMYFUNCTION("""COMPUTED_VALUE"""),"#N/A")</f>
        <v>#N/A</v>
      </c>
      <c r="B3187" s="451" t="str">
        <f>IFERROR(__xludf.DUMMYFUNCTION("""COMPUTED_VALUE"""),"#N/A")</f>
        <v>#N/A</v>
      </c>
    </row>
    <row r="3188">
      <c r="A3188" t="str">
        <f>IFERROR(__xludf.DUMMYFUNCTION("""COMPUTED_VALUE"""),"#N/A")</f>
        <v>#N/A</v>
      </c>
      <c r="B3188" s="451" t="str">
        <f>IFERROR(__xludf.DUMMYFUNCTION("""COMPUTED_VALUE"""),"#N/A")</f>
        <v>#N/A</v>
      </c>
    </row>
    <row r="3189">
      <c r="A3189" t="str">
        <f>IFERROR(__xludf.DUMMYFUNCTION("""COMPUTED_VALUE"""),"#N/A")</f>
        <v>#N/A</v>
      </c>
      <c r="B3189" s="451" t="str">
        <f>IFERROR(__xludf.DUMMYFUNCTION("""COMPUTED_VALUE"""),"#N/A")</f>
        <v>#N/A</v>
      </c>
    </row>
    <row r="3190">
      <c r="A3190" t="str">
        <f>IFERROR(__xludf.DUMMYFUNCTION("""COMPUTED_VALUE"""),"#N/A")</f>
        <v>#N/A</v>
      </c>
      <c r="B3190" s="451" t="str">
        <f>IFERROR(__xludf.DUMMYFUNCTION("""COMPUTED_VALUE"""),"#N/A")</f>
        <v>#N/A</v>
      </c>
    </row>
    <row r="3191">
      <c r="A3191" t="str">
        <f>IFERROR(__xludf.DUMMYFUNCTION("""COMPUTED_VALUE"""),"#N/A")</f>
        <v>#N/A</v>
      </c>
      <c r="B3191" s="451" t="str">
        <f>IFERROR(__xludf.DUMMYFUNCTION("""COMPUTED_VALUE"""),"#N/A")</f>
        <v>#N/A</v>
      </c>
    </row>
    <row r="3192">
      <c r="A3192" t="str">
        <f>IFERROR(__xludf.DUMMYFUNCTION("""COMPUTED_VALUE"""),"#N/A")</f>
        <v>#N/A</v>
      </c>
      <c r="B3192" s="451" t="str">
        <f>IFERROR(__xludf.DUMMYFUNCTION("""COMPUTED_VALUE"""),"#N/A")</f>
        <v>#N/A</v>
      </c>
    </row>
    <row r="3193">
      <c r="A3193" t="str">
        <f>IFERROR(__xludf.DUMMYFUNCTION("""COMPUTED_VALUE"""),"#N/A")</f>
        <v>#N/A</v>
      </c>
      <c r="B3193" s="451" t="str">
        <f>IFERROR(__xludf.DUMMYFUNCTION("""COMPUTED_VALUE"""),"#N/A")</f>
        <v>#N/A</v>
      </c>
    </row>
    <row r="3194">
      <c r="A3194" t="str">
        <f>IFERROR(__xludf.DUMMYFUNCTION("""COMPUTED_VALUE"""),"#N/A")</f>
        <v>#N/A</v>
      </c>
      <c r="B3194" s="451" t="str">
        <f>IFERROR(__xludf.DUMMYFUNCTION("""COMPUTED_VALUE"""),"#N/A")</f>
        <v>#N/A</v>
      </c>
    </row>
    <row r="3195">
      <c r="A3195" t="str">
        <f>IFERROR(__xludf.DUMMYFUNCTION("""COMPUTED_VALUE"""),"#N/A")</f>
        <v>#N/A</v>
      </c>
      <c r="B3195" s="451" t="str">
        <f>IFERROR(__xludf.DUMMYFUNCTION("""COMPUTED_VALUE"""),"#N/A")</f>
        <v>#N/A</v>
      </c>
    </row>
    <row r="3196">
      <c r="A3196" t="str">
        <f>IFERROR(__xludf.DUMMYFUNCTION("""COMPUTED_VALUE"""),"#N/A")</f>
        <v>#N/A</v>
      </c>
      <c r="B3196" s="451" t="str">
        <f>IFERROR(__xludf.DUMMYFUNCTION("""COMPUTED_VALUE"""),"#N/A")</f>
        <v>#N/A</v>
      </c>
    </row>
    <row r="3197">
      <c r="A3197" t="str">
        <f>IFERROR(__xludf.DUMMYFUNCTION("""COMPUTED_VALUE"""),"#N/A")</f>
        <v>#N/A</v>
      </c>
      <c r="B3197" s="451" t="str">
        <f>IFERROR(__xludf.DUMMYFUNCTION("""COMPUTED_VALUE"""),"#N/A")</f>
        <v>#N/A</v>
      </c>
    </row>
    <row r="3198">
      <c r="A3198" t="str">
        <f>IFERROR(__xludf.DUMMYFUNCTION("""COMPUTED_VALUE"""),"#N/A")</f>
        <v>#N/A</v>
      </c>
      <c r="B3198" s="451" t="str">
        <f>IFERROR(__xludf.DUMMYFUNCTION("""COMPUTED_VALUE"""),"#N/A")</f>
        <v>#N/A</v>
      </c>
    </row>
    <row r="3199">
      <c r="A3199" t="str">
        <f>IFERROR(__xludf.DUMMYFUNCTION("""COMPUTED_VALUE"""),"#N/A")</f>
        <v>#N/A</v>
      </c>
      <c r="B3199" s="451" t="str">
        <f>IFERROR(__xludf.DUMMYFUNCTION("""COMPUTED_VALUE"""),"#N/A")</f>
        <v>#N/A</v>
      </c>
    </row>
    <row r="3200">
      <c r="A3200" t="str">
        <f>IFERROR(__xludf.DUMMYFUNCTION("""COMPUTED_VALUE"""),"#N/A")</f>
        <v>#N/A</v>
      </c>
      <c r="B3200" s="451" t="str">
        <f>IFERROR(__xludf.DUMMYFUNCTION("""COMPUTED_VALUE"""),"#N/A")</f>
        <v>#N/A</v>
      </c>
    </row>
    <row r="3201">
      <c r="A3201" t="str">
        <f>IFERROR(__xludf.DUMMYFUNCTION("""COMPUTED_VALUE"""),"#N/A")</f>
        <v>#N/A</v>
      </c>
      <c r="B3201" s="451" t="str">
        <f>IFERROR(__xludf.DUMMYFUNCTION("""COMPUTED_VALUE"""),"#N/A")</f>
        <v>#N/A</v>
      </c>
    </row>
    <row r="3202">
      <c r="A3202" t="str">
        <f>IFERROR(__xludf.DUMMYFUNCTION("""COMPUTED_VALUE"""),"#N/A")</f>
        <v>#N/A</v>
      </c>
      <c r="B3202" s="451" t="str">
        <f>IFERROR(__xludf.DUMMYFUNCTION("""COMPUTED_VALUE"""),"#N/A")</f>
        <v>#N/A</v>
      </c>
    </row>
    <row r="3203">
      <c r="A3203" t="str">
        <f>IFERROR(__xludf.DUMMYFUNCTION("""COMPUTED_VALUE"""),"#N/A")</f>
        <v>#N/A</v>
      </c>
      <c r="B3203" s="451" t="str">
        <f>IFERROR(__xludf.DUMMYFUNCTION("""COMPUTED_VALUE"""),"#N/A")</f>
        <v>#N/A</v>
      </c>
    </row>
    <row r="3204">
      <c r="A3204" t="str">
        <f>IFERROR(__xludf.DUMMYFUNCTION("""COMPUTED_VALUE"""),"#N/A")</f>
        <v>#N/A</v>
      </c>
      <c r="B3204" s="451" t="str">
        <f>IFERROR(__xludf.DUMMYFUNCTION("""COMPUTED_VALUE"""),"#N/A")</f>
        <v>#N/A</v>
      </c>
    </row>
    <row r="3205">
      <c r="A3205" t="str">
        <f>IFERROR(__xludf.DUMMYFUNCTION("""COMPUTED_VALUE"""),"#N/A")</f>
        <v>#N/A</v>
      </c>
      <c r="B3205" s="451" t="str">
        <f>IFERROR(__xludf.DUMMYFUNCTION("""COMPUTED_VALUE"""),"#N/A")</f>
        <v>#N/A</v>
      </c>
    </row>
    <row r="3206">
      <c r="A3206" t="str">
        <f>IFERROR(__xludf.DUMMYFUNCTION("""COMPUTED_VALUE"""),"#N/A")</f>
        <v>#N/A</v>
      </c>
      <c r="B3206" s="451" t="str">
        <f>IFERROR(__xludf.DUMMYFUNCTION("""COMPUTED_VALUE"""),"#N/A")</f>
        <v>#N/A</v>
      </c>
    </row>
    <row r="3207">
      <c r="A3207" t="str">
        <f>IFERROR(__xludf.DUMMYFUNCTION("""COMPUTED_VALUE"""),"#N/A")</f>
        <v>#N/A</v>
      </c>
      <c r="B3207" s="451" t="str">
        <f>IFERROR(__xludf.DUMMYFUNCTION("""COMPUTED_VALUE"""),"#N/A")</f>
        <v>#N/A</v>
      </c>
    </row>
    <row r="3208">
      <c r="A3208" t="str">
        <f>IFERROR(__xludf.DUMMYFUNCTION("""COMPUTED_VALUE"""),"#N/A")</f>
        <v>#N/A</v>
      </c>
      <c r="B3208" s="451" t="str">
        <f>IFERROR(__xludf.DUMMYFUNCTION("""COMPUTED_VALUE"""),"#N/A")</f>
        <v>#N/A</v>
      </c>
    </row>
    <row r="3209">
      <c r="A3209" t="str">
        <f>IFERROR(__xludf.DUMMYFUNCTION("""COMPUTED_VALUE"""),"#N/A")</f>
        <v>#N/A</v>
      </c>
      <c r="B3209" s="451" t="str">
        <f>IFERROR(__xludf.DUMMYFUNCTION("""COMPUTED_VALUE"""),"#N/A")</f>
        <v>#N/A</v>
      </c>
    </row>
    <row r="3210">
      <c r="A3210" t="str">
        <f>IFERROR(__xludf.DUMMYFUNCTION("""COMPUTED_VALUE"""),"#N/A")</f>
        <v>#N/A</v>
      </c>
      <c r="B3210" s="451" t="str">
        <f>IFERROR(__xludf.DUMMYFUNCTION("""COMPUTED_VALUE"""),"#N/A")</f>
        <v>#N/A</v>
      </c>
    </row>
    <row r="3211">
      <c r="A3211" t="str">
        <f>IFERROR(__xludf.DUMMYFUNCTION("""COMPUTED_VALUE"""),"#N/A")</f>
        <v>#N/A</v>
      </c>
      <c r="B3211" s="451" t="str">
        <f>IFERROR(__xludf.DUMMYFUNCTION("""COMPUTED_VALUE"""),"#N/A")</f>
        <v>#N/A</v>
      </c>
    </row>
    <row r="3212">
      <c r="A3212" t="str">
        <f>IFERROR(__xludf.DUMMYFUNCTION("""COMPUTED_VALUE"""),"#N/A")</f>
        <v>#N/A</v>
      </c>
      <c r="B3212" s="451" t="str">
        <f>IFERROR(__xludf.DUMMYFUNCTION("""COMPUTED_VALUE"""),"#N/A")</f>
        <v>#N/A</v>
      </c>
    </row>
    <row r="3213">
      <c r="A3213" t="str">
        <f>IFERROR(__xludf.DUMMYFUNCTION("""COMPUTED_VALUE"""),"#N/A")</f>
        <v>#N/A</v>
      </c>
      <c r="B3213" s="451" t="str">
        <f>IFERROR(__xludf.DUMMYFUNCTION("""COMPUTED_VALUE"""),"#N/A")</f>
        <v>#N/A</v>
      </c>
    </row>
    <row r="3214">
      <c r="A3214" t="str">
        <f>IFERROR(__xludf.DUMMYFUNCTION("""COMPUTED_VALUE"""),"#N/A")</f>
        <v>#N/A</v>
      </c>
      <c r="B3214" s="451" t="str">
        <f>IFERROR(__xludf.DUMMYFUNCTION("""COMPUTED_VALUE"""),"#N/A")</f>
        <v>#N/A</v>
      </c>
    </row>
    <row r="3215">
      <c r="A3215" t="str">
        <f>IFERROR(__xludf.DUMMYFUNCTION("""COMPUTED_VALUE"""),"#N/A")</f>
        <v>#N/A</v>
      </c>
      <c r="B3215" s="451" t="str">
        <f>IFERROR(__xludf.DUMMYFUNCTION("""COMPUTED_VALUE"""),"#N/A")</f>
        <v>#N/A</v>
      </c>
    </row>
    <row r="3216">
      <c r="A3216" t="str">
        <f>IFERROR(__xludf.DUMMYFUNCTION("""COMPUTED_VALUE"""),"#N/A")</f>
        <v>#N/A</v>
      </c>
      <c r="B3216" s="451" t="str">
        <f>IFERROR(__xludf.DUMMYFUNCTION("""COMPUTED_VALUE"""),"#N/A")</f>
        <v>#N/A</v>
      </c>
    </row>
    <row r="3217">
      <c r="A3217" t="str">
        <f>IFERROR(__xludf.DUMMYFUNCTION("""COMPUTED_VALUE"""),"#N/A")</f>
        <v>#N/A</v>
      </c>
      <c r="B3217" s="451" t="str">
        <f>IFERROR(__xludf.DUMMYFUNCTION("""COMPUTED_VALUE"""),"#N/A")</f>
        <v>#N/A</v>
      </c>
    </row>
    <row r="3218">
      <c r="A3218" t="str">
        <f>IFERROR(__xludf.DUMMYFUNCTION("""COMPUTED_VALUE"""),"#N/A")</f>
        <v>#N/A</v>
      </c>
      <c r="B3218" s="451" t="str">
        <f>IFERROR(__xludf.DUMMYFUNCTION("""COMPUTED_VALUE"""),"#N/A")</f>
        <v>#N/A</v>
      </c>
    </row>
    <row r="3219">
      <c r="A3219" t="str">
        <f>IFERROR(__xludf.DUMMYFUNCTION("""COMPUTED_VALUE"""),"#N/A")</f>
        <v>#N/A</v>
      </c>
      <c r="B3219" s="451" t="str">
        <f>IFERROR(__xludf.DUMMYFUNCTION("""COMPUTED_VALUE"""),"#N/A")</f>
        <v>#N/A</v>
      </c>
    </row>
    <row r="3220">
      <c r="A3220" t="str">
        <f>IFERROR(__xludf.DUMMYFUNCTION("""COMPUTED_VALUE"""),"#N/A")</f>
        <v>#N/A</v>
      </c>
      <c r="B3220" s="451" t="str">
        <f>IFERROR(__xludf.DUMMYFUNCTION("""COMPUTED_VALUE"""),"#N/A")</f>
        <v>#N/A</v>
      </c>
    </row>
    <row r="3221">
      <c r="A3221" t="str">
        <f>IFERROR(__xludf.DUMMYFUNCTION("""COMPUTED_VALUE"""),"#N/A")</f>
        <v>#N/A</v>
      </c>
      <c r="B3221" s="451" t="str">
        <f>IFERROR(__xludf.DUMMYFUNCTION("""COMPUTED_VALUE"""),"#N/A")</f>
        <v>#N/A</v>
      </c>
    </row>
    <row r="3222">
      <c r="A3222" t="str">
        <f>IFERROR(__xludf.DUMMYFUNCTION("""COMPUTED_VALUE"""),"#N/A")</f>
        <v>#N/A</v>
      </c>
      <c r="B3222" s="451" t="str">
        <f>IFERROR(__xludf.DUMMYFUNCTION("""COMPUTED_VALUE"""),"#N/A")</f>
        <v>#N/A</v>
      </c>
    </row>
    <row r="3223">
      <c r="A3223" t="str">
        <f>IFERROR(__xludf.DUMMYFUNCTION("""COMPUTED_VALUE"""),"#N/A")</f>
        <v>#N/A</v>
      </c>
      <c r="B3223" s="451" t="str">
        <f>IFERROR(__xludf.DUMMYFUNCTION("""COMPUTED_VALUE"""),"#N/A")</f>
        <v>#N/A</v>
      </c>
    </row>
    <row r="3224">
      <c r="A3224" t="str">
        <f>IFERROR(__xludf.DUMMYFUNCTION("""COMPUTED_VALUE"""),"#N/A")</f>
        <v>#N/A</v>
      </c>
      <c r="B3224" s="451" t="str">
        <f>IFERROR(__xludf.DUMMYFUNCTION("""COMPUTED_VALUE"""),"#N/A")</f>
        <v>#N/A</v>
      </c>
    </row>
    <row r="3225">
      <c r="A3225" t="str">
        <f>IFERROR(__xludf.DUMMYFUNCTION("""COMPUTED_VALUE"""),"#N/A")</f>
        <v>#N/A</v>
      </c>
      <c r="B3225" s="451" t="str">
        <f>IFERROR(__xludf.DUMMYFUNCTION("""COMPUTED_VALUE"""),"#N/A")</f>
        <v>#N/A</v>
      </c>
    </row>
    <row r="3226">
      <c r="A3226" t="str">
        <f>IFERROR(__xludf.DUMMYFUNCTION("""COMPUTED_VALUE"""),"#N/A")</f>
        <v>#N/A</v>
      </c>
      <c r="B3226" s="451" t="str">
        <f>IFERROR(__xludf.DUMMYFUNCTION("""COMPUTED_VALUE"""),"#N/A")</f>
        <v>#N/A</v>
      </c>
    </row>
    <row r="3227">
      <c r="A3227" t="str">
        <f>IFERROR(__xludf.DUMMYFUNCTION("""COMPUTED_VALUE"""),"#N/A")</f>
        <v>#N/A</v>
      </c>
      <c r="B3227" s="451" t="str">
        <f>IFERROR(__xludf.DUMMYFUNCTION("""COMPUTED_VALUE"""),"#N/A")</f>
        <v>#N/A</v>
      </c>
    </row>
    <row r="3228">
      <c r="A3228" t="str">
        <f>IFERROR(__xludf.DUMMYFUNCTION("""COMPUTED_VALUE"""),"#N/A")</f>
        <v>#N/A</v>
      </c>
      <c r="B3228" s="451" t="str">
        <f>IFERROR(__xludf.DUMMYFUNCTION("""COMPUTED_VALUE"""),"#N/A")</f>
        <v>#N/A</v>
      </c>
    </row>
    <row r="3229">
      <c r="A3229" t="str">
        <f>IFERROR(__xludf.DUMMYFUNCTION("""COMPUTED_VALUE"""),"#N/A")</f>
        <v>#N/A</v>
      </c>
      <c r="B3229" s="451" t="str">
        <f>IFERROR(__xludf.DUMMYFUNCTION("""COMPUTED_VALUE"""),"#N/A")</f>
        <v>#N/A</v>
      </c>
    </row>
    <row r="3230">
      <c r="A3230" t="str">
        <f>IFERROR(__xludf.DUMMYFUNCTION("""COMPUTED_VALUE"""),"#N/A")</f>
        <v>#N/A</v>
      </c>
      <c r="B3230" s="451" t="str">
        <f>IFERROR(__xludf.DUMMYFUNCTION("""COMPUTED_VALUE"""),"#N/A")</f>
        <v>#N/A</v>
      </c>
    </row>
    <row r="3231">
      <c r="A3231" t="str">
        <f>IFERROR(__xludf.DUMMYFUNCTION("""COMPUTED_VALUE"""),"#N/A")</f>
        <v>#N/A</v>
      </c>
      <c r="B3231" s="451" t="str">
        <f>IFERROR(__xludf.DUMMYFUNCTION("""COMPUTED_VALUE"""),"#N/A")</f>
        <v>#N/A</v>
      </c>
    </row>
    <row r="3232">
      <c r="A3232" t="str">
        <f>IFERROR(__xludf.DUMMYFUNCTION("""COMPUTED_VALUE"""),"#N/A")</f>
        <v>#N/A</v>
      </c>
      <c r="B3232" s="451" t="str">
        <f>IFERROR(__xludf.DUMMYFUNCTION("""COMPUTED_VALUE"""),"#N/A")</f>
        <v>#N/A</v>
      </c>
    </row>
    <row r="3233">
      <c r="A3233" t="str">
        <f>IFERROR(__xludf.DUMMYFUNCTION("""COMPUTED_VALUE"""),"#N/A")</f>
        <v>#N/A</v>
      </c>
      <c r="B3233" s="451" t="str">
        <f>IFERROR(__xludf.DUMMYFUNCTION("""COMPUTED_VALUE"""),"#N/A")</f>
        <v>#N/A</v>
      </c>
    </row>
    <row r="3234">
      <c r="A3234" t="str">
        <f>IFERROR(__xludf.DUMMYFUNCTION("""COMPUTED_VALUE"""),"#N/A")</f>
        <v>#N/A</v>
      </c>
      <c r="B3234" s="451" t="str">
        <f>IFERROR(__xludf.DUMMYFUNCTION("""COMPUTED_VALUE"""),"#N/A")</f>
        <v>#N/A</v>
      </c>
    </row>
    <row r="3235">
      <c r="A3235" t="str">
        <f>IFERROR(__xludf.DUMMYFUNCTION("""COMPUTED_VALUE"""),"#N/A")</f>
        <v>#N/A</v>
      </c>
      <c r="B3235" s="451" t="str">
        <f>IFERROR(__xludf.DUMMYFUNCTION("""COMPUTED_VALUE"""),"#N/A")</f>
        <v>#N/A</v>
      </c>
    </row>
    <row r="3236">
      <c r="A3236" t="str">
        <f>IFERROR(__xludf.DUMMYFUNCTION("""COMPUTED_VALUE"""),"#N/A")</f>
        <v>#N/A</v>
      </c>
      <c r="B3236" s="451" t="str">
        <f>IFERROR(__xludf.DUMMYFUNCTION("""COMPUTED_VALUE"""),"#N/A")</f>
        <v>#N/A</v>
      </c>
    </row>
    <row r="3237">
      <c r="A3237" t="str">
        <f>IFERROR(__xludf.DUMMYFUNCTION("""COMPUTED_VALUE"""),"#N/A")</f>
        <v>#N/A</v>
      </c>
      <c r="B3237" s="451" t="str">
        <f>IFERROR(__xludf.DUMMYFUNCTION("""COMPUTED_VALUE"""),"#N/A")</f>
        <v>#N/A</v>
      </c>
    </row>
    <row r="3238">
      <c r="A3238" t="str">
        <f>IFERROR(__xludf.DUMMYFUNCTION("""COMPUTED_VALUE"""),"#N/A")</f>
        <v>#N/A</v>
      </c>
      <c r="B3238" s="451" t="str">
        <f>IFERROR(__xludf.DUMMYFUNCTION("""COMPUTED_VALUE"""),"#N/A")</f>
        <v>#N/A</v>
      </c>
    </row>
    <row r="3239">
      <c r="A3239" t="str">
        <f>IFERROR(__xludf.DUMMYFUNCTION("""COMPUTED_VALUE"""),"#N/A")</f>
        <v>#N/A</v>
      </c>
      <c r="B3239" s="451" t="str">
        <f>IFERROR(__xludf.DUMMYFUNCTION("""COMPUTED_VALUE"""),"#N/A")</f>
        <v>#N/A</v>
      </c>
    </row>
    <row r="3240">
      <c r="A3240" t="str">
        <f>IFERROR(__xludf.DUMMYFUNCTION("""COMPUTED_VALUE"""),"#N/A")</f>
        <v>#N/A</v>
      </c>
      <c r="B3240" s="451" t="str">
        <f>IFERROR(__xludf.DUMMYFUNCTION("""COMPUTED_VALUE"""),"#N/A")</f>
        <v>#N/A</v>
      </c>
    </row>
    <row r="3241">
      <c r="A3241" t="str">
        <f>IFERROR(__xludf.DUMMYFUNCTION("""COMPUTED_VALUE"""),"#N/A")</f>
        <v>#N/A</v>
      </c>
      <c r="B3241" s="451" t="str">
        <f>IFERROR(__xludf.DUMMYFUNCTION("""COMPUTED_VALUE"""),"#N/A")</f>
        <v>#N/A</v>
      </c>
    </row>
    <row r="3242">
      <c r="A3242" t="str">
        <f>IFERROR(__xludf.DUMMYFUNCTION("""COMPUTED_VALUE"""),"#N/A")</f>
        <v>#N/A</v>
      </c>
      <c r="B3242" s="451" t="str">
        <f>IFERROR(__xludf.DUMMYFUNCTION("""COMPUTED_VALUE"""),"#N/A")</f>
        <v>#N/A</v>
      </c>
    </row>
    <row r="3243">
      <c r="A3243" t="str">
        <f>IFERROR(__xludf.DUMMYFUNCTION("""COMPUTED_VALUE"""),"#N/A")</f>
        <v>#N/A</v>
      </c>
      <c r="B3243" s="451" t="str">
        <f>IFERROR(__xludf.DUMMYFUNCTION("""COMPUTED_VALUE"""),"#N/A")</f>
        <v>#N/A</v>
      </c>
    </row>
    <row r="3244">
      <c r="A3244" t="str">
        <f>IFERROR(__xludf.DUMMYFUNCTION("""COMPUTED_VALUE"""),"#N/A")</f>
        <v>#N/A</v>
      </c>
      <c r="B3244" s="451" t="str">
        <f>IFERROR(__xludf.DUMMYFUNCTION("""COMPUTED_VALUE"""),"#N/A")</f>
        <v>#N/A</v>
      </c>
    </row>
    <row r="3245">
      <c r="A3245" t="str">
        <f>IFERROR(__xludf.DUMMYFUNCTION("""COMPUTED_VALUE"""),"#N/A")</f>
        <v>#N/A</v>
      </c>
      <c r="B3245" s="451" t="str">
        <f>IFERROR(__xludf.DUMMYFUNCTION("""COMPUTED_VALUE"""),"#N/A")</f>
        <v>#N/A</v>
      </c>
    </row>
    <row r="3246">
      <c r="A3246" t="str">
        <f>IFERROR(__xludf.DUMMYFUNCTION("""COMPUTED_VALUE"""),"#N/A")</f>
        <v>#N/A</v>
      </c>
      <c r="B3246" s="451" t="str">
        <f>IFERROR(__xludf.DUMMYFUNCTION("""COMPUTED_VALUE"""),"#N/A")</f>
        <v>#N/A</v>
      </c>
    </row>
    <row r="3247">
      <c r="A3247" t="str">
        <f>IFERROR(__xludf.DUMMYFUNCTION("""COMPUTED_VALUE"""),"#N/A")</f>
        <v>#N/A</v>
      </c>
      <c r="B3247" s="451" t="str">
        <f>IFERROR(__xludf.DUMMYFUNCTION("""COMPUTED_VALUE"""),"#N/A")</f>
        <v>#N/A</v>
      </c>
    </row>
    <row r="3248">
      <c r="A3248" t="str">
        <f>IFERROR(__xludf.DUMMYFUNCTION("""COMPUTED_VALUE"""),"#N/A")</f>
        <v>#N/A</v>
      </c>
      <c r="B3248" s="451" t="str">
        <f>IFERROR(__xludf.DUMMYFUNCTION("""COMPUTED_VALUE"""),"#N/A")</f>
        <v>#N/A</v>
      </c>
    </row>
    <row r="3249">
      <c r="A3249" t="str">
        <f>IFERROR(__xludf.DUMMYFUNCTION("""COMPUTED_VALUE"""),"#N/A")</f>
        <v>#N/A</v>
      </c>
      <c r="B3249" s="451" t="str">
        <f>IFERROR(__xludf.DUMMYFUNCTION("""COMPUTED_VALUE"""),"#N/A")</f>
        <v>#N/A</v>
      </c>
    </row>
    <row r="3250">
      <c r="A3250" t="str">
        <f>IFERROR(__xludf.DUMMYFUNCTION("""COMPUTED_VALUE"""),"#N/A")</f>
        <v>#N/A</v>
      </c>
      <c r="B3250" s="451" t="str">
        <f>IFERROR(__xludf.DUMMYFUNCTION("""COMPUTED_VALUE"""),"#N/A")</f>
        <v>#N/A</v>
      </c>
    </row>
    <row r="3251">
      <c r="A3251" t="str">
        <f>IFERROR(__xludf.DUMMYFUNCTION("""COMPUTED_VALUE"""),"#N/A")</f>
        <v>#N/A</v>
      </c>
      <c r="B3251" s="451" t="str">
        <f>IFERROR(__xludf.DUMMYFUNCTION("""COMPUTED_VALUE"""),"#N/A")</f>
        <v>#N/A</v>
      </c>
    </row>
    <row r="3252">
      <c r="A3252" t="str">
        <f>IFERROR(__xludf.DUMMYFUNCTION("""COMPUTED_VALUE"""),"#N/A")</f>
        <v>#N/A</v>
      </c>
      <c r="B3252" s="451" t="str">
        <f>IFERROR(__xludf.DUMMYFUNCTION("""COMPUTED_VALUE"""),"#N/A")</f>
        <v>#N/A</v>
      </c>
    </row>
    <row r="3253">
      <c r="A3253" t="str">
        <f>IFERROR(__xludf.DUMMYFUNCTION("""COMPUTED_VALUE"""),"#N/A")</f>
        <v>#N/A</v>
      </c>
      <c r="B3253" s="451" t="str">
        <f>IFERROR(__xludf.DUMMYFUNCTION("""COMPUTED_VALUE"""),"#N/A")</f>
        <v>#N/A</v>
      </c>
    </row>
    <row r="3254">
      <c r="A3254" t="str">
        <f>IFERROR(__xludf.DUMMYFUNCTION("""COMPUTED_VALUE"""),"#N/A")</f>
        <v>#N/A</v>
      </c>
      <c r="B3254" s="451" t="str">
        <f>IFERROR(__xludf.DUMMYFUNCTION("""COMPUTED_VALUE"""),"#N/A")</f>
        <v>#N/A</v>
      </c>
    </row>
    <row r="3255">
      <c r="A3255" t="str">
        <f>IFERROR(__xludf.DUMMYFUNCTION("""COMPUTED_VALUE"""),"#N/A")</f>
        <v>#N/A</v>
      </c>
      <c r="B3255" s="451" t="str">
        <f>IFERROR(__xludf.DUMMYFUNCTION("""COMPUTED_VALUE"""),"#N/A")</f>
        <v>#N/A</v>
      </c>
    </row>
    <row r="3256">
      <c r="A3256" t="str">
        <f>IFERROR(__xludf.DUMMYFUNCTION("""COMPUTED_VALUE"""),"#N/A")</f>
        <v>#N/A</v>
      </c>
      <c r="B3256" s="451" t="str">
        <f>IFERROR(__xludf.DUMMYFUNCTION("""COMPUTED_VALUE"""),"#N/A")</f>
        <v>#N/A</v>
      </c>
    </row>
    <row r="3257">
      <c r="A3257" t="str">
        <f>IFERROR(__xludf.DUMMYFUNCTION("""COMPUTED_VALUE"""),"#N/A")</f>
        <v>#N/A</v>
      </c>
      <c r="B3257" s="451" t="str">
        <f>IFERROR(__xludf.DUMMYFUNCTION("""COMPUTED_VALUE"""),"#N/A")</f>
        <v>#N/A</v>
      </c>
    </row>
    <row r="3258">
      <c r="A3258" t="str">
        <f>IFERROR(__xludf.DUMMYFUNCTION("""COMPUTED_VALUE"""),"#N/A")</f>
        <v>#N/A</v>
      </c>
      <c r="B3258" s="451" t="str">
        <f>IFERROR(__xludf.DUMMYFUNCTION("""COMPUTED_VALUE"""),"#N/A")</f>
        <v>#N/A</v>
      </c>
    </row>
    <row r="3259">
      <c r="A3259" t="str">
        <f>IFERROR(__xludf.DUMMYFUNCTION("""COMPUTED_VALUE"""),"#N/A")</f>
        <v>#N/A</v>
      </c>
      <c r="B3259" s="451" t="str">
        <f>IFERROR(__xludf.DUMMYFUNCTION("""COMPUTED_VALUE"""),"#N/A")</f>
        <v>#N/A</v>
      </c>
    </row>
    <row r="3260">
      <c r="A3260" t="str">
        <f>IFERROR(__xludf.DUMMYFUNCTION("""COMPUTED_VALUE"""),"#N/A")</f>
        <v>#N/A</v>
      </c>
      <c r="B3260" s="451" t="str">
        <f>IFERROR(__xludf.DUMMYFUNCTION("""COMPUTED_VALUE"""),"#N/A")</f>
        <v>#N/A</v>
      </c>
    </row>
    <row r="3261">
      <c r="A3261" t="str">
        <f>IFERROR(__xludf.DUMMYFUNCTION("""COMPUTED_VALUE"""),"#N/A")</f>
        <v>#N/A</v>
      </c>
      <c r="B3261" s="451" t="str">
        <f>IFERROR(__xludf.DUMMYFUNCTION("""COMPUTED_VALUE"""),"#N/A")</f>
        <v>#N/A</v>
      </c>
    </row>
    <row r="3262">
      <c r="A3262" t="str">
        <f>IFERROR(__xludf.DUMMYFUNCTION("""COMPUTED_VALUE"""),"#N/A")</f>
        <v>#N/A</v>
      </c>
      <c r="B3262" s="451" t="str">
        <f>IFERROR(__xludf.DUMMYFUNCTION("""COMPUTED_VALUE"""),"#N/A")</f>
        <v>#N/A</v>
      </c>
    </row>
    <row r="3263">
      <c r="A3263" t="str">
        <f>IFERROR(__xludf.DUMMYFUNCTION("""COMPUTED_VALUE"""),"#N/A")</f>
        <v>#N/A</v>
      </c>
      <c r="B3263" s="451" t="str">
        <f>IFERROR(__xludf.DUMMYFUNCTION("""COMPUTED_VALUE"""),"#N/A")</f>
        <v>#N/A</v>
      </c>
    </row>
    <row r="3264">
      <c r="A3264" t="str">
        <f>IFERROR(__xludf.DUMMYFUNCTION("""COMPUTED_VALUE"""),"#N/A")</f>
        <v>#N/A</v>
      </c>
      <c r="B3264" s="451" t="str">
        <f>IFERROR(__xludf.DUMMYFUNCTION("""COMPUTED_VALUE"""),"#N/A")</f>
        <v>#N/A</v>
      </c>
    </row>
    <row r="3265">
      <c r="A3265" t="str">
        <f>IFERROR(__xludf.DUMMYFUNCTION("""COMPUTED_VALUE"""),"#N/A")</f>
        <v>#N/A</v>
      </c>
      <c r="B3265" s="451" t="str">
        <f>IFERROR(__xludf.DUMMYFUNCTION("""COMPUTED_VALUE"""),"#N/A")</f>
        <v>#N/A</v>
      </c>
    </row>
    <row r="3266">
      <c r="A3266" t="str">
        <f>IFERROR(__xludf.DUMMYFUNCTION("""COMPUTED_VALUE"""),"#N/A")</f>
        <v>#N/A</v>
      </c>
      <c r="B3266" s="451" t="str">
        <f>IFERROR(__xludf.DUMMYFUNCTION("""COMPUTED_VALUE"""),"#N/A")</f>
        <v>#N/A</v>
      </c>
    </row>
    <row r="3267">
      <c r="A3267" t="str">
        <f>IFERROR(__xludf.DUMMYFUNCTION("""COMPUTED_VALUE"""),"#N/A")</f>
        <v>#N/A</v>
      </c>
      <c r="B3267" s="451" t="str">
        <f>IFERROR(__xludf.DUMMYFUNCTION("""COMPUTED_VALUE"""),"#N/A")</f>
        <v>#N/A</v>
      </c>
    </row>
    <row r="3268">
      <c r="A3268" t="str">
        <f>IFERROR(__xludf.DUMMYFUNCTION("""COMPUTED_VALUE"""),"#N/A")</f>
        <v>#N/A</v>
      </c>
      <c r="B3268" s="451" t="str">
        <f>IFERROR(__xludf.DUMMYFUNCTION("""COMPUTED_VALUE"""),"#N/A")</f>
        <v>#N/A</v>
      </c>
    </row>
    <row r="3269">
      <c r="A3269" t="str">
        <f>IFERROR(__xludf.DUMMYFUNCTION("""COMPUTED_VALUE"""),"#N/A")</f>
        <v>#N/A</v>
      </c>
      <c r="B3269" s="451" t="str">
        <f>IFERROR(__xludf.DUMMYFUNCTION("""COMPUTED_VALUE"""),"#N/A")</f>
        <v>#N/A</v>
      </c>
    </row>
    <row r="3270">
      <c r="A3270" t="str">
        <f>IFERROR(__xludf.DUMMYFUNCTION("""COMPUTED_VALUE"""),"#N/A")</f>
        <v>#N/A</v>
      </c>
      <c r="B3270" s="451" t="str">
        <f>IFERROR(__xludf.DUMMYFUNCTION("""COMPUTED_VALUE"""),"#N/A")</f>
        <v>#N/A</v>
      </c>
    </row>
    <row r="3271">
      <c r="A3271" t="str">
        <f>IFERROR(__xludf.DUMMYFUNCTION("""COMPUTED_VALUE"""),"#N/A")</f>
        <v>#N/A</v>
      </c>
      <c r="B3271" s="451" t="str">
        <f>IFERROR(__xludf.DUMMYFUNCTION("""COMPUTED_VALUE"""),"#N/A")</f>
        <v>#N/A</v>
      </c>
    </row>
    <row r="3272">
      <c r="A3272" t="str">
        <f>IFERROR(__xludf.DUMMYFUNCTION("""COMPUTED_VALUE"""),"#N/A")</f>
        <v>#N/A</v>
      </c>
      <c r="B3272" s="451" t="str">
        <f>IFERROR(__xludf.DUMMYFUNCTION("""COMPUTED_VALUE"""),"#N/A")</f>
        <v>#N/A</v>
      </c>
    </row>
    <row r="3273">
      <c r="A3273" t="str">
        <f>IFERROR(__xludf.DUMMYFUNCTION("""COMPUTED_VALUE"""),"#N/A")</f>
        <v>#N/A</v>
      </c>
      <c r="B3273" s="451" t="str">
        <f>IFERROR(__xludf.DUMMYFUNCTION("""COMPUTED_VALUE"""),"#N/A")</f>
        <v>#N/A</v>
      </c>
    </row>
    <row r="3274">
      <c r="A3274" t="str">
        <f>IFERROR(__xludf.DUMMYFUNCTION("""COMPUTED_VALUE"""),"#N/A")</f>
        <v>#N/A</v>
      </c>
      <c r="B3274" s="451" t="str">
        <f>IFERROR(__xludf.DUMMYFUNCTION("""COMPUTED_VALUE"""),"#N/A")</f>
        <v>#N/A</v>
      </c>
    </row>
    <row r="3275">
      <c r="A3275" t="str">
        <f>IFERROR(__xludf.DUMMYFUNCTION("""COMPUTED_VALUE"""),"#N/A")</f>
        <v>#N/A</v>
      </c>
      <c r="B3275" s="451" t="str">
        <f>IFERROR(__xludf.DUMMYFUNCTION("""COMPUTED_VALUE"""),"#N/A")</f>
        <v>#N/A</v>
      </c>
    </row>
    <row r="3276">
      <c r="A3276" t="str">
        <f>IFERROR(__xludf.DUMMYFUNCTION("""COMPUTED_VALUE"""),"#N/A")</f>
        <v>#N/A</v>
      </c>
      <c r="B3276" s="451" t="str">
        <f>IFERROR(__xludf.DUMMYFUNCTION("""COMPUTED_VALUE"""),"#N/A")</f>
        <v>#N/A</v>
      </c>
    </row>
    <row r="3277">
      <c r="A3277" t="str">
        <f>IFERROR(__xludf.DUMMYFUNCTION("""COMPUTED_VALUE"""),"#N/A")</f>
        <v>#N/A</v>
      </c>
      <c r="B3277" s="451" t="str">
        <f>IFERROR(__xludf.DUMMYFUNCTION("""COMPUTED_VALUE"""),"#N/A")</f>
        <v>#N/A</v>
      </c>
    </row>
    <row r="3278">
      <c r="A3278" t="str">
        <f>IFERROR(__xludf.DUMMYFUNCTION("""COMPUTED_VALUE"""),"#N/A")</f>
        <v>#N/A</v>
      </c>
      <c r="B3278" s="451" t="str">
        <f>IFERROR(__xludf.DUMMYFUNCTION("""COMPUTED_VALUE"""),"#N/A")</f>
        <v>#N/A</v>
      </c>
    </row>
    <row r="3279">
      <c r="A3279" t="str">
        <f>IFERROR(__xludf.DUMMYFUNCTION("""COMPUTED_VALUE"""),"#N/A")</f>
        <v>#N/A</v>
      </c>
      <c r="B3279" s="451" t="str">
        <f>IFERROR(__xludf.DUMMYFUNCTION("""COMPUTED_VALUE"""),"#N/A")</f>
        <v>#N/A</v>
      </c>
    </row>
    <row r="3280">
      <c r="A3280" t="str">
        <f>IFERROR(__xludf.DUMMYFUNCTION("""COMPUTED_VALUE"""),"#N/A")</f>
        <v>#N/A</v>
      </c>
      <c r="B3280" s="451" t="str">
        <f>IFERROR(__xludf.DUMMYFUNCTION("""COMPUTED_VALUE"""),"#N/A")</f>
        <v>#N/A</v>
      </c>
    </row>
    <row r="3281">
      <c r="A3281" t="str">
        <f>IFERROR(__xludf.DUMMYFUNCTION("""COMPUTED_VALUE"""),"#N/A")</f>
        <v>#N/A</v>
      </c>
      <c r="B3281" s="451" t="str">
        <f>IFERROR(__xludf.DUMMYFUNCTION("""COMPUTED_VALUE"""),"#N/A")</f>
        <v>#N/A</v>
      </c>
    </row>
    <row r="3282">
      <c r="A3282" t="str">
        <f>IFERROR(__xludf.DUMMYFUNCTION("""COMPUTED_VALUE"""),"#N/A")</f>
        <v>#N/A</v>
      </c>
      <c r="B3282" s="451" t="str">
        <f>IFERROR(__xludf.DUMMYFUNCTION("""COMPUTED_VALUE"""),"#N/A")</f>
        <v>#N/A</v>
      </c>
    </row>
    <row r="3283">
      <c r="A3283" t="str">
        <f>IFERROR(__xludf.DUMMYFUNCTION("""COMPUTED_VALUE"""),"#N/A")</f>
        <v>#N/A</v>
      </c>
      <c r="B3283" s="451" t="str">
        <f>IFERROR(__xludf.DUMMYFUNCTION("""COMPUTED_VALUE"""),"#N/A")</f>
        <v>#N/A</v>
      </c>
    </row>
    <row r="3284">
      <c r="A3284" t="str">
        <f>IFERROR(__xludf.DUMMYFUNCTION("""COMPUTED_VALUE"""),"#N/A")</f>
        <v>#N/A</v>
      </c>
      <c r="B3284" s="451" t="str">
        <f>IFERROR(__xludf.DUMMYFUNCTION("""COMPUTED_VALUE"""),"#N/A")</f>
        <v>#N/A</v>
      </c>
    </row>
    <row r="3285">
      <c r="A3285" t="str">
        <f>IFERROR(__xludf.DUMMYFUNCTION("""COMPUTED_VALUE"""),"#N/A")</f>
        <v>#N/A</v>
      </c>
      <c r="B3285" s="451" t="str">
        <f>IFERROR(__xludf.DUMMYFUNCTION("""COMPUTED_VALUE"""),"#N/A")</f>
        <v>#N/A</v>
      </c>
    </row>
    <row r="3286">
      <c r="A3286" t="str">
        <f>IFERROR(__xludf.DUMMYFUNCTION("""COMPUTED_VALUE"""),"#N/A")</f>
        <v>#N/A</v>
      </c>
      <c r="B3286" s="451" t="str">
        <f>IFERROR(__xludf.DUMMYFUNCTION("""COMPUTED_VALUE"""),"#N/A")</f>
        <v>#N/A</v>
      </c>
    </row>
    <row r="3287">
      <c r="A3287" t="str">
        <f>IFERROR(__xludf.DUMMYFUNCTION("""COMPUTED_VALUE"""),"#N/A")</f>
        <v>#N/A</v>
      </c>
      <c r="B3287" s="451" t="str">
        <f>IFERROR(__xludf.DUMMYFUNCTION("""COMPUTED_VALUE"""),"#N/A")</f>
        <v>#N/A</v>
      </c>
    </row>
    <row r="3288">
      <c r="A3288" t="str">
        <f>IFERROR(__xludf.DUMMYFUNCTION("""COMPUTED_VALUE"""),"#N/A")</f>
        <v>#N/A</v>
      </c>
      <c r="B3288" s="451" t="str">
        <f>IFERROR(__xludf.DUMMYFUNCTION("""COMPUTED_VALUE"""),"#N/A")</f>
        <v>#N/A</v>
      </c>
    </row>
    <row r="3289">
      <c r="A3289" t="str">
        <f>IFERROR(__xludf.DUMMYFUNCTION("""COMPUTED_VALUE"""),"#N/A")</f>
        <v>#N/A</v>
      </c>
      <c r="B3289" s="451" t="str">
        <f>IFERROR(__xludf.DUMMYFUNCTION("""COMPUTED_VALUE"""),"#N/A")</f>
        <v>#N/A</v>
      </c>
    </row>
    <row r="3290">
      <c r="A3290" t="str">
        <f>IFERROR(__xludf.DUMMYFUNCTION("""COMPUTED_VALUE"""),"#N/A")</f>
        <v>#N/A</v>
      </c>
      <c r="B3290" s="451" t="str">
        <f>IFERROR(__xludf.DUMMYFUNCTION("""COMPUTED_VALUE"""),"#N/A")</f>
        <v>#N/A</v>
      </c>
    </row>
    <row r="3291">
      <c r="A3291" t="str">
        <f>IFERROR(__xludf.DUMMYFUNCTION("""COMPUTED_VALUE"""),"#N/A")</f>
        <v>#N/A</v>
      </c>
      <c r="B3291" s="451" t="str">
        <f>IFERROR(__xludf.DUMMYFUNCTION("""COMPUTED_VALUE"""),"#N/A")</f>
        <v>#N/A</v>
      </c>
    </row>
    <row r="3292">
      <c r="A3292" t="str">
        <f>IFERROR(__xludf.DUMMYFUNCTION("""COMPUTED_VALUE"""),"#N/A")</f>
        <v>#N/A</v>
      </c>
      <c r="B3292" s="451" t="str">
        <f>IFERROR(__xludf.DUMMYFUNCTION("""COMPUTED_VALUE"""),"#N/A")</f>
        <v>#N/A</v>
      </c>
    </row>
    <row r="3293">
      <c r="A3293" t="str">
        <f>IFERROR(__xludf.DUMMYFUNCTION("""COMPUTED_VALUE"""),"#N/A")</f>
        <v>#N/A</v>
      </c>
      <c r="B3293" s="451" t="str">
        <f>IFERROR(__xludf.DUMMYFUNCTION("""COMPUTED_VALUE"""),"#N/A")</f>
        <v>#N/A</v>
      </c>
    </row>
    <row r="3294">
      <c r="A3294" t="str">
        <f>IFERROR(__xludf.DUMMYFUNCTION("""COMPUTED_VALUE"""),"#N/A")</f>
        <v>#N/A</v>
      </c>
      <c r="B3294" s="451" t="str">
        <f>IFERROR(__xludf.DUMMYFUNCTION("""COMPUTED_VALUE"""),"#N/A")</f>
        <v>#N/A</v>
      </c>
    </row>
    <row r="3295">
      <c r="A3295" t="str">
        <f>IFERROR(__xludf.DUMMYFUNCTION("""COMPUTED_VALUE"""),"#N/A")</f>
        <v>#N/A</v>
      </c>
      <c r="B3295" s="451" t="str">
        <f>IFERROR(__xludf.DUMMYFUNCTION("""COMPUTED_VALUE"""),"#N/A")</f>
        <v>#N/A</v>
      </c>
    </row>
    <row r="3296">
      <c r="A3296" t="str">
        <f>IFERROR(__xludf.DUMMYFUNCTION("""COMPUTED_VALUE"""),"#N/A")</f>
        <v>#N/A</v>
      </c>
      <c r="B3296" s="451" t="str">
        <f>IFERROR(__xludf.DUMMYFUNCTION("""COMPUTED_VALUE"""),"#N/A")</f>
        <v>#N/A</v>
      </c>
    </row>
    <row r="3297">
      <c r="A3297" t="str">
        <f>IFERROR(__xludf.DUMMYFUNCTION("""COMPUTED_VALUE"""),"#N/A")</f>
        <v>#N/A</v>
      </c>
      <c r="B3297" s="451" t="str">
        <f>IFERROR(__xludf.DUMMYFUNCTION("""COMPUTED_VALUE"""),"#N/A")</f>
        <v>#N/A</v>
      </c>
    </row>
    <row r="3298">
      <c r="A3298" t="str">
        <f>IFERROR(__xludf.DUMMYFUNCTION("""COMPUTED_VALUE"""),"#N/A")</f>
        <v>#N/A</v>
      </c>
      <c r="B3298" s="451" t="str">
        <f>IFERROR(__xludf.DUMMYFUNCTION("""COMPUTED_VALUE"""),"#N/A")</f>
        <v>#N/A</v>
      </c>
    </row>
    <row r="3299">
      <c r="A3299" t="str">
        <f>IFERROR(__xludf.DUMMYFUNCTION("""COMPUTED_VALUE"""),"#N/A")</f>
        <v>#N/A</v>
      </c>
      <c r="B3299" s="451" t="str">
        <f>IFERROR(__xludf.DUMMYFUNCTION("""COMPUTED_VALUE"""),"#N/A")</f>
        <v>#N/A</v>
      </c>
    </row>
    <row r="3300">
      <c r="A3300" t="str">
        <f>IFERROR(__xludf.DUMMYFUNCTION("""COMPUTED_VALUE"""),"#N/A")</f>
        <v>#N/A</v>
      </c>
      <c r="B3300" s="451" t="str">
        <f>IFERROR(__xludf.DUMMYFUNCTION("""COMPUTED_VALUE"""),"#N/A")</f>
        <v>#N/A</v>
      </c>
    </row>
    <row r="3301">
      <c r="A3301" t="str">
        <f>IFERROR(__xludf.DUMMYFUNCTION("""COMPUTED_VALUE"""),"#N/A")</f>
        <v>#N/A</v>
      </c>
      <c r="B3301" s="451" t="str">
        <f>IFERROR(__xludf.DUMMYFUNCTION("""COMPUTED_VALUE"""),"#N/A")</f>
        <v>#N/A</v>
      </c>
    </row>
    <row r="3302">
      <c r="A3302" t="str">
        <f>IFERROR(__xludf.DUMMYFUNCTION("""COMPUTED_VALUE"""),"#N/A")</f>
        <v>#N/A</v>
      </c>
      <c r="B3302" s="451" t="str">
        <f>IFERROR(__xludf.DUMMYFUNCTION("""COMPUTED_VALUE"""),"#N/A")</f>
        <v>#N/A</v>
      </c>
    </row>
    <row r="3303">
      <c r="A3303" t="str">
        <f>IFERROR(__xludf.DUMMYFUNCTION("""COMPUTED_VALUE"""),"#N/A")</f>
        <v>#N/A</v>
      </c>
      <c r="B3303" s="451" t="str">
        <f>IFERROR(__xludf.DUMMYFUNCTION("""COMPUTED_VALUE"""),"#N/A")</f>
        <v>#N/A</v>
      </c>
    </row>
    <row r="3304">
      <c r="A3304" t="str">
        <f>IFERROR(__xludf.DUMMYFUNCTION("""COMPUTED_VALUE"""),"#N/A")</f>
        <v>#N/A</v>
      </c>
      <c r="B3304" s="451" t="str">
        <f>IFERROR(__xludf.DUMMYFUNCTION("""COMPUTED_VALUE"""),"#N/A")</f>
        <v>#N/A</v>
      </c>
    </row>
    <row r="3305">
      <c r="A3305" t="str">
        <f>IFERROR(__xludf.DUMMYFUNCTION("""COMPUTED_VALUE"""),"#N/A")</f>
        <v>#N/A</v>
      </c>
      <c r="B3305" s="451" t="str">
        <f>IFERROR(__xludf.DUMMYFUNCTION("""COMPUTED_VALUE"""),"#N/A")</f>
        <v>#N/A</v>
      </c>
    </row>
    <row r="3306">
      <c r="A3306" t="str">
        <f>IFERROR(__xludf.DUMMYFUNCTION("""COMPUTED_VALUE"""),"#N/A")</f>
        <v>#N/A</v>
      </c>
      <c r="B3306" s="451" t="str">
        <f>IFERROR(__xludf.DUMMYFUNCTION("""COMPUTED_VALUE"""),"#N/A")</f>
        <v>#N/A</v>
      </c>
    </row>
    <row r="3307">
      <c r="A3307" t="str">
        <f>IFERROR(__xludf.DUMMYFUNCTION("""COMPUTED_VALUE"""),"#N/A")</f>
        <v>#N/A</v>
      </c>
      <c r="B3307" s="451" t="str">
        <f>IFERROR(__xludf.DUMMYFUNCTION("""COMPUTED_VALUE"""),"#N/A")</f>
        <v>#N/A</v>
      </c>
    </row>
    <row r="3308">
      <c r="A3308" t="str">
        <f>IFERROR(__xludf.DUMMYFUNCTION("""COMPUTED_VALUE"""),"#N/A")</f>
        <v>#N/A</v>
      </c>
      <c r="B3308" s="451" t="str">
        <f>IFERROR(__xludf.DUMMYFUNCTION("""COMPUTED_VALUE"""),"#N/A")</f>
        <v>#N/A</v>
      </c>
    </row>
    <row r="3309">
      <c r="A3309" t="str">
        <f>IFERROR(__xludf.DUMMYFUNCTION("""COMPUTED_VALUE"""),"#N/A")</f>
        <v>#N/A</v>
      </c>
      <c r="B3309" s="451" t="str">
        <f>IFERROR(__xludf.DUMMYFUNCTION("""COMPUTED_VALUE"""),"#N/A")</f>
        <v>#N/A</v>
      </c>
    </row>
    <row r="3310">
      <c r="A3310" t="str">
        <f>IFERROR(__xludf.DUMMYFUNCTION("""COMPUTED_VALUE"""),"#N/A")</f>
        <v>#N/A</v>
      </c>
      <c r="B3310" s="451" t="str">
        <f>IFERROR(__xludf.DUMMYFUNCTION("""COMPUTED_VALUE"""),"#N/A")</f>
        <v>#N/A</v>
      </c>
    </row>
    <row r="3311">
      <c r="A3311" t="str">
        <f>IFERROR(__xludf.DUMMYFUNCTION("""COMPUTED_VALUE"""),"#N/A")</f>
        <v>#N/A</v>
      </c>
      <c r="B3311" s="451" t="str">
        <f>IFERROR(__xludf.DUMMYFUNCTION("""COMPUTED_VALUE"""),"#N/A")</f>
        <v>#N/A</v>
      </c>
    </row>
    <row r="3312">
      <c r="A3312" t="str">
        <f>IFERROR(__xludf.DUMMYFUNCTION("""COMPUTED_VALUE"""),"#N/A")</f>
        <v>#N/A</v>
      </c>
      <c r="B3312" s="451" t="str">
        <f>IFERROR(__xludf.DUMMYFUNCTION("""COMPUTED_VALUE"""),"#N/A")</f>
        <v>#N/A</v>
      </c>
    </row>
    <row r="3313">
      <c r="A3313" t="str">
        <f>IFERROR(__xludf.DUMMYFUNCTION("""COMPUTED_VALUE"""),"#N/A")</f>
        <v>#N/A</v>
      </c>
      <c r="B3313" s="451" t="str">
        <f>IFERROR(__xludf.DUMMYFUNCTION("""COMPUTED_VALUE"""),"#N/A")</f>
        <v>#N/A</v>
      </c>
    </row>
    <row r="3314">
      <c r="A3314" t="str">
        <f>IFERROR(__xludf.DUMMYFUNCTION("""COMPUTED_VALUE"""),"#N/A")</f>
        <v>#N/A</v>
      </c>
      <c r="B3314" s="451" t="str">
        <f>IFERROR(__xludf.DUMMYFUNCTION("""COMPUTED_VALUE"""),"#N/A")</f>
        <v>#N/A</v>
      </c>
    </row>
    <row r="3315">
      <c r="A3315" t="str">
        <f>IFERROR(__xludf.DUMMYFUNCTION("""COMPUTED_VALUE"""),"#N/A")</f>
        <v>#N/A</v>
      </c>
      <c r="B3315" s="451" t="str">
        <f>IFERROR(__xludf.DUMMYFUNCTION("""COMPUTED_VALUE"""),"#N/A")</f>
        <v>#N/A</v>
      </c>
    </row>
    <row r="3316">
      <c r="A3316" t="str">
        <f>IFERROR(__xludf.DUMMYFUNCTION("""COMPUTED_VALUE"""),"#N/A")</f>
        <v>#N/A</v>
      </c>
      <c r="B3316" s="451" t="str">
        <f>IFERROR(__xludf.DUMMYFUNCTION("""COMPUTED_VALUE"""),"#N/A")</f>
        <v>#N/A</v>
      </c>
    </row>
    <row r="3317">
      <c r="A3317" t="str">
        <f>IFERROR(__xludf.DUMMYFUNCTION("""COMPUTED_VALUE"""),"#N/A")</f>
        <v>#N/A</v>
      </c>
      <c r="B3317" s="451" t="str">
        <f>IFERROR(__xludf.DUMMYFUNCTION("""COMPUTED_VALUE"""),"#N/A")</f>
        <v>#N/A</v>
      </c>
    </row>
    <row r="3318">
      <c r="A3318" t="str">
        <f>IFERROR(__xludf.DUMMYFUNCTION("""COMPUTED_VALUE"""),"#N/A")</f>
        <v>#N/A</v>
      </c>
      <c r="B3318" s="451" t="str">
        <f>IFERROR(__xludf.DUMMYFUNCTION("""COMPUTED_VALUE"""),"#N/A")</f>
        <v>#N/A</v>
      </c>
    </row>
    <row r="3319">
      <c r="A3319" t="str">
        <f>IFERROR(__xludf.DUMMYFUNCTION("""COMPUTED_VALUE"""),"#N/A")</f>
        <v>#N/A</v>
      </c>
      <c r="B3319" s="451" t="str">
        <f>IFERROR(__xludf.DUMMYFUNCTION("""COMPUTED_VALUE"""),"#N/A")</f>
        <v>#N/A</v>
      </c>
    </row>
    <row r="3320">
      <c r="A3320" t="str">
        <f>IFERROR(__xludf.DUMMYFUNCTION("""COMPUTED_VALUE"""),"#N/A")</f>
        <v>#N/A</v>
      </c>
      <c r="B3320" s="451" t="str">
        <f>IFERROR(__xludf.DUMMYFUNCTION("""COMPUTED_VALUE"""),"#N/A")</f>
        <v>#N/A</v>
      </c>
    </row>
    <row r="3321">
      <c r="A3321" t="str">
        <f>IFERROR(__xludf.DUMMYFUNCTION("""COMPUTED_VALUE"""),"#N/A")</f>
        <v>#N/A</v>
      </c>
      <c r="B3321" s="451" t="str">
        <f>IFERROR(__xludf.DUMMYFUNCTION("""COMPUTED_VALUE"""),"#N/A")</f>
        <v>#N/A</v>
      </c>
    </row>
    <row r="3322">
      <c r="A3322" t="str">
        <f>IFERROR(__xludf.DUMMYFUNCTION("""COMPUTED_VALUE"""),"#N/A")</f>
        <v>#N/A</v>
      </c>
      <c r="B3322" s="451" t="str">
        <f>IFERROR(__xludf.DUMMYFUNCTION("""COMPUTED_VALUE"""),"#N/A")</f>
        <v>#N/A</v>
      </c>
    </row>
    <row r="3323">
      <c r="A3323" t="str">
        <f>IFERROR(__xludf.DUMMYFUNCTION("""COMPUTED_VALUE"""),"#N/A")</f>
        <v>#N/A</v>
      </c>
      <c r="B3323" s="451" t="str">
        <f>IFERROR(__xludf.DUMMYFUNCTION("""COMPUTED_VALUE"""),"#N/A")</f>
        <v>#N/A</v>
      </c>
    </row>
    <row r="3324">
      <c r="A3324" t="str">
        <f>IFERROR(__xludf.DUMMYFUNCTION("""COMPUTED_VALUE"""),"#N/A")</f>
        <v>#N/A</v>
      </c>
      <c r="B3324" s="451" t="str">
        <f>IFERROR(__xludf.DUMMYFUNCTION("""COMPUTED_VALUE"""),"#N/A")</f>
        <v>#N/A</v>
      </c>
    </row>
    <row r="3325">
      <c r="A3325" t="str">
        <f>IFERROR(__xludf.DUMMYFUNCTION("""COMPUTED_VALUE"""),"#N/A")</f>
        <v>#N/A</v>
      </c>
      <c r="B3325" s="451" t="str">
        <f>IFERROR(__xludf.DUMMYFUNCTION("""COMPUTED_VALUE"""),"#N/A")</f>
        <v>#N/A</v>
      </c>
    </row>
    <row r="3326">
      <c r="A3326" t="str">
        <f>IFERROR(__xludf.DUMMYFUNCTION("""COMPUTED_VALUE"""),"#N/A")</f>
        <v>#N/A</v>
      </c>
      <c r="B3326" s="451" t="str">
        <f>IFERROR(__xludf.DUMMYFUNCTION("""COMPUTED_VALUE"""),"#N/A")</f>
        <v>#N/A</v>
      </c>
    </row>
    <row r="3327">
      <c r="A3327" t="str">
        <f>IFERROR(__xludf.DUMMYFUNCTION("""COMPUTED_VALUE"""),"#N/A")</f>
        <v>#N/A</v>
      </c>
      <c r="B3327" s="451" t="str">
        <f>IFERROR(__xludf.DUMMYFUNCTION("""COMPUTED_VALUE"""),"#N/A")</f>
        <v>#N/A</v>
      </c>
    </row>
    <row r="3328">
      <c r="A3328" t="str">
        <f>IFERROR(__xludf.DUMMYFUNCTION("""COMPUTED_VALUE"""),"#N/A")</f>
        <v>#N/A</v>
      </c>
      <c r="B3328" s="451" t="str">
        <f>IFERROR(__xludf.DUMMYFUNCTION("""COMPUTED_VALUE"""),"#N/A")</f>
        <v>#N/A</v>
      </c>
    </row>
    <row r="3329">
      <c r="A3329" t="str">
        <f>IFERROR(__xludf.DUMMYFUNCTION("""COMPUTED_VALUE"""),"#N/A")</f>
        <v>#N/A</v>
      </c>
      <c r="B3329" s="451" t="str">
        <f>IFERROR(__xludf.DUMMYFUNCTION("""COMPUTED_VALUE"""),"#N/A")</f>
        <v>#N/A</v>
      </c>
    </row>
    <row r="3330">
      <c r="A3330" t="str">
        <f>IFERROR(__xludf.DUMMYFUNCTION("""COMPUTED_VALUE"""),"#N/A")</f>
        <v>#N/A</v>
      </c>
      <c r="B3330" s="451" t="str">
        <f>IFERROR(__xludf.DUMMYFUNCTION("""COMPUTED_VALUE"""),"#N/A")</f>
        <v>#N/A</v>
      </c>
    </row>
    <row r="3331">
      <c r="A3331" t="str">
        <f>IFERROR(__xludf.DUMMYFUNCTION("""COMPUTED_VALUE"""),"#N/A")</f>
        <v>#N/A</v>
      </c>
      <c r="B3331" s="451" t="str">
        <f>IFERROR(__xludf.DUMMYFUNCTION("""COMPUTED_VALUE"""),"#N/A")</f>
        <v>#N/A</v>
      </c>
    </row>
    <row r="3332">
      <c r="A3332" t="str">
        <f>IFERROR(__xludf.DUMMYFUNCTION("""COMPUTED_VALUE"""),"#N/A")</f>
        <v>#N/A</v>
      </c>
      <c r="B3332" s="451" t="str">
        <f>IFERROR(__xludf.DUMMYFUNCTION("""COMPUTED_VALUE"""),"#N/A")</f>
        <v>#N/A</v>
      </c>
    </row>
    <row r="3333">
      <c r="A3333" t="str">
        <f>IFERROR(__xludf.DUMMYFUNCTION("""COMPUTED_VALUE"""),"#N/A")</f>
        <v>#N/A</v>
      </c>
      <c r="B3333" s="451" t="str">
        <f>IFERROR(__xludf.DUMMYFUNCTION("""COMPUTED_VALUE"""),"#N/A")</f>
        <v>#N/A</v>
      </c>
    </row>
    <row r="3334">
      <c r="A3334" t="str">
        <f>IFERROR(__xludf.DUMMYFUNCTION("""COMPUTED_VALUE"""),"#N/A")</f>
        <v>#N/A</v>
      </c>
      <c r="B3334" s="451" t="str">
        <f>IFERROR(__xludf.DUMMYFUNCTION("""COMPUTED_VALUE"""),"#N/A")</f>
        <v>#N/A</v>
      </c>
    </row>
    <row r="3335">
      <c r="A3335" t="str">
        <f>IFERROR(__xludf.DUMMYFUNCTION("""COMPUTED_VALUE"""),"#N/A")</f>
        <v>#N/A</v>
      </c>
      <c r="B3335" s="451" t="str">
        <f>IFERROR(__xludf.DUMMYFUNCTION("""COMPUTED_VALUE"""),"#N/A")</f>
        <v>#N/A</v>
      </c>
    </row>
    <row r="3336">
      <c r="A3336" t="str">
        <f>IFERROR(__xludf.DUMMYFUNCTION("""COMPUTED_VALUE"""),"#N/A")</f>
        <v>#N/A</v>
      </c>
      <c r="B3336" s="451" t="str">
        <f>IFERROR(__xludf.DUMMYFUNCTION("""COMPUTED_VALUE"""),"#N/A")</f>
        <v>#N/A</v>
      </c>
    </row>
    <row r="3337">
      <c r="A3337" t="str">
        <f>IFERROR(__xludf.DUMMYFUNCTION("""COMPUTED_VALUE"""),"#N/A")</f>
        <v>#N/A</v>
      </c>
      <c r="B3337" s="451" t="str">
        <f>IFERROR(__xludf.DUMMYFUNCTION("""COMPUTED_VALUE"""),"#N/A")</f>
        <v>#N/A</v>
      </c>
    </row>
    <row r="3338">
      <c r="A3338" t="str">
        <f>IFERROR(__xludf.DUMMYFUNCTION("""COMPUTED_VALUE"""),"#N/A")</f>
        <v>#N/A</v>
      </c>
      <c r="B3338" s="451" t="str">
        <f>IFERROR(__xludf.DUMMYFUNCTION("""COMPUTED_VALUE"""),"#N/A")</f>
        <v>#N/A</v>
      </c>
    </row>
    <row r="3339">
      <c r="A3339" t="str">
        <f>IFERROR(__xludf.DUMMYFUNCTION("""COMPUTED_VALUE"""),"#N/A")</f>
        <v>#N/A</v>
      </c>
      <c r="B3339" s="451" t="str">
        <f>IFERROR(__xludf.DUMMYFUNCTION("""COMPUTED_VALUE"""),"#N/A")</f>
        <v>#N/A</v>
      </c>
    </row>
    <row r="3340">
      <c r="A3340" t="str">
        <f>IFERROR(__xludf.DUMMYFUNCTION("""COMPUTED_VALUE"""),"#N/A")</f>
        <v>#N/A</v>
      </c>
      <c r="B3340" s="451" t="str">
        <f>IFERROR(__xludf.DUMMYFUNCTION("""COMPUTED_VALUE"""),"#N/A")</f>
        <v>#N/A</v>
      </c>
    </row>
    <row r="3341">
      <c r="A3341" t="str">
        <f>IFERROR(__xludf.DUMMYFUNCTION("""COMPUTED_VALUE"""),"#N/A")</f>
        <v>#N/A</v>
      </c>
      <c r="B3341" s="451" t="str">
        <f>IFERROR(__xludf.DUMMYFUNCTION("""COMPUTED_VALUE"""),"#N/A")</f>
        <v>#N/A</v>
      </c>
    </row>
    <row r="3342">
      <c r="A3342" t="str">
        <f>IFERROR(__xludf.DUMMYFUNCTION("""COMPUTED_VALUE"""),"#N/A")</f>
        <v>#N/A</v>
      </c>
      <c r="B3342" s="451" t="str">
        <f>IFERROR(__xludf.DUMMYFUNCTION("""COMPUTED_VALUE"""),"#N/A")</f>
        <v>#N/A</v>
      </c>
    </row>
    <row r="3343">
      <c r="A3343" t="str">
        <f>IFERROR(__xludf.DUMMYFUNCTION("""COMPUTED_VALUE"""),"#N/A")</f>
        <v>#N/A</v>
      </c>
      <c r="B3343" s="451" t="str">
        <f>IFERROR(__xludf.DUMMYFUNCTION("""COMPUTED_VALUE"""),"#N/A")</f>
        <v>#N/A</v>
      </c>
    </row>
    <row r="3344">
      <c r="A3344" t="str">
        <f>IFERROR(__xludf.DUMMYFUNCTION("""COMPUTED_VALUE"""),"#N/A")</f>
        <v>#N/A</v>
      </c>
      <c r="B3344" s="451" t="str">
        <f>IFERROR(__xludf.DUMMYFUNCTION("""COMPUTED_VALUE"""),"#N/A")</f>
        <v>#N/A</v>
      </c>
    </row>
    <row r="3345">
      <c r="A3345" t="str">
        <f>IFERROR(__xludf.DUMMYFUNCTION("""COMPUTED_VALUE"""),"#N/A")</f>
        <v>#N/A</v>
      </c>
      <c r="B3345" s="451" t="str">
        <f>IFERROR(__xludf.DUMMYFUNCTION("""COMPUTED_VALUE"""),"#N/A")</f>
        <v>#N/A</v>
      </c>
    </row>
    <row r="3346">
      <c r="A3346" t="str">
        <f>IFERROR(__xludf.DUMMYFUNCTION("""COMPUTED_VALUE"""),"#N/A")</f>
        <v>#N/A</v>
      </c>
      <c r="B3346" s="451" t="str">
        <f>IFERROR(__xludf.DUMMYFUNCTION("""COMPUTED_VALUE"""),"#N/A")</f>
        <v>#N/A</v>
      </c>
    </row>
    <row r="3347">
      <c r="A3347" t="str">
        <f>IFERROR(__xludf.DUMMYFUNCTION("""COMPUTED_VALUE"""),"#N/A")</f>
        <v>#N/A</v>
      </c>
      <c r="B3347" s="451" t="str">
        <f>IFERROR(__xludf.DUMMYFUNCTION("""COMPUTED_VALUE"""),"#N/A")</f>
        <v>#N/A</v>
      </c>
    </row>
    <row r="3348">
      <c r="A3348" t="str">
        <f>IFERROR(__xludf.DUMMYFUNCTION("""COMPUTED_VALUE"""),"#N/A")</f>
        <v>#N/A</v>
      </c>
      <c r="B3348" s="451" t="str">
        <f>IFERROR(__xludf.DUMMYFUNCTION("""COMPUTED_VALUE"""),"#N/A")</f>
        <v>#N/A</v>
      </c>
    </row>
    <row r="3349">
      <c r="A3349" t="str">
        <f>IFERROR(__xludf.DUMMYFUNCTION("""COMPUTED_VALUE"""),"#N/A")</f>
        <v>#N/A</v>
      </c>
      <c r="B3349" s="451" t="str">
        <f>IFERROR(__xludf.DUMMYFUNCTION("""COMPUTED_VALUE"""),"#N/A")</f>
        <v>#N/A</v>
      </c>
    </row>
    <row r="3350">
      <c r="A3350" t="str">
        <f>IFERROR(__xludf.DUMMYFUNCTION("""COMPUTED_VALUE"""),"#N/A")</f>
        <v>#N/A</v>
      </c>
      <c r="B3350" s="451" t="str">
        <f>IFERROR(__xludf.DUMMYFUNCTION("""COMPUTED_VALUE"""),"#N/A")</f>
        <v>#N/A</v>
      </c>
    </row>
    <row r="3351">
      <c r="A3351" t="str">
        <f>IFERROR(__xludf.DUMMYFUNCTION("""COMPUTED_VALUE"""),"#N/A")</f>
        <v>#N/A</v>
      </c>
      <c r="B3351" s="451" t="str">
        <f>IFERROR(__xludf.DUMMYFUNCTION("""COMPUTED_VALUE"""),"#N/A")</f>
        <v>#N/A</v>
      </c>
    </row>
    <row r="3352">
      <c r="A3352" t="str">
        <f>IFERROR(__xludf.DUMMYFUNCTION("""COMPUTED_VALUE"""),"#N/A")</f>
        <v>#N/A</v>
      </c>
      <c r="B3352" s="451" t="str">
        <f>IFERROR(__xludf.DUMMYFUNCTION("""COMPUTED_VALUE"""),"#N/A")</f>
        <v>#N/A</v>
      </c>
    </row>
    <row r="3353">
      <c r="A3353" t="str">
        <f>IFERROR(__xludf.DUMMYFUNCTION("""COMPUTED_VALUE"""),"#N/A")</f>
        <v>#N/A</v>
      </c>
      <c r="B3353" s="451" t="str">
        <f>IFERROR(__xludf.DUMMYFUNCTION("""COMPUTED_VALUE"""),"#N/A")</f>
        <v>#N/A</v>
      </c>
    </row>
    <row r="3354">
      <c r="A3354" t="str">
        <f>IFERROR(__xludf.DUMMYFUNCTION("""COMPUTED_VALUE"""),"#N/A")</f>
        <v>#N/A</v>
      </c>
      <c r="B3354" s="451" t="str">
        <f>IFERROR(__xludf.DUMMYFUNCTION("""COMPUTED_VALUE"""),"#N/A")</f>
        <v>#N/A</v>
      </c>
    </row>
    <row r="3355">
      <c r="A3355" t="str">
        <f>IFERROR(__xludf.DUMMYFUNCTION("""COMPUTED_VALUE"""),"#N/A")</f>
        <v>#N/A</v>
      </c>
      <c r="B3355" s="451" t="str">
        <f>IFERROR(__xludf.DUMMYFUNCTION("""COMPUTED_VALUE"""),"#N/A")</f>
        <v>#N/A</v>
      </c>
    </row>
    <row r="3356">
      <c r="A3356" t="str">
        <f>IFERROR(__xludf.DUMMYFUNCTION("""COMPUTED_VALUE"""),"#N/A")</f>
        <v>#N/A</v>
      </c>
      <c r="B3356" s="451" t="str">
        <f>IFERROR(__xludf.DUMMYFUNCTION("""COMPUTED_VALUE"""),"#N/A")</f>
        <v>#N/A</v>
      </c>
    </row>
    <row r="3357">
      <c r="A3357" t="str">
        <f>IFERROR(__xludf.DUMMYFUNCTION("""COMPUTED_VALUE"""),"#N/A")</f>
        <v>#N/A</v>
      </c>
      <c r="B3357" s="451" t="str">
        <f>IFERROR(__xludf.DUMMYFUNCTION("""COMPUTED_VALUE"""),"#N/A")</f>
        <v>#N/A</v>
      </c>
    </row>
    <row r="3358">
      <c r="A3358" t="str">
        <f>IFERROR(__xludf.DUMMYFUNCTION("""COMPUTED_VALUE"""),"#N/A")</f>
        <v>#N/A</v>
      </c>
      <c r="B3358" s="451" t="str">
        <f>IFERROR(__xludf.DUMMYFUNCTION("""COMPUTED_VALUE"""),"#N/A")</f>
        <v>#N/A</v>
      </c>
    </row>
    <row r="3359">
      <c r="A3359" t="str">
        <f>IFERROR(__xludf.DUMMYFUNCTION("""COMPUTED_VALUE"""),"#N/A")</f>
        <v>#N/A</v>
      </c>
      <c r="B3359" s="451" t="str">
        <f>IFERROR(__xludf.DUMMYFUNCTION("""COMPUTED_VALUE"""),"#N/A")</f>
        <v>#N/A</v>
      </c>
    </row>
    <row r="3360">
      <c r="A3360" t="str">
        <f>IFERROR(__xludf.DUMMYFUNCTION("""COMPUTED_VALUE"""),"#N/A")</f>
        <v>#N/A</v>
      </c>
      <c r="B3360" s="451" t="str">
        <f>IFERROR(__xludf.DUMMYFUNCTION("""COMPUTED_VALUE"""),"#N/A")</f>
        <v>#N/A</v>
      </c>
    </row>
    <row r="3361">
      <c r="A3361" t="str">
        <f>IFERROR(__xludf.DUMMYFUNCTION("""COMPUTED_VALUE"""),"#N/A")</f>
        <v>#N/A</v>
      </c>
      <c r="B3361" s="451" t="str">
        <f>IFERROR(__xludf.DUMMYFUNCTION("""COMPUTED_VALUE"""),"#N/A")</f>
        <v>#N/A</v>
      </c>
    </row>
    <row r="3362">
      <c r="A3362" t="str">
        <f>IFERROR(__xludf.DUMMYFUNCTION("""COMPUTED_VALUE"""),"#N/A")</f>
        <v>#N/A</v>
      </c>
      <c r="B3362" s="451" t="str">
        <f>IFERROR(__xludf.DUMMYFUNCTION("""COMPUTED_VALUE"""),"#N/A")</f>
        <v>#N/A</v>
      </c>
    </row>
    <row r="3363">
      <c r="A3363" t="str">
        <f>IFERROR(__xludf.DUMMYFUNCTION("""COMPUTED_VALUE"""),"#N/A")</f>
        <v>#N/A</v>
      </c>
      <c r="B3363" s="451" t="str">
        <f>IFERROR(__xludf.DUMMYFUNCTION("""COMPUTED_VALUE"""),"#N/A")</f>
        <v>#N/A</v>
      </c>
    </row>
    <row r="3364">
      <c r="A3364" t="str">
        <f>IFERROR(__xludf.DUMMYFUNCTION("""COMPUTED_VALUE"""),"#N/A")</f>
        <v>#N/A</v>
      </c>
      <c r="B3364" s="451" t="str">
        <f>IFERROR(__xludf.DUMMYFUNCTION("""COMPUTED_VALUE"""),"#N/A")</f>
        <v>#N/A</v>
      </c>
    </row>
    <row r="3365">
      <c r="A3365" t="str">
        <f>IFERROR(__xludf.DUMMYFUNCTION("""COMPUTED_VALUE"""),"#N/A")</f>
        <v>#N/A</v>
      </c>
      <c r="B3365" s="451" t="str">
        <f>IFERROR(__xludf.DUMMYFUNCTION("""COMPUTED_VALUE"""),"#N/A")</f>
        <v>#N/A</v>
      </c>
    </row>
    <row r="3366">
      <c r="A3366" t="str">
        <f>IFERROR(__xludf.DUMMYFUNCTION("""COMPUTED_VALUE"""),"#N/A")</f>
        <v>#N/A</v>
      </c>
      <c r="B3366" s="451" t="str">
        <f>IFERROR(__xludf.DUMMYFUNCTION("""COMPUTED_VALUE"""),"#N/A")</f>
        <v>#N/A</v>
      </c>
    </row>
    <row r="3367">
      <c r="A3367" t="str">
        <f>IFERROR(__xludf.DUMMYFUNCTION("""COMPUTED_VALUE"""),"#N/A")</f>
        <v>#N/A</v>
      </c>
      <c r="B3367" s="451" t="str">
        <f>IFERROR(__xludf.DUMMYFUNCTION("""COMPUTED_VALUE"""),"#N/A")</f>
        <v>#N/A</v>
      </c>
    </row>
    <row r="3368">
      <c r="A3368" t="str">
        <f>IFERROR(__xludf.DUMMYFUNCTION("""COMPUTED_VALUE"""),"#N/A")</f>
        <v>#N/A</v>
      </c>
      <c r="B3368" s="451" t="str">
        <f>IFERROR(__xludf.DUMMYFUNCTION("""COMPUTED_VALUE"""),"#N/A")</f>
        <v>#N/A</v>
      </c>
    </row>
    <row r="3369">
      <c r="A3369" t="str">
        <f>IFERROR(__xludf.DUMMYFUNCTION("""COMPUTED_VALUE"""),"#N/A")</f>
        <v>#N/A</v>
      </c>
      <c r="B3369" s="451" t="str">
        <f>IFERROR(__xludf.DUMMYFUNCTION("""COMPUTED_VALUE"""),"#N/A")</f>
        <v>#N/A</v>
      </c>
    </row>
    <row r="3370">
      <c r="A3370" t="str">
        <f>IFERROR(__xludf.DUMMYFUNCTION("""COMPUTED_VALUE"""),"#N/A")</f>
        <v>#N/A</v>
      </c>
      <c r="B3370" s="451" t="str">
        <f>IFERROR(__xludf.DUMMYFUNCTION("""COMPUTED_VALUE"""),"#N/A")</f>
        <v>#N/A</v>
      </c>
    </row>
    <row r="3371">
      <c r="A3371" t="str">
        <f>IFERROR(__xludf.DUMMYFUNCTION("""COMPUTED_VALUE"""),"#N/A")</f>
        <v>#N/A</v>
      </c>
      <c r="B3371" s="451" t="str">
        <f>IFERROR(__xludf.DUMMYFUNCTION("""COMPUTED_VALUE"""),"#N/A")</f>
        <v>#N/A</v>
      </c>
    </row>
    <row r="3372">
      <c r="A3372" t="str">
        <f>IFERROR(__xludf.DUMMYFUNCTION("""COMPUTED_VALUE"""),"#N/A")</f>
        <v>#N/A</v>
      </c>
      <c r="B3372" s="451" t="str">
        <f>IFERROR(__xludf.DUMMYFUNCTION("""COMPUTED_VALUE"""),"#N/A")</f>
        <v>#N/A</v>
      </c>
    </row>
    <row r="3373">
      <c r="A3373" t="str">
        <f>IFERROR(__xludf.DUMMYFUNCTION("""COMPUTED_VALUE"""),"#N/A")</f>
        <v>#N/A</v>
      </c>
      <c r="B3373" s="451" t="str">
        <f>IFERROR(__xludf.DUMMYFUNCTION("""COMPUTED_VALUE"""),"#N/A")</f>
        <v>#N/A</v>
      </c>
    </row>
    <row r="3374">
      <c r="A3374" t="str">
        <f>IFERROR(__xludf.DUMMYFUNCTION("""COMPUTED_VALUE"""),"#N/A")</f>
        <v>#N/A</v>
      </c>
      <c r="B3374" s="451" t="str">
        <f>IFERROR(__xludf.DUMMYFUNCTION("""COMPUTED_VALUE"""),"#N/A")</f>
        <v>#N/A</v>
      </c>
    </row>
    <row r="3375">
      <c r="A3375" t="str">
        <f>IFERROR(__xludf.DUMMYFUNCTION("""COMPUTED_VALUE"""),"#N/A")</f>
        <v>#N/A</v>
      </c>
      <c r="B3375" s="451" t="str">
        <f>IFERROR(__xludf.DUMMYFUNCTION("""COMPUTED_VALUE"""),"#N/A")</f>
        <v>#N/A</v>
      </c>
    </row>
    <row r="3376">
      <c r="A3376" t="str">
        <f>IFERROR(__xludf.DUMMYFUNCTION("""COMPUTED_VALUE"""),"#N/A")</f>
        <v>#N/A</v>
      </c>
      <c r="B3376" s="451" t="str">
        <f>IFERROR(__xludf.DUMMYFUNCTION("""COMPUTED_VALUE"""),"#N/A")</f>
        <v>#N/A</v>
      </c>
    </row>
    <row r="3377">
      <c r="A3377" t="str">
        <f>IFERROR(__xludf.DUMMYFUNCTION("""COMPUTED_VALUE"""),"#N/A")</f>
        <v>#N/A</v>
      </c>
      <c r="B3377" s="451" t="str">
        <f>IFERROR(__xludf.DUMMYFUNCTION("""COMPUTED_VALUE"""),"#N/A")</f>
        <v>#N/A</v>
      </c>
    </row>
    <row r="3378">
      <c r="A3378" t="str">
        <f>IFERROR(__xludf.DUMMYFUNCTION("""COMPUTED_VALUE"""),"#N/A")</f>
        <v>#N/A</v>
      </c>
      <c r="B3378" s="451" t="str">
        <f>IFERROR(__xludf.DUMMYFUNCTION("""COMPUTED_VALUE"""),"#N/A")</f>
        <v>#N/A</v>
      </c>
    </row>
    <row r="3379">
      <c r="A3379" t="str">
        <f>IFERROR(__xludf.DUMMYFUNCTION("""COMPUTED_VALUE"""),"#N/A")</f>
        <v>#N/A</v>
      </c>
      <c r="B3379" s="451" t="str">
        <f>IFERROR(__xludf.DUMMYFUNCTION("""COMPUTED_VALUE"""),"#N/A")</f>
        <v>#N/A</v>
      </c>
    </row>
    <row r="3380">
      <c r="A3380" t="str">
        <f>IFERROR(__xludf.DUMMYFUNCTION("""COMPUTED_VALUE"""),"#N/A")</f>
        <v>#N/A</v>
      </c>
      <c r="B3380" s="451" t="str">
        <f>IFERROR(__xludf.DUMMYFUNCTION("""COMPUTED_VALUE"""),"#N/A")</f>
        <v>#N/A</v>
      </c>
    </row>
    <row r="3381">
      <c r="A3381" t="str">
        <f>IFERROR(__xludf.DUMMYFUNCTION("""COMPUTED_VALUE"""),"#N/A")</f>
        <v>#N/A</v>
      </c>
      <c r="B3381" s="451" t="str">
        <f>IFERROR(__xludf.DUMMYFUNCTION("""COMPUTED_VALUE"""),"#N/A")</f>
        <v>#N/A</v>
      </c>
    </row>
    <row r="3382">
      <c r="A3382" t="str">
        <f>IFERROR(__xludf.DUMMYFUNCTION("""COMPUTED_VALUE"""),"#N/A")</f>
        <v>#N/A</v>
      </c>
      <c r="B3382" s="451" t="str">
        <f>IFERROR(__xludf.DUMMYFUNCTION("""COMPUTED_VALUE"""),"#N/A")</f>
        <v>#N/A</v>
      </c>
    </row>
    <row r="3383">
      <c r="A3383" t="str">
        <f>IFERROR(__xludf.DUMMYFUNCTION("""COMPUTED_VALUE"""),"#N/A")</f>
        <v>#N/A</v>
      </c>
      <c r="B3383" s="451" t="str">
        <f>IFERROR(__xludf.DUMMYFUNCTION("""COMPUTED_VALUE"""),"#N/A")</f>
        <v>#N/A</v>
      </c>
    </row>
    <row r="3384">
      <c r="A3384" t="str">
        <f>IFERROR(__xludf.DUMMYFUNCTION("""COMPUTED_VALUE"""),"#N/A")</f>
        <v>#N/A</v>
      </c>
      <c r="B3384" s="451" t="str">
        <f>IFERROR(__xludf.DUMMYFUNCTION("""COMPUTED_VALUE"""),"#N/A")</f>
        <v>#N/A</v>
      </c>
    </row>
    <row r="3385">
      <c r="A3385" t="str">
        <f>IFERROR(__xludf.DUMMYFUNCTION("""COMPUTED_VALUE"""),"#N/A")</f>
        <v>#N/A</v>
      </c>
      <c r="B3385" s="451" t="str">
        <f>IFERROR(__xludf.DUMMYFUNCTION("""COMPUTED_VALUE"""),"#N/A")</f>
        <v>#N/A</v>
      </c>
    </row>
    <row r="3386">
      <c r="A3386" t="str">
        <f>IFERROR(__xludf.DUMMYFUNCTION("""COMPUTED_VALUE"""),"#N/A")</f>
        <v>#N/A</v>
      </c>
      <c r="B3386" s="451" t="str">
        <f>IFERROR(__xludf.DUMMYFUNCTION("""COMPUTED_VALUE"""),"#N/A")</f>
        <v>#N/A</v>
      </c>
    </row>
    <row r="3387">
      <c r="A3387" t="str">
        <f>IFERROR(__xludf.DUMMYFUNCTION("""COMPUTED_VALUE"""),"#N/A")</f>
        <v>#N/A</v>
      </c>
      <c r="B3387" s="451" t="str">
        <f>IFERROR(__xludf.DUMMYFUNCTION("""COMPUTED_VALUE"""),"#N/A")</f>
        <v>#N/A</v>
      </c>
    </row>
    <row r="3388">
      <c r="A3388" t="str">
        <f>IFERROR(__xludf.DUMMYFUNCTION("""COMPUTED_VALUE"""),"#N/A")</f>
        <v>#N/A</v>
      </c>
      <c r="B3388" s="451" t="str">
        <f>IFERROR(__xludf.DUMMYFUNCTION("""COMPUTED_VALUE"""),"#N/A")</f>
        <v>#N/A</v>
      </c>
    </row>
    <row r="3389">
      <c r="A3389" t="str">
        <f>IFERROR(__xludf.DUMMYFUNCTION("""COMPUTED_VALUE"""),"#N/A")</f>
        <v>#N/A</v>
      </c>
      <c r="B3389" s="451" t="str">
        <f>IFERROR(__xludf.DUMMYFUNCTION("""COMPUTED_VALUE"""),"#N/A")</f>
        <v>#N/A</v>
      </c>
    </row>
    <row r="3390">
      <c r="A3390" t="str">
        <f>IFERROR(__xludf.DUMMYFUNCTION("""COMPUTED_VALUE"""),"#N/A")</f>
        <v>#N/A</v>
      </c>
      <c r="B3390" s="451" t="str">
        <f>IFERROR(__xludf.DUMMYFUNCTION("""COMPUTED_VALUE"""),"#N/A")</f>
        <v>#N/A</v>
      </c>
    </row>
    <row r="3391">
      <c r="A3391" t="str">
        <f>IFERROR(__xludf.DUMMYFUNCTION("""COMPUTED_VALUE"""),"#N/A")</f>
        <v>#N/A</v>
      </c>
      <c r="B3391" s="451" t="str">
        <f>IFERROR(__xludf.DUMMYFUNCTION("""COMPUTED_VALUE"""),"#N/A")</f>
        <v>#N/A</v>
      </c>
    </row>
    <row r="3392">
      <c r="A3392" t="str">
        <f>IFERROR(__xludf.DUMMYFUNCTION("""COMPUTED_VALUE"""),"#N/A")</f>
        <v>#N/A</v>
      </c>
      <c r="B3392" s="451" t="str">
        <f>IFERROR(__xludf.DUMMYFUNCTION("""COMPUTED_VALUE"""),"#N/A")</f>
        <v>#N/A</v>
      </c>
    </row>
    <row r="3393">
      <c r="A3393" t="str">
        <f>IFERROR(__xludf.DUMMYFUNCTION("""COMPUTED_VALUE"""),"#N/A")</f>
        <v>#N/A</v>
      </c>
      <c r="B3393" s="451" t="str">
        <f>IFERROR(__xludf.DUMMYFUNCTION("""COMPUTED_VALUE"""),"#N/A")</f>
        <v>#N/A</v>
      </c>
    </row>
    <row r="3394">
      <c r="A3394" t="str">
        <f>IFERROR(__xludf.DUMMYFUNCTION("""COMPUTED_VALUE"""),"#N/A")</f>
        <v>#N/A</v>
      </c>
      <c r="B3394" s="451" t="str">
        <f>IFERROR(__xludf.DUMMYFUNCTION("""COMPUTED_VALUE"""),"#N/A")</f>
        <v>#N/A</v>
      </c>
    </row>
    <row r="3395">
      <c r="A3395" t="str">
        <f>IFERROR(__xludf.DUMMYFUNCTION("""COMPUTED_VALUE"""),"#N/A")</f>
        <v>#N/A</v>
      </c>
      <c r="B3395" s="451" t="str">
        <f>IFERROR(__xludf.DUMMYFUNCTION("""COMPUTED_VALUE"""),"#N/A")</f>
        <v>#N/A</v>
      </c>
    </row>
    <row r="3396">
      <c r="A3396" t="str">
        <f>IFERROR(__xludf.DUMMYFUNCTION("""COMPUTED_VALUE"""),"#N/A")</f>
        <v>#N/A</v>
      </c>
      <c r="B3396" s="451" t="str">
        <f>IFERROR(__xludf.DUMMYFUNCTION("""COMPUTED_VALUE"""),"#N/A")</f>
        <v>#N/A</v>
      </c>
    </row>
    <row r="3397">
      <c r="A3397" t="str">
        <f>IFERROR(__xludf.DUMMYFUNCTION("""COMPUTED_VALUE"""),"#N/A")</f>
        <v>#N/A</v>
      </c>
      <c r="B3397" s="451" t="str">
        <f>IFERROR(__xludf.DUMMYFUNCTION("""COMPUTED_VALUE"""),"#N/A")</f>
        <v>#N/A</v>
      </c>
    </row>
    <row r="3398">
      <c r="A3398" t="str">
        <f>IFERROR(__xludf.DUMMYFUNCTION("""COMPUTED_VALUE"""),"#N/A")</f>
        <v>#N/A</v>
      </c>
      <c r="B3398" s="451" t="str">
        <f>IFERROR(__xludf.DUMMYFUNCTION("""COMPUTED_VALUE"""),"#N/A")</f>
        <v>#N/A</v>
      </c>
    </row>
    <row r="3399">
      <c r="A3399" t="str">
        <f>IFERROR(__xludf.DUMMYFUNCTION("""COMPUTED_VALUE"""),"#N/A")</f>
        <v>#N/A</v>
      </c>
      <c r="B3399" s="451" t="str">
        <f>IFERROR(__xludf.DUMMYFUNCTION("""COMPUTED_VALUE"""),"#N/A")</f>
        <v>#N/A</v>
      </c>
    </row>
    <row r="3400">
      <c r="A3400" t="str">
        <f>IFERROR(__xludf.DUMMYFUNCTION("""COMPUTED_VALUE"""),"#N/A")</f>
        <v>#N/A</v>
      </c>
      <c r="B3400" s="451" t="str">
        <f>IFERROR(__xludf.DUMMYFUNCTION("""COMPUTED_VALUE"""),"#N/A")</f>
        <v>#N/A</v>
      </c>
    </row>
    <row r="3401">
      <c r="A3401" t="str">
        <f>IFERROR(__xludf.DUMMYFUNCTION("""COMPUTED_VALUE"""),"#N/A")</f>
        <v>#N/A</v>
      </c>
      <c r="B3401" s="451" t="str">
        <f>IFERROR(__xludf.DUMMYFUNCTION("""COMPUTED_VALUE"""),"#N/A")</f>
        <v>#N/A</v>
      </c>
    </row>
    <row r="3402">
      <c r="A3402" t="str">
        <f>IFERROR(__xludf.DUMMYFUNCTION("""COMPUTED_VALUE"""),"#N/A")</f>
        <v>#N/A</v>
      </c>
      <c r="B3402" s="451" t="str">
        <f>IFERROR(__xludf.DUMMYFUNCTION("""COMPUTED_VALUE"""),"#N/A")</f>
        <v>#N/A</v>
      </c>
    </row>
    <row r="3403">
      <c r="A3403" t="str">
        <f>IFERROR(__xludf.DUMMYFUNCTION("""COMPUTED_VALUE"""),"#N/A")</f>
        <v>#N/A</v>
      </c>
      <c r="B3403" s="451" t="str">
        <f>IFERROR(__xludf.DUMMYFUNCTION("""COMPUTED_VALUE"""),"#N/A")</f>
        <v>#N/A</v>
      </c>
    </row>
    <row r="3404">
      <c r="A3404" t="str">
        <f>IFERROR(__xludf.DUMMYFUNCTION("""COMPUTED_VALUE"""),"#N/A")</f>
        <v>#N/A</v>
      </c>
      <c r="B3404" s="451" t="str">
        <f>IFERROR(__xludf.DUMMYFUNCTION("""COMPUTED_VALUE"""),"#N/A")</f>
        <v>#N/A</v>
      </c>
    </row>
    <row r="3405">
      <c r="A3405" t="str">
        <f>IFERROR(__xludf.DUMMYFUNCTION("""COMPUTED_VALUE"""),"#N/A")</f>
        <v>#N/A</v>
      </c>
      <c r="B3405" s="451" t="str">
        <f>IFERROR(__xludf.DUMMYFUNCTION("""COMPUTED_VALUE"""),"#N/A")</f>
        <v>#N/A</v>
      </c>
    </row>
    <row r="3406">
      <c r="A3406" t="str">
        <f>IFERROR(__xludf.DUMMYFUNCTION("""COMPUTED_VALUE"""),"#N/A")</f>
        <v>#N/A</v>
      </c>
      <c r="B3406" s="451" t="str">
        <f>IFERROR(__xludf.DUMMYFUNCTION("""COMPUTED_VALUE"""),"#N/A")</f>
        <v>#N/A</v>
      </c>
    </row>
    <row r="3407">
      <c r="A3407" t="str">
        <f>IFERROR(__xludf.DUMMYFUNCTION("""COMPUTED_VALUE"""),"#N/A")</f>
        <v>#N/A</v>
      </c>
      <c r="B3407" s="451" t="str">
        <f>IFERROR(__xludf.DUMMYFUNCTION("""COMPUTED_VALUE"""),"#N/A")</f>
        <v>#N/A</v>
      </c>
    </row>
    <row r="3408">
      <c r="A3408" t="str">
        <f>IFERROR(__xludf.DUMMYFUNCTION("""COMPUTED_VALUE"""),"#N/A")</f>
        <v>#N/A</v>
      </c>
      <c r="B3408" s="451" t="str">
        <f>IFERROR(__xludf.DUMMYFUNCTION("""COMPUTED_VALUE"""),"#N/A")</f>
        <v>#N/A</v>
      </c>
    </row>
    <row r="3409">
      <c r="A3409" t="str">
        <f>IFERROR(__xludf.DUMMYFUNCTION("""COMPUTED_VALUE"""),"#N/A")</f>
        <v>#N/A</v>
      </c>
      <c r="B3409" s="451" t="str">
        <f>IFERROR(__xludf.DUMMYFUNCTION("""COMPUTED_VALUE"""),"#N/A")</f>
        <v>#N/A</v>
      </c>
    </row>
    <row r="3410">
      <c r="A3410" t="str">
        <f>IFERROR(__xludf.DUMMYFUNCTION("""COMPUTED_VALUE"""),"#N/A")</f>
        <v>#N/A</v>
      </c>
      <c r="B3410" s="451" t="str">
        <f>IFERROR(__xludf.DUMMYFUNCTION("""COMPUTED_VALUE"""),"#N/A")</f>
        <v>#N/A</v>
      </c>
    </row>
    <row r="3411">
      <c r="A3411" t="str">
        <f>IFERROR(__xludf.DUMMYFUNCTION("""COMPUTED_VALUE"""),"#N/A")</f>
        <v>#N/A</v>
      </c>
      <c r="B3411" s="451" t="str">
        <f>IFERROR(__xludf.DUMMYFUNCTION("""COMPUTED_VALUE"""),"#N/A")</f>
        <v>#N/A</v>
      </c>
    </row>
    <row r="3412">
      <c r="A3412" t="str">
        <f>IFERROR(__xludf.DUMMYFUNCTION("""COMPUTED_VALUE"""),"#N/A")</f>
        <v>#N/A</v>
      </c>
      <c r="B3412" s="451" t="str">
        <f>IFERROR(__xludf.DUMMYFUNCTION("""COMPUTED_VALUE"""),"#N/A")</f>
        <v>#N/A</v>
      </c>
    </row>
    <row r="3413">
      <c r="A3413" t="str">
        <f>IFERROR(__xludf.DUMMYFUNCTION("""COMPUTED_VALUE"""),"#N/A")</f>
        <v>#N/A</v>
      </c>
      <c r="B3413" s="451" t="str">
        <f>IFERROR(__xludf.DUMMYFUNCTION("""COMPUTED_VALUE"""),"#N/A")</f>
        <v>#N/A</v>
      </c>
    </row>
    <row r="3414">
      <c r="A3414" t="str">
        <f>IFERROR(__xludf.DUMMYFUNCTION("""COMPUTED_VALUE"""),"#N/A")</f>
        <v>#N/A</v>
      </c>
      <c r="B3414" s="451" t="str">
        <f>IFERROR(__xludf.DUMMYFUNCTION("""COMPUTED_VALUE"""),"#N/A")</f>
        <v>#N/A</v>
      </c>
    </row>
    <row r="3415">
      <c r="A3415" t="str">
        <f>IFERROR(__xludf.DUMMYFUNCTION("""COMPUTED_VALUE"""),"#N/A")</f>
        <v>#N/A</v>
      </c>
      <c r="B3415" s="451" t="str">
        <f>IFERROR(__xludf.DUMMYFUNCTION("""COMPUTED_VALUE"""),"#N/A")</f>
        <v>#N/A</v>
      </c>
    </row>
    <row r="3416">
      <c r="A3416" t="str">
        <f>IFERROR(__xludf.DUMMYFUNCTION("""COMPUTED_VALUE"""),"#N/A")</f>
        <v>#N/A</v>
      </c>
      <c r="B3416" s="451" t="str">
        <f>IFERROR(__xludf.DUMMYFUNCTION("""COMPUTED_VALUE"""),"#N/A")</f>
        <v>#N/A</v>
      </c>
    </row>
    <row r="3417">
      <c r="A3417" t="str">
        <f>IFERROR(__xludf.DUMMYFUNCTION("""COMPUTED_VALUE"""),"#N/A")</f>
        <v>#N/A</v>
      </c>
      <c r="B3417" s="451" t="str">
        <f>IFERROR(__xludf.DUMMYFUNCTION("""COMPUTED_VALUE"""),"#N/A")</f>
        <v>#N/A</v>
      </c>
    </row>
    <row r="3418">
      <c r="A3418" t="str">
        <f>IFERROR(__xludf.DUMMYFUNCTION("""COMPUTED_VALUE"""),"#N/A")</f>
        <v>#N/A</v>
      </c>
      <c r="B3418" s="451" t="str">
        <f>IFERROR(__xludf.DUMMYFUNCTION("""COMPUTED_VALUE"""),"#N/A")</f>
        <v>#N/A</v>
      </c>
    </row>
    <row r="3419">
      <c r="A3419" t="str">
        <f>IFERROR(__xludf.DUMMYFUNCTION("""COMPUTED_VALUE"""),"#N/A")</f>
        <v>#N/A</v>
      </c>
      <c r="B3419" s="451" t="str">
        <f>IFERROR(__xludf.DUMMYFUNCTION("""COMPUTED_VALUE"""),"#N/A")</f>
        <v>#N/A</v>
      </c>
    </row>
    <row r="3420">
      <c r="A3420" t="str">
        <f>IFERROR(__xludf.DUMMYFUNCTION("""COMPUTED_VALUE"""),"#N/A")</f>
        <v>#N/A</v>
      </c>
      <c r="B3420" s="451" t="str">
        <f>IFERROR(__xludf.DUMMYFUNCTION("""COMPUTED_VALUE"""),"#N/A")</f>
        <v>#N/A</v>
      </c>
    </row>
    <row r="3421">
      <c r="A3421" t="str">
        <f>IFERROR(__xludf.DUMMYFUNCTION("""COMPUTED_VALUE"""),"#N/A")</f>
        <v>#N/A</v>
      </c>
      <c r="B3421" s="451" t="str">
        <f>IFERROR(__xludf.DUMMYFUNCTION("""COMPUTED_VALUE"""),"#N/A")</f>
        <v>#N/A</v>
      </c>
    </row>
    <row r="3422">
      <c r="A3422" t="str">
        <f>IFERROR(__xludf.DUMMYFUNCTION("""COMPUTED_VALUE"""),"#N/A")</f>
        <v>#N/A</v>
      </c>
      <c r="B3422" s="451" t="str">
        <f>IFERROR(__xludf.DUMMYFUNCTION("""COMPUTED_VALUE"""),"#N/A")</f>
        <v>#N/A</v>
      </c>
    </row>
    <row r="3423">
      <c r="A3423" t="str">
        <f>IFERROR(__xludf.DUMMYFUNCTION("""COMPUTED_VALUE"""),"#N/A")</f>
        <v>#N/A</v>
      </c>
      <c r="B3423" s="451" t="str">
        <f>IFERROR(__xludf.DUMMYFUNCTION("""COMPUTED_VALUE"""),"#N/A")</f>
        <v>#N/A</v>
      </c>
    </row>
    <row r="3424">
      <c r="A3424" t="str">
        <f>IFERROR(__xludf.DUMMYFUNCTION("""COMPUTED_VALUE"""),"#N/A")</f>
        <v>#N/A</v>
      </c>
      <c r="B3424" s="451" t="str">
        <f>IFERROR(__xludf.DUMMYFUNCTION("""COMPUTED_VALUE"""),"#N/A")</f>
        <v>#N/A</v>
      </c>
    </row>
    <row r="3425">
      <c r="A3425" t="str">
        <f>IFERROR(__xludf.DUMMYFUNCTION("""COMPUTED_VALUE"""),"#N/A")</f>
        <v>#N/A</v>
      </c>
      <c r="B3425" s="451" t="str">
        <f>IFERROR(__xludf.DUMMYFUNCTION("""COMPUTED_VALUE"""),"#N/A")</f>
        <v>#N/A</v>
      </c>
    </row>
    <row r="3426">
      <c r="A3426" t="str">
        <f>IFERROR(__xludf.DUMMYFUNCTION("""COMPUTED_VALUE"""),"#N/A")</f>
        <v>#N/A</v>
      </c>
      <c r="B3426" s="451" t="str">
        <f>IFERROR(__xludf.DUMMYFUNCTION("""COMPUTED_VALUE"""),"#N/A")</f>
        <v>#N/A</v>
      </c>
    </row>
    <row r="3427">
      <c r="A3427" t="str">
        <f>IFERROR(__xludf.DUMMYFUNCTION("""COMPUTED_VALUE"""),"#N/A")</f>
        <v>#N/A</v>
      </c>
      <c r="B3427" s="451" t="str">
        <f>IFERROR(__xludf.DUMMYFUNCTION("""COMPUTED_VALUE"""),"#N/A")</f>
        <v>#N/A</v>
      </c>
    </row>
    <row r="3428">
      <c r="A3428" t="str">
        <f>IFERROR(__xludf.DUMMYFUNCTION("""COMPUTED_VALUE"""),"#N/A")</f>
        <v>#N/A</v>
      </c>
      <c r="B3428" s="451" t="str">
        <f>IFERROR(__xludf.DUMMYFUNCTION("""COMPUTED_VALUE"""),"#N/A")</f>
        <v>#N/A</v>
      </c>
    </row>
    <row r="3429">
      <c r="A3429" t="str">
        <f>IFERROR(__xludf.DUMMYFUNCTION("""COMPUTED_VALUE"""),"#N/A")</f>
        <v>#N/A</v>
      </c>
      <c r="B3429" s="451" t="str">
        <f>IFERROR(__xludf.DUMMYFUNCTION("""COMPUTED_VALUE"""),"#N/A")</f>
        <v>#N/A</v>
      </c>
    </row>
    <row r="3430">
      <c r="A3430" t="str">
        <f>IFERROR(__xludf.DUMMYFUNCTION("""COMPUTED_VALUE"""),"#N/A")</f>
        <v>#N/A</v>
      </c>
      <c r="B3430" s="451" t="str">
        <f>IFERROR(__xludf.DUMMYFUNCTION("""COMPUTED_VALUE"""),"#N/A")</f>
        <v>#N/A</v>
      </c>
    </row>
    <row r="3431">
      <c r="A3431" t="str">
        <f>IFERROR(__xludf.DUMMYFUNCTION("""COMPUTED_VALUE"""),"#N/A")</f>
        <v>#N/A</v>
      </c>
      <c r="B3431" s="451" t="str">
        <f>IFERROR(__xludf.DUMMYFUNCTION("""COMPUTED_VALUE"""),"#N/A")</f>
        <v>#N/A</v>
      </c>
    </row>
    <row r="3432">
      <c r="A3432" t="str">
        <f>IFERROR(__xludf.DUMMYFUNCTION("""COMPUTED_VALUE"""),"#N/A")</f>
        <v>#N/A</v>
      </c>
      <c r="B3432" s="451" t="str">
        <f>IFERROR(__xludf.DUMMYFUNCTION("""COMPUTED_VALUE"""),"#N/A")</f>
        <v>#N/A</v>
      </c>
    </row>
    <row r="3433">
      <c r="A3433" t="str">
        <f>IFERROR(__xludf.DUMMYFUNCTION("""COMPUTED_VALUE"""),"#N/A")</f>
        <v>#N/A</v>
      </c>
      <c r="B3433" s="451" t="str">
        <f>IFERROR(__xludf.DUMMYFUNCTION("""COMPUTED_VALUE"""),"#N/A")</f>
        <v>#N/A</v>
      </c>
    </row>
    <row r="3434">
      <c r="A3434" t="str">
        <f>IFERROR(__xludf.DUMMYFUNCTION("""COMPUTED_VALUE"""),"#N/A")</f>
        <v>#N/A</v>
      </c>
      <c r="B3434" s="451" t="str">
        <f>IFERROR(__xludf.DUMMYFUNCTION("""COMPUTED_VALUE"""),"#N/A")</f>
        <v>#N/A</v>
      </c>
    </row>
    <row r="3435">
      <c r="A3435" t="str">
        <f>IFERROR(__xludf.DUMMYFUNCTION("""COMPUTED_VALUE"""),"#N/A")</f>
        <v>#N/A</v>
      </c>
      <c r="B3435" s="451" t="str">
        <f>IFERROR(__xludf.DUMMYFUNCTION("""COMPUTED_VALUE"""),"#N/A")</f>
        <v>#N/A</v>
      </c>
    </row>
    <row r="3436">
      <c r="A3436" t="str">
        <f>IFERROR(__xludf.DUMMYFUNCTION("""COMPUTED_VALUE"""),"#N/A")</f>
        <v>#N/A</v>
      </c>
      <c r="B3436" s="451" t="str">
        <f>IFERROR(__xludf.DUMMYFUNCTION("""COMPUTED_VALUE"""),"#N/A")</f>
        <v>#N/A</v>
      </c>
    </row>
    <row r="3437">
      <c r="A3437" t="str">
        <f>IFERROR(__xludf.DUMMYFUNCTION("""COMPUTED_VALUE"""),"#N/A")</f>
        <v>#N/A</v>
      </c>
      <c r="B3437" s="451" t="str">
        <f>IFERROR(__xludf.DUMMYFUNCTION("""COMPUTED_VALUE"""),"#N/A")</f>
        <v>#N/A</v>
      </c>
    </row>
    <row r="3438">
      <c r="A3438" t="str">
        <f>IFERROR(__xludf.DUMMYFUNCTION("""COMPUTED_VALUE"""),"#N/A")</f>
        <v>#N/A</v>
      </c>
      <c r="B3438" s="451" t="str">
        <f>IFERROR(__xludf.DUMMYFUNCTION("""COMPUTED_VALUE"""),"#N/A")</f>
        <v>#N/A</v>
      </c>
    </row>
    <row r="3439">
      <c r="A3439" t="str">
        <f>IFERROR(__xludf.DUMMYFUNCTION("""COMPUTED_VALUE"""),"#N/A")</f>
        <v>#N/A</v>
      </c>
      <c r="B3439" s="451" t="str">
        <f>IFERROR(__xludf.DUMMYFUNCTION("""COMPUTED_VALUE"""),"#N/A")</f>
        <v>#N/A</v>
      </c>
    </row>
    <row r="3440">
      <c r="A3440" t="str">
        <f>IFERROR(__xludf.DUMMYFUNCTION("""COMPUTED_VALUE"""),"#N/A")</f>
        <v>#N/A</v>
      </c>
      <c r="B3440" s="451" t="str">
        <f>IFERROR(__xludf.DUMMYFUNCTION("""COMPUTED_VALUE"""),"#N/A")</f>
        <v>#N/A</v>
      </c>
    </row>
    <row r="3441">
      <c r="A3441" t="str">
        <f>IFERROR(__xludf.DUMMYFUNCTION("""COMPUTED_VALUE"""),"#N/A")</f>
        <v>#N/A</v>
      </c>
      <c r="B3441" s="451" t="str">
        <f>IFERROR(__xludf.DUMMYFUNCTION("""COMPUTED_VALUE"""),"#N/A")</f>
        <v>#N/A</v>
      </c>
    </row>
    <row r="3442">
      <c r="A3442" t="str">
        <f>IFERROR(__xludf.DUMMYFUNCTION("""COMPUTED_VALUE"""),"#N/A")</f>
        <v>#N/A</v>
      </c>
      <c r="B3442" s="451" t="str">
        <f>IFERROR(__xludf.DUMMYFUNCTION("""COMPUTED_VALUE"""),"#N/A")</f>
        <v>#N/A</v>
      </c>
    </row>
    <row r="3443">
      <c r="A3443" t="str">
        <f>IFERROR(__xludf.DUMMYFUNCTION("""COMPUTED_VALUE"""),"#N/A")</f>
        <v>#N/A</v>
      </c>
      <c r="B3443" s="451" t="str">
        <f>IFERROR(__xludf.DUMMYFUNCTION("""COMPUTED_VALUE"""),"#N/A")</f>
        <v>#N/A</v>
      </c>
    </row>
    <row r="3444">
      <c r="A3444" t="str">
        <f>IFERROR(__xludf.DUMMYFUNCTION("""COMPUTED_VALUE"""),"#N/A")</f>
        <v>#N/A</v>
      </c>
      <c r="B3444" s="451" t="str">
        <f>IFERROR(__xludf.DUMMYFUNCTION("""COMPUTED_VALUE"""),"#N/A")</f>
        <v>#N/A</v>
      </c>
    </row>
    <row r="3445">
      <c r="A3445" t="str">
        <f>IFERROR(__xludf.DUMMYFUNCTION("""COMPUTED_VALUE"""),"#N/A")</f>
        <v>#N/A</v>
      </c>
      <c r="B3445" s="451" t="str">
        <f>IFERROR(__xludf.DUMMYFUNCTION("""COMPUTED_VALUE"""),"#N/A")</f>
        <v>#N/A</v>
      </c>
    </row>
    <row r="3446">
      <c r="A3446" t="str">
        <f>IFERROR(__xludf.DUMMYFUNCTION("""COMPUTED_VALUE"""),"#N/A")</f>
        <v>#N/A</v>
      </c>
      <c r="B3446" s="451" t="str">
        <f>IFERROR(__xludf.DUMMYFUNCTION("""COMPUTED_VALUE"""),"#N/A")</f>
        <v>#N/A</v>
      </c>
    </row>
    <row r="3447">
      <c r="A3447" t="str">
        <f>IFERROR(__xludf.DUMMYFUNCTION("""COMPUTED_VALUE"""),"#N/A")</f>
        <v>#N/A</v>
      </c>
      <c r="B3447" s="451" t="str">
        <f>IFERROR(__xludf.DUMMYFUNCTION("""COMPUTED_VALUE"""),"#N/A")</f>
        <v>#N/A</v>
      </c>
    </row>
    <row r="3448">
      <c r="A3448" t="str">
        <f>IFERROR(__xludf.DUMMYFUNCTION("""COMPUTED_VALUE"""),"#N/A")</f>
        <v>#N/A</v>
      </c>
      <c r="B3448" s="451" t="str">
        <f>IFERROR(__xludf.DUMMYFUNCTION("""COMPUTED_VALUE"""),"#N/A")</f>
        <v>#N/A</v>
      </c>
    </row>
    <row r="3449">
      <c r="A3449" t="str">
        <f>IFERROR(__xludf.DUMMYFUNCTION("""COMPUTED_VALUE"""),"#N/A")</f>
        <v>#N/A</v>
      </c>
      <c r="B3449" s="451" t="str">
        <f>IFERROR(__xludf.DUMMYFUNCTION("""COMPUTED_VALUE"""),"#N/A")</f>
        <v>#N/A</v>
      </c>
    </row>
    <row r="3450">
      <c r="A3450" t="str">
        <f>IFERROR(__xludf.DUMMYFUNCTION("""COMPUTED_VALUE"""),"#N/A")</f>
        <v>#N/A</v>
      </c>
      <c r="B3450" s="451" t="str">
        <f>IFERROR(__xludf.DUMMYFUNCTION("""COMPUTED_VALUE"""),"#N/A")</f>
        <v>#N/A</v>
      </c>
    </row>
    <row r="3451">
      <c r="A3451" t="str">
        <f>IFERROR(__xludf.DUMMYFUNCTION("""COMPUTED_VALUE"""),"#N/A")</f>
        <v>#N/A</v>
      </c>
      <c r="B3451" s="451" t="str">
        <f>IFERROR(__xludf.DUMMYFUNCTION("""COMPUTED_VALUE"""),"#N/A")</f>
        <v>#N/A</v>
      </c>
    </row>
    <row r="3452">
      <c r="A3452" t="str">
        <f>IFERROR(__xludf.DUMMYFUNCTION("""COMPUTED_VALUE"""),"#N/A")</f>
        <v>#N/A</v>
      </c>
      <c r="B3452" s="451" t="str">
        <f>IFERROR(__xludf.DUMMYFUNCTION("""COMPUTED_VALUE"""),"#N/A")</f>
        <v>#N/A</v>
      </c>
    </row>
    <row r="3453">
      <c r="A3453" t="str">
        <f>IFERROR(__xludf.DUMMYFUNCTION("""COMPUTED_VALUE"""),"#N/A")</f>
        <v>#N/A</v>
      </c>
      <c r="B3453" s="451" t="str">
        <f>IFERROR(__xludf.DUMMYFUNCTION("""COMPUTED_VALUE"""),"#N/A")</f>
        <v>#N/A</v>
      </c>
    </row>
    <row r="3454">
      <c r="A3454" t="str">
        <f>IFERROR(__xludf.DUMMYFUNCTION("""COMPUTED_VALUE"""),"#N/A")</f>
        <v>#N/A</v>
      </c>
      <c r="B3454" s="451" t="str">
        <f>IFERROR(__xludf.DUMMYFUNCTION("""COMPUTED_VALUE"""),"#N/A")</f>
        <v>#N/A</v>
      </c>
    </row>
    <row r="3455">
      <c r="A3455" t="str">
        <f>IFERROR(__xludf.DUMMYFUNCTION("""COMPUTED_VALUE"""),"#N/A")</f>
        <v>#N/A</v>
      </c>
      <c r="B3455" s="451" t="str">
        <f>IFERROR(__xludf.DUMMYFUNCTION("""COMPUTED_VALUE"""),"#N/A")</f>
        <v>#N/A</v>
      </c>
    </row>
    <row r="3456">
      <c r="A3456" t="str">
        <f>IFERROR(__xludf.DUMMYFUNCTION("""COMPUTED_VALUE"""),"#N/A")</f>
        <v>#N/A</v>
      </c>
      <c r="B3456" s="451" t="str">
        <f>IFERROR(__xludf.DUMMYFUNCTION("""COMPUTED_VALUE"""),"#N/A")</f>
        <v>#N/A</v>
      </c>
    </row>
    <row r="3457">
      <c r="A3457" t="str">
        <f>IFERROR(__xludf.DUMMYFUNCTION("""COMPUTED_VALUE"""),"#N/A")</f>
        <v>#N/A</v>
      </c>
      <c r="B3457" s="451" t="str">
        <f>IFERROR(__xludf.DUMMYFUNCTION("""COMPUTED_VALUE"""),"#N/A")</f>
        <v>#N/A</v>
      </c>
    </row>
    <row r="3458">
      <c r="A3458" t="str">
        <f>IFERROR(__xludf.DUMMYFUNCTION("""COMPUTED_VALUE"""),"#N/A")</f>
        <v>#N/A</v>
      </c>
      <c r="B3458" s="451" t="str">
        <f>IFERROR(__xludf.DUMMYFUNCTION("""COMPUTED_VALUE"""),"#N/A")</f>
        <v>#N/A</v>
      </c>
    </row>
    <row r="3459">
      <c r="A3459" t="str">
        <f>IFERROR(__xludf.DUMMYFUNCTION("""COMPUTED_VALUE"""),"#N/A")</f>
        <v>#N/A</v>
      </c>
      <c r="B3459" s="451" t="str">
        <f>IFERROR(__xludf.DUMMYFUNCTION("""COMPUTED_VALUE"""),"#N/A")</f>
        <v>#N/A</v>
      </c>
    </row>
    <row r="3460">
      <c r="A3460" t="str">
        <f>IFERROR(__xludf.DUMMYFUNCTION("""COMPUTED_VALUE"""),"#N/A")</f>
        <v>#N/A</v>
      </c>
      <c r="B3460" s="451" t="str">
        <f>IFERROR(__xludf.DUMMYFUNCTION("""COMPUTED_VALUE"""),"#N/A")</f>
        <v>#N/A</v>
      </c>
    </row>
    <row r="3461">
      <c r="A3461" t="str">
        <f>IFERROR(__xludf.DUMMYFUNCTION("""COMPUTED_VALUE"""),"#N/A")</f>
        <v>#N/A</v>
      </c>
      <c r="B3461" s="451" t="str">
        <f>IFERROR(__xludf.DUMMYFUNCTION("""COMPUTED_VALUE"""),"#N/A")</f>
        <v>#N/A</v>
      </c>
    </row>
    <row r="3462">
      <c r="A3462" t="str">
        <f>IFERROR(__xludf.DUMMYFUNCTION("""COMPUTED_VALUE"""),"#N/A")</f>
        <v>#N/A</v>
      </c>
      <c r="B3462" s="451" t="str">
        <f>IFERROR(__xludf.DUMMYFUNCTION("""COMPUTED_VALUE"""),"#N/A")</f>
        <v>#N/A</v>
      </c>
    </row>
    <row r="3463">
      <c r="A3463" t="str">
        <f>IFERROR(__xludf.DUMMYFUNCTION("""COMPUTED_VALUE"""),"#N/A")</f>
        <v>#N/A</v>
      </c>
      <c r="B3463" s="451" t="str">
        <f>IFERROR(__xludf.DUMMYFUNCTION("""COMPUTED_VALUE"""),"#N/A")</f>
        <v>#N/A</v>
      </c>
    </row>
    <row r="3464">
      <c r="A3464" t="str">
        <f>IFERROR(__xludf.DUMMYFUNCTION("""COMPUTED_VALUE"""),"#N/A")</f>
        <v>#N/A</v>
      </c>
      <c r="B3464" s="451" t="str">
        <f>IFERROR(__xludf.DUMMYFUNCTION("""COMPUTED_VALUE"""),"#N/A")</f>
        <v>#N/A</v>
      </c>
    </row>
    <row r="3465">
      <c r="A3465" t="str">
        <f>IFERROR(__xludf.DUMMYFUNCTION("""COMPUTED_VALUE"""),"#N/A")</f>
        <v>#N/A</v>
      </c>
      <c r="B3465" s="451" t="str">
        <f>IFERROR(__xludf.DUMMYFUNCTION("""COMPUTED_VALUE"""),"#N/A")</f>
        <v>#N/A</v>
      </c>
    </row>
    <row r="3466">
      <c r="A3466" t="str">
        <f>IFERROR(__xludf.DUMMYFUNCTION("""COMPUTED_VALUE"""),"#N/A")</f>
        <v>#N/A</v>
      </c>
      <c r="B3466" s="451" t="str">
        <f>IFERROR(__xludf.DUMMYFUNCTION("""COMPUTED_VALUE"""),"#N/A")</f>
        <v>#N/A</v>
      </c>
    </row>
    <row r="3467">
      <c r="A3467" t="str">
        <f>IFERROR(__xludf.DUMMYFUNCTION("""COMPUTED_VALUE"""),"#N/A")</f>
        <v>#N/A</v>
      </c>
      <c r="B3467" s="451" t="str">
        <f>IFERROR(__xludf.DUMMYFUNCTION("""COMPUTED_VALUE"""),"#N/A")</f>
        <v>#N/A</v>
      </c>
    </row>
    <row r="3468">
      <c r="A3468" t="str">
        <f>IFERROR(__xludf.DUMMYFUNCTION("""COMPUTED_VALUE"""),"#N/A")</f>
        <v>#N/A</v>
      </c>
      <c r="B3468" s="451" t="str">
        <f>IFERROR(__xludf.DUMMYFUNCTION("""COMPUTED_VALUE"""),"#N/A")</f>
        <v>#N/A</v>
      </c>
    </row>
    <row r="3469">
      <c r="A3469" t="str">
        <f>IFERROR(__xludf.DUMMYFUNCTION("""COMPUTED_VALUE"""),"#N/A")</f>
        <v>#N/A</v>
      </c>
      <c r="B3469" s="451" t="str">
        <f>IFERROR(__xludf.DUMMYFUNCTION("""COMPUTED_VALUE"""),"#N/A")</f>
        <v>#N/A</v>
      </c>
    </row>
    <row r="3470">
      <c r="A3470" t="str">
        <f>IFERROR(__xludf.DUMMYFUNCTION("""COMPUTED_VALUE"""),"#N/A")</f>
        <v>#N/A</v>
      </c>
      <c r="B3470" s="451" t="str">
        <f>IFERROR(__xludf.DUMMYFUNCTION("""COMPUTED_VALUE"""),"#N/A")</f>
        <v>#N/A</v>
      </c>
    </row>
    <row r="3471">
      <c r="A3471" t="str">
        <f>IFERROR(__xludf.DUMMYFUNCTION("""COMPUTED_VALUE"""),"#N/A")</f>
        <v>#N/A</v>
      </c>
      <c r="B3471" s="451" t="str">
        <f>IFERROR(__xludf.DUMMYFUNCTION("""COMPUTED_VALUE"""),"#N/A")</f>
        <v>#N/A</v>
      </c>
    </row>
    <row r="3472">
      <c r="A3472" t="str">
        <f>IFERROR(__xludf.DUMMYFUNCTION("""COMPUTED_VALUE"""),"#N/A")</f>
        <v>#N/A</v>
      </c>
      <c r="B3472" s="451" t="str">
        <f>IFERROR(__xludf.DUMMYFUNCTION("""COMPUTED_VALUE"""),"#N/A")</f>
        <v>#N/A</v>
      </c>
    </row>
    <row r="3473">
      <c r="A3473" t="str">
        <f>IFERROR(__xludf.DUMMYFUNCTION("""COMPUTED_VALUE"""),"#N/A")</f>
        <v>#N/A</v>
      </c>
      <c r="B3473" s="451" t="str">
        <f>IFERROR(__xludf.DUMMYFUNCTION("""COMPUTED_VALUE"""),"#N/A")</f>
        <v>#N/A</v>
      </c>
    </row>
    <row r="3474">
      <c r="A3474" t="str">
        <f>IFERROR(__xludf.DUMMYFUNCTION("""COMPUTED_VALUE"""),"#N/A")</f>
        <v>#N/A</v>
      </c>
      <c r="B3474" s="451" t="str">
        <f>IFERROR(__xludf.DUMMYFUNCTION("""COMPUTED_VALUE"""),"#N/A")</f>
        <v>#N/A</v>
      </c>
    </row>
    <row r="3475">
      <c r="A3475" t="str">
        <f>IFERROR(__xludf.DUMMYFUNCTION("""COMPUTED_VALUE"""),"#N/A")</f>
        <v>#N/A</v>
      </c>
      <c r="B3475" s="451" t="str">
        <f>IFERROR(__xludf.DUMMYFUNCTION("""COMPUTED_VALUE"""),"#N/A")</f>
        <v>#N/A</v>
      </c>
    </row>
    <row r="3476">
      <c r="A3476" t="str">
        <f>IFERROR(__xludf.DUMMYFUNCTION("""COMPUTED_VALUE"""),"#N/A")</f>
        <v>#N/A</v>
      </c>
      <c r="B3476" s="451" t="str">
        <f>IFERROR(__xludf.DUMMYFUNCTION("""COMPUTED_VALUE"""),"#N/A")</f>
        <v>#N/A</v>
      </c>
    </row>
    <row r="3477">
      <c r="A3477" t="str">
        <f>IFERROR(__xludf.DUMMYFUNCTION("""COMPUTED_VALUE"""),"#N/A")</f>
        <v>#N/A</v>
      </c>
      <c r="B3477" s="451" t="str">
        <f>IFERROR(__xludf.DUMMYFUNCTION("""COMPUTED_VALUE"""),"#N/A")</f>
        <v>#N/A</v>
      </c>
    </row>
    <row r="3478">
      <c r="A3478" t="str">
        <f>IFERROR(__xludf.DUMMYFUNCTION("""COMPUTED_VALUE"""),"#N/A")</f>
        <v>#N/A</v>
      </c>
      <c r="B3478" s="451" t="str">
        <f>IFERROR(__xludf.DUMMYFUNCTION("""COMPUTED_VALUE"""),"#N/A")</f>
        <v>#N/A</v>
      </c>
    </row>
    <row r="3479">
      <c r="A3479" t="str">
        <f>IFERROR(__xludf.DUMMYFUNCTION("""COMPUTED_VALUE"""),"#N/A")</f>
        <v>#N/A</v>
      </c>
      <c r="B3479" s="451" t="str">
        <f>IFERROR(__xludf.DUMMYFUNCTION("""COMPUTED_VALUE"""),"#N/A")</f>
        <v>#N/A</v>
      </c>
    </row>
    <row r="3480">
      <c r="A3480" t="str">
        <f>IFERROR(__xludf.DUMMYFUNCTION("""COMPUTED_VALUE"""),"#N/A")</f>
        <v>#N/A</v>
      </c>
      <c r="B3480" s="451" t="str">
        <f>IFERROR(__xludf.DUMMYFUNCTION("""COMPUTED_VALUE"""),"#N/A")</f>
        <v>#N/A</v>
      </c>
    </row>
    <row r="3481">
      <c r="A3481" t="str">
        <f>IFERROR(__xludf.DUMMYFUNCTION("""COMPUTED_VALUE"""),"#N/A")</f>
        <v>#N/A</v>
      </c>
      <c r="B3481" s="451" t="str">
        <f>IFERROR(__xludf.DUMMYFUNCTION("""COMPUTED_VALUE"""),"#N/A")</f>
        <v>#N/A</v>
      </c>
    </row>
    <row r="3482">
      <c r="A3482" t="str">
        <f>IFERROR(__xludf.DUMMYFUNCTION("""COMPUTED_VALUE"""),"#N/A")</f>
        <v>#N/A</v>
      </c>
      <c r="B3482" s="451" t="str">
        <f>IFERROR(__xludf.DUMMYFUNCTION("""COMPUTED_VALUE"""),"#N/A")</f>
        <v>#N/A</v>
      </c>
    </row>
    <row r="3483">
      <c r="A3483" t="str">
        <f>IFERROR(__xludf.DUMMYFUNCTION("""COMPUTED_VALUE"""),"#N/A")</f>
        <v>#N/A</v>
      </c>
      <c r="B3483" s="451" t="str">
        <f>IFERROR(__xludf.DUMMYFUNCTION("""COMPUTED_VALUE"""),"#N/A")</f>
        <v>#N/A</v>
      </c>
    </row>
    <row r="3484">
      <c r="A3484" t="str">
        <f>IFERROR(__xludf.DUMMYFUNCTION("""COMPUTED_VALUE"""),"#N/A")</f>
        <v>#N/A</v>
      </c>
      <c r="B3484" s="451" t="str">
        <f>IFERROR(__xludf.DUMMYFUNCTION("""COMPUTED_VALUE"""),"#N/A")</f>
        <v>#N/A</v>
      </c>
    </row>
    <row r="3485">
      <c r="A3485" t="str">
        <f>IFERROR(__xludf.DUMMYFUNCTION("""COMPUTED_VALUE"""),"#N/A")</f>
        <v>#N/A</v>
      </c>
      <c r="B3485" s="451" t="str">
        <f>IFERROR(__xludf.DUMMYFUNCTION("""COMPUTED_VALUE"""),"#N/A")</f>
        <v>#N/A</v>
      </c>
    </row>
    <row r="3486">
      <c r="A3486" t="str">
        <f>IFERROR(__xludf.DUMMYFUNCTION("""COMPUTED_VALUE"""),"#N/A")</f>
        <v>#N/A</v>
      </c>
      <c r="B3486" s="451" t="str">
        <f>IFERROR(__xludf.DUMMYFUNCTION("""COMPUTED_VALUE"""),"#N/A")</f>
        <v>#N/A</v>
      </c>
    </row>
    <row r="3487">
      <c r="A3487" t="str">
        <f>IFERROR(__xludf.DUMMYFUNCTION("""COMPUTED_VALUE"""),"#N/A")</f>
        <v>#N/A</v>
      </c>
      <c r="B3487" s="451" t="str">
        <f>IFERROR(__xludf.DUMMYFUNCTION("""COMPUTED_VALUE"""),"#N/A")</f>
        <v>#N/A</v>
      </c>
    </row>
    <row r="3488">
      <c r="A3488" t="str">
        <f>IFERROR(__xludf.DUMMYFUNCTION("""COMPUTED_VALUE"""),"#N/A")</f>
        <v>#N/A</v>
      </c>
      <c r="B3488" s="451" t="str">
        <f>IFERROR(__xludf.DUMMYFUNCTION("""COMPUTED_VALUE"""),"#N/A")</f>
        <v>#N/A</v>
      </c>
    </row>
    <row r="3489">
      <c r="A3489" t="str">
        <f>IFERROR(__xludf.DUMMYFUNCTION("""COMPUTED_VALUE"""),"#N/A")</f>
        <v>#N/A</v>
      </c>
      <c r="B3489" s="451" t="str">
        <f>IFERROR(__xludf.DUMMYFUNCTION("""COMPUTED_VALUE"""),"#N/A")</f>
        <v>#N/A</v>
      </c>
    </row>
    <row r="3490">
      <c r="A3490" t="str">
        <f>IFERROR(__xludf.DUMMYFUNCTION("""COMPUTED_VALUE"""),"#N/A")</f>
        <v>#N/A</v>
      </c>
      <c r="B3490" s="451" t="str">
        <f>IFERROR(__xludf.DUMMYFUNCTION("""COMPUTED_VALUE"""),"#N/A")</f>
        <v>#N/A</v>
      </c>
    </row>
    <row r="3491">
      <c r="A3491" t="str">
        <f>IFERROR(__xludf.DUMMYFUNCTION("""COMPUTED_VALUE"""),"#N/A")</f>
        <v>#N/A</v>
      </c>
      <c r="B3491" s="451" t="str">
        <f>IFERROR(__xludf.DUMMYFUNCTION("""COMPUTED_VALUE"""),"#N/A")</f>
        <v>#N/A</v>
      </c>
    </row>
    <row r="3492">
      <c r="A3492" t="str">
        <f>IFERROR(__xludf.DUMMYFUNCTION("""COMPUTED_VALUE"""),"#N/A")</f>
        <v>#N/A</v>
      </c>
      <c r="B3492" s="451" t="str">
        <f>IFERROR(__xludf.DUMMYFUNCTION("""COMPUTED_VALUE"""),"#N/A")</f>
        <v>#N/A</v>
      </c>
    </row>
    <row r="3493">
      <c r="A3493" t="str">
        <f>IFERROR(__xludf.DUMMYFUNCTION("""COMPUTED_VALUE"""),"#N/A")</f>
        <v>#N/A</v>
      </c>
      <c r="B3493" s="451" t="str">
        <f>IFERROR(__xludf.DUMMYFUNCTION("""COMPUTED_VALUE"""),"#N/A")</f>
        <v>#N/A</v>
      </c>
    </row>
    <row r="3494">
      <c r="A3494" t="str">
        <f>IFERROR(__xludf.DUMMYFUNCTION("""COMPUTED_VALUE"""),"#N/A")</f>
        <v>#N/A</v>
      </c>
      <c r="B3494" s="451" t="str">
        <f>IFERROR(__xludf.DUMMYFUNCTION("""COMPUTED_VALUE"""),"#N/A")</f>
        <v>#N/A</v>
      </c>
    </row>
    <row r="3495">
      <c r="A3495" t="str">
        <f>IFERROR(__xludf.DUMMYFUNCTION("""COMPUTED_VALUE"""),"#N/A")</f>
        <v>#N/A</v>
      </c>
      <c r="B3495" s="451" t="str">
        <f>IFERROR(__xludf.DUMMYFUNCTION("""COMPUTED_VALUE"""),"#N/A")</f>
        <v>#N/A</v>
      </c>
    </row>
    <row r="3496">
      <c r="A3496" t="str">
        <f>IFERROR(__xludf.DUMMYFUNCTION("""COMPUTED_VALUE"""),"#N/A")</f>
        <v>#N/A</v>
      </c>
      <c r="B3496" s="451" t="str">
        <f>IFERROR(__xludf.DUMMYFUNCTION("""COMPUTED_VALUE"""),"#N/A")</f>
        <v>#N/A</v>
      </c>
    </row>
    <row r="3497">
      <c r="A3497" t="str">
        <f>IFERROR(__xludf.DUMMYFUNCTION("""COMPUTED_VALUE"""),"#N/A")</f>
        <v>#N/A</v>
      </c>
      <c r="B3497" s="451" t="str">
        <f>IFERROR(__xludf.DUMMYFUNCTION("""COMPUTED_VALUE"""),"#N/A")</f>
        <v>#N/A</v>
      </c>
    </row>
    <row r="3498">
      <c r="A3498" t="str">
        <f>IFERROR(__xludf.DUMMYFUNCTION("""COMPUTED_VALUE"""),"#N/A")</f>
        <v>#N/A</v>
      </c>
      <c r="B3498" s="451" t="str">
        <f>IFERROR(__xludf.DUMMYFUNCTION("""COMPUTED_VALUE"""),"#N/A")</f>
        <v>#N/A</v>
      </c>
    </row>
    <row r="3499">
      <c r="A3499" t="str">
        <f>IFERROR(__xludf.DUMMYFUNCTION("""COMPUTED_VALUE"""),"#N/A")</f>
        <v>#N/A</v>
      </c>
      <c r="B3499" s="451" t="str">
        <f>IFERROR(__xludf.DUMMYFUNCTION("""COMPUTED_VALUE"""),"#N/A")</f>
        <v>#N/A</v>
      </c>
    </row>
    <row r="3500">
      <c r="A3500" t="str">
        <f>IFERROR(__xludf.DUMMYFUNCTION("""COMPUTED_VALUE"""),"#N/A")</f>
        <v>#N/A</v>
      </c>
      <c r="B3500" s="451" t="str">
        <f>IFERROR(__xludf.DUMMYFUNCTION("""COMPUTED_VALUE"""),"#N/A")</f>
        <v>#N/A</v>
      </c>
    </row>
    <row r="3501">
      <c r="A3501" t="str">
        <f>IFERROR(__xludf.DUMMYFUNCTION("""COMPUTED_VALUE"""),"#N/A")</f>
        <v>#N/A</v>
      </c>
      <c r="B3501" s="451" t="str">
        <f>IFERROR(__xludf.DUMMYFUNCTION("""COMPUTED_VALUE"""),"#N/A")</f>
        <v>#N/A</v>
      </c>
    </row>
    <row r="3502">
      <c r="A3502" t="str">
        <f>IFERROR(__xludf.DUMMYFUNCTION("""COMPUTED_VALUE"""),"#N/A")</f>
        <v>#N/A</v>
      </c>
      <c r="B3502" s="451" t="str">
        <f>IFERROR(__xludf.DUMMYFUNCTION("""COMPUTED_VALUE"""),"#N/A")</f>
        <v>#N/A</v>
      </c>
    </row>
    <row r="3503">
      <c r="A3503" t="str">
        <f>IFERROR(__xludf.DUMMYFUNCTION("""COMPUTED_VALUE"""),"#N/A")</f>
        <v>#N/A</v>
      </c>
      <c r="B3503" s="451" t="str">
        <f>IFERROR(__xludf.DUMMYFUNCTION("""COMPUTED_VALUE"""),"#N/A")</f>
        <v>#N/A</v>
      </c>
    </row>
    <row r="3504">
      <c r="A3504" t="str">
        <f>IFERROR(__xludf.DUMMYFUNCTION("""COMPUTED_VALUE"""),"#N/A")</f>
        <v>#N/A</v>
      </c>
      <c r="B3504" s="451" t="str">
        <f>IFERROR(__xludf.DUMMYFUNCTION("""COMPUTED_VALUE"""),"#N/A")</f>
        <v>#N/A</v>
      </c>
    </row>
    <row r="3505">
      <c r="A3505" t="str">
        <f>IFERROR(__xludf.DUMMYFUNCTION("""COMPUTED_VALUE"""),"#N/A")</f>
        <v>#N/A</v>
      </c>
      <c r="B3505" s="451" t="str">
        <f>IFERROR(__xludf.DUMMYFUNCTION("""COMPUTED_VALUE"""),"#N/A")</f>
        <v>#N/A</v>
      </c>
    </row>
    <row r="3506">
      <c r="A3506" t="str">
        <f>IFERROR(__xludf.DUMMYFUNCTION("""COMPUTED_VALUE"""),"#N/A")</f>
        <v>#N/A</v>
      </c>
      <c r="B3506" s="451" t="str">
        <f>IFERROR(__xludf.DUMMYFUNCTION("""COMPUTED_VALUE"""),"#N/A")</f>
        <v>#N/A</v>
      </c>
    </row>
    <row r="3507">
      <c r="A3507" t="str">
        <f>IFERROR(__xludf.DUMMYFUNCTION("""COMPUTED_VALUE"""),"#N/A")</f>
        <v>#N/A</v>
      </c>
      <c r="B3507" s="451" t="str">
        <f>IFERROR(__xludf.DUMMYFUNCTION("""COMPUTED_VALUE"""),"#N/A")</f>
        <v>#N/A</v>
      </c>
    </row>
    <row r="3508">
      <c r="A3508" t="str">
        <f>IFERROR(__xludf.DUMMYFUNCTION("""COMPUTED_VALUE"""),"#N/A")</f>
        <v>#N/A</v>
      </c>
      <c r="B3508" s="451" t="str">
        <f>IFERROR(__xludf.DUMMYFUNCTION("""COMPUTED_VALUE"""),"#N/A")</f>
        <v>#N/A</v>
      </c>
    </row>
    <row r="3509">
      <c r="A3509" t="str">
        <f>IFERROR(__xludf.DUMMYFUNCTION("""COMPUTED_VALUE"""),"#N/A")</f>
        <v>#N/A</v>
      </c>
      <c r="B3509" s="451" t="str">
        <f>IFERROR(__xludf.DUMMYFUNCTION("""COMPUTED_VALUE"""),"#N/A")</f>
        <v>#N/A</v>
      </c>
    </row>
    <row r="3510">
      <c r="A3510" t="str">
        <f>IFERROR(__xludf.DUMMYFUNCTION("""COMPUTED_VALUE"""),"#N/A")</f>
        <v>#N/A</v>
      </c>
      <c r="B3510" s="451" t="str">
        <f>IFERROR(__xludf.DUMMYFUNCTION("""COMPUTED_VALUE"""),"#N/A")</f>
        <v>#N/A</v>
      </c>
    </row>
    <row r="3511">
      <c r="A3511" t="str">
        <f>IFERROR(__xludf.DUMMYFUNCTION("""COMPUTED_VALUE"""),"#N/A")</f>
        <v>#N/A</v>
      </c>
      <c r="B3511" s="451" t="str">
        <f>IFERROR(__xludf.DUMMYFUNCTION("""COMPUTED_VALUE"""),"#N/A")</f>
        <v>#N/A</v>
      </c>
    </row>
    <row r="3512">
      <c r="A3512" t="str">
        <f>IFERROR(__xludf.DUMMYFUNCTION("""COMPUTED_VALUE"""),"#N/A")</f>
        <v>#N/A</v>
      </c>
      <c r="B3512" s="451" t="str">
        <f>IFERROR(__xludf.DUMMYFUNCTION("""COMPUTED_VALUE"""),"#N/A")</f>
        <v>#N/A</v>
      </c>
    </row>
    <row r="3513">
      <c r="A3513" t="str">
        <f>IFERROR(__xludf.DUMMYFUNCTION("""COMPUTED_VALUE"""),"#N/A")</f>
        <v>#N/A</v>
      </c>
      <c r="B3513" s="451" t="str">
        <f>IFERROR(__xludf.DUMMYFUNCTION("""COMPUTED_VALUE"""),"#N/A")</f>
        <v>#N/A</v>
      </c>
    </row>
    <row r="3514">
      <c r="A3514" t="str">
        <f>IFERROR(__xludf.DUMMYFUNCTION("""COMPUTED_VALUE"""),"#N/A")</f>
        <v>#N/A</v>
      </c>
      <c r="B3514" s="451" t="str">
        <f>IFERROR(__xludf.DUMMYFUNCTION("""COMPUTED_VALUE"""),"#N/A")</f>
        <v>#N/A</v>
      </c>
    </row>
    <row r="3515">
      <c r="A3515" t="str">
        <f>IFERROR(__xludf.DUMMYFUNCTION("""COMPUTED_VALUE"""),"#N/A")</f>
        <v>#N/A</v>
      </c>
      <c r="B3515" s="451" t="str">
        <f>IFERROR(__xludf.DUMMYFUNCTION("""COMPUTED_VALUE"""),"#N/A")</f>
        <v>#N/A</v>
      </c>
    </row>
    <row r="3516">
      <c r="A3516" t="str">
        <f>IFERROR(__xludf.DUMMYFUNCTION("""COMPUTED_VALUE"""),"#N/A")</f>
        <v>#N/A</v>
      </c>
      <c r="B3516" s="451" t="str">
        <f>IFERROR(__xludf.DUMMYFUNCTION("""COMPUTED_VALUE"""),"#N/A")</f>
        <v>#N/A</v>
      </c>
    </row>
    <row r="3517">
      <c r="A3517" t="str">
        <f>IFERROR(__xludf.DUMMYFUNCTION("""COMPUTED_VALUE"""),"#N/A")</f>
        <v>#N/A</v>
      </c>
      <c r="B3517" s="451" t="str">
        <f>IFERROR(__xludf.DUMMYFUNCTION("""COMPUTED_VALUE"""),"#N/A")</f>
        <v>#N/A</v>
      </c>
    </row>
    <row r="3518">
      <c r="A3518" t="str">
        <f>IFERROR(__xludf.DUMMYFUNCTION("""COMPUTED_VALUE"""),"#N/A")</f>
        <v>#N/A</v>
      </c>
      <c r="B3518" s="451" t="str">
        <f>IFERROR(__xludf.DUMMYFUNCTION("""COMPUTED_VALUE"""),"#N/A")</f>
        <v>#N/A</v>
      </c>
    </row>
    <row r="3519">
      <c r="A3519" t="str">
        <f>IFERROR(__xludf.DUMMYFUNCTION("""COMPUTED_VALUE"""),"#N/A")</f>
        <v>#N/A</v>
      </c>
      <c r="B3519" s="451" t="str">
        <f>IFERROR(__xludf.DUMMYFUNCTION("""COMPUTED_VALUE"""),"#N/A")</f>
        <v>#N/A</v>
      </c>
    </row>
    <row r="3520">
      <c r="A3520" t="str">
        <f>IFERROR(__xludf.DUMMYFUNCTION("""COMPUTED_VALUE"""),"#N/A")</f>
        <v>#N/A</v>
      </c>
      <c r="B3520" s="451" t="str">
        <f>IFERROR(__xludf.DUMMYFUNCTION("""COMPUTED_VALUE"""),"#N/A")</f>
        <v>#N/A</v>
      </c>
    </row>
    <row r="3521">
      <c r="A3521" t="str">
        <f>IFERROR(__xludf.DUMMYFUNCTION("""COMPUTED_VALUE"""),"#N/A")</f>
        <v>#N/A</v>
      </c>
      <c r="B3521" s="451" t="str">
        <f>IFERROR(__xludf.DUMMYFUNCTION("""COMPUTED_VALUE"""),"#N/A")</f>
        <v>#N/A</v>
      </c>
    </row>
    <row r="3522">
      <c r="A3522" t="str">
        <f>IFERROR(__xludf.DUMMYFUNCTION("""COMPUTED_VALUE"""),"#N/A")</f>
        <v>#N/A</v>
      </c>
      <c r="B3522" s="451" t="str">
        <f>IFERROR(__xludf.DUMMYFUNCTION("""COMPUTED_VALUE"""),"#N/A")</f>
        <v>#N/A</v>
      </c>
    </row>
    <row r="3523">
      <c r="A3523" t="str">
        <f>IFERROR(__xludf.DUMMYFUNCTION("""COMPUTED_VALUE"""),"#N/A")</f>
        <v>#N/A</v>
      </c>
      <c r="B3523" s="451" t="str">
        <f>IFERROR(__xludf.DUMMYFUNCTION("""COMPUTED_VALUE"""),"#N/A")</f>
        <v>#N/A</v>
      </c>
    </row>
    <row r="3524">
      <c r="A3524" t="str">
        <f>IFERROR(__xludf.DUMMYFUNCTION("""COMPUTED_VALUE"""),"#N/A")</f>
        <v>#N/A</v>
      </c>
      <c r="B3524" s="451" t="str">
        <f>IFERROR(__xludf.DUMMYFUNCTION("""COMPUTED_VALUE"""),"#N/A")</f>
        <v>#N/A</v>
      </c>
    </row>
    <row r="3525">
      <c r="A3525" t="str">
        <f>IFERROR(__xludf.DUMMYFUNCTION("""COMPUTED_VALUE"""),"#N/A")</f>
        <v>#N/A</v>
      </c>
      <c r="B3525" s="451" t="str">
        <f>IFERROR(__xludf.DUMMYFUNCTION("""COMPUTED_VALUE"""),"#N/A")</f>
        <v>#N/A</v>
      </c>
    </row>
    <row r="3526">
      <c r="A3526" t="str">
        <f>IFERROR(__xludf.DUMMYFUNCTION("""COMPUTED_VALUE"""),"#N/A")</f>
        <v>#N/A</v>
      </c>
      <c r="B3526" s="451" t="str">
        <f>IFERROR(__xludf.DUMMYFUNCTION("""COMPUTED_VALUE"""),"#N/A")</f>
        <v>#N/A</v>
      </c>
    </row>
    <row r="3527">
      <c r="A3527" t="str">
        <f>IFERROR(__xludf.DUMMYFUNCTION("""COMPUTED_VALUE"""),"#N/A")</f>
        <v>#N/A</v>
      </c>
      <c r="B3527" s="451" t="str">
        <f>IFERROR(__xludf.DUMMYFUNCTION("""COMPUTED_VALUE"""),"#N/A")</f>
        <v>#N/A</v>
      </c>
    </row>
    <row r="3528">
      <c r="A3528" t="str">
        <f>IFERROR(__xludf.DUMMYFUNCTION("""COMPUTED_VALUE"""),"#N/A")</f>
        <v>#N/A</v>
      </c>
      <c r="B3528" s="451" t="str">
        <f>IFERROR(__xludf.DUMMYFUNCTION("""COMPUTED_VALUE"""),"#N/A")</f>
        <v>#N/A</v>
      </c>
    </row>
    <row r="3529">
      <c r="A3529" t="str">
        <f>IFERROR(__xludf.DUMMYFUNCTION("""COMPUTED_VALUE"""),"#N/A")</f>
        <v>#N/A</v>
      </c>
      <c r="B3529" s="451" t="str">
        <f>IFERROR(__xludf.DUMMYFUNCTION("""COMPUTED_VALUE"""),"#N/A")</f>
        <v>#N/A</v>
      </c>
    </row>
    <row r="3530">
      <c r="A3530" t="str">
        <f>IFERROR(__xludf.DUMMYFUNCTION("""COMPUTED_VALUE"""),"#N/A")</f>
        <v>#N/A</v>
      </c>
      <c r="B3530" s="451" t="str">
        <f>IFERROR(__xludf.DUMMYFUNCTION("""COMPUTED_VALUE"""),"#N/A")</f>
        <v>#N/A</v>
      </c>
    </row>
    <row r="3531">
      <c r="A3531" t="str">
        <f>IFERROR(__xludf.DUMMYFUNCTION("""COMPUTED_VALUE"""),"#N/A")</f>
        <v>#N/A</v>
      </c>
      <c r="B3531" s="451" t="str">
        <f>IFERROR(__xludf.DUMMYFUNCTION("""COMPUTED_VALUE"""),"#N/A")</f>
        <v>#N/A</v>
      </c>
    </row>
    <row r="3532">
      <c r="A3532" t="str">
        <f>IFERROR(__xludf.DUMMYFUNCTION("""COMPUTED_VALUE"""),"#N/A")</f>
        <v>#N/A</v>
      </c>
      <c r="B3532" s="451" t="str">
        <f>IFERROR(__xludf.DUMMYFUNCTION("""COMPUTED_VALUE"""),"#N/A")</f>
        <v>#N/A</v>
      </c>
    </row>
    <row r="3533">
      <c r="A3533" t="str">
        <f>IFERROR(__xludf.DUMMYFUNCTION("""COMPUTED_VALUE"""),"#N/A")</f>
        <v>#N/A</v>
      </c>
      <c r="B3533" s="451" t="str">
        <f>IFERROR(__xludf.DUMMYFUNCTION("""COMPUTED_VALUE"""),"#N/A")</f>
        <v>#N/A</v>
      </c>
    </row>
    <row r="3534">
      <c r="A3534" t="str">
        <f>IFERROR(__xludf.DUMMYFUNCTION("""COMPUTED_VALUE"""),"#N/A")</f>
        <v>#N/A</v>
      </c>
      <c r="B3534" s="451" t="str">
        <f>IFERROR(__xludf.DUMMYFUNCTION("""COMPUTED_VALUE"""),"#N/A")</f>
        <v>#N/A</v>
      </c>
    </row>
    <row r="3535">
      <c r="A3535" t="str">
        <f>IFERROR(__xludf.DUMMYFUNCTION("""COMPUTED_VALUE"""),"#N/A")</f>
        <v>#N/A</v>
      </c>
      <c r="B3535" s="451" t="str">
        <f>IFERROR(__xludf.DUMMYFUNCTION("""COMPUTED_VALUE"""),"#N/A")</f>
        <v>#N/A</v>
      </c>
    </row>
    <row r="3536">
      <c r="A3536" t="str">
        <f>IFERROR(__xludf.DUMMYFUNCTION("""COMPUTED_VALUE"""),"#N/A")</f>
        <v>#N/A</v>
      </c>
      <c r="B3536" s="451" t="str">
        <f>IFERROR(__xludf.DUMMYFUNCTION("""COMPUTED_VALUE"""),"#N/A")</f>
        <v>#N/A</v>
      </c>
    </row>
    <row r="3537">
      <c r="A3537" t="str">
        <f>IFERROR(__xludf.DUMMYFUNCTION("""COMPUTED_VALUE"""),"#N/A")</f>
        <v>#N/A</v>
      </c>
      <c r="B3537" s="451" t="str">
        <f>IFERROR(__xludf.DUMMYFUNCTION("""COMPUTED_VALUE"""),"#N/A")</f>
        <v>#N/A</v>
      </c>
    </row>
    <row r="3538">
      <c r="A3538" t="str">
        <f>IFERROR(__xludf.DUMMYFUNCTION("""COMPUTED_VALUE"""),"#N/A")</f>
        <v>#N/A</v>
      </c>
      <c r="B3538" s="451" t="str">
        <f>IFERROR(__xludf.DUMMYFUNCTION("""COMPUTED_VALUE"""),"#N/A")</f>
        <v>#N/A</v>
      </c>
    </row>
    <row r="3539">
      <c r="A3539" t="str">
        <f>IFERROR(__xludf.DUMMYFUNCTION("""COMPUTED_VALUE"""),"#N/A")</f>
        <v>#N/A</v>
      </c>
      <c r="B3539" s="451" t="str">
        <f>IFERROR(__xludf.DUMMYFUNCTION("""COMPUTED_VALUE"""),"#N/A")</f>
        <v>#N/A</v>
      </c>
    </row>
    <row r="3540">
      <c r="A3540" t="str">
        <f>IFERROR(__xludf.DUMMYFUNCTION("""COMPUTED_VALUE"""),"#N/A")</f>
        <v>#N/A</v>
      </c>
      <c r="B3540" s="451" t="str">
        <f>IFERROR(__xludf.DUMMYFUNCTION("""COMPUTED_VALUE"""),"#N/A")</f>
        <v>#N/A</v>
      </c>
    </row>
    <row r="3541">
      <c r="A3541" t="str">
        <f>IFERROR(__xludf.DUMMYFUNCTION("""COMPUTED_VALUE"""),"#N/A")</f>
        <v>#N/A</v>
      </c>
      <c r="B3541" s="451" t="str">
        <f>IFERROR(__xludf.DUMMYFUNCTION("""COMPUTED_VALUE"""),"#N/A")</f>
        <v>#N/A</v>
      </c>
    </row>
    <row r="3542">
      <c r="A3542" t="str">
        <f>IFERROR(__xludf.DUMMYFUNCTION("""COMPUTED_VALUE"""),"#N/A")</f>
        <v>#N/A</v>
      </c>
      <c r="B3542" s="451" t="str">
        <f>IFERROR(__xludf.DUMMYFUNCTION("""COMPUTED_VALUE"""),"#N/A")</f>
        <v>#N/A</v>
      </c>
    </row>
    <row r="3543">
      <c r="A3543" t="str">
        <f>IFERROR(__xludf.DUMMYFUNCTION("""COMPUTED_VALUE"""),"#N/A")</f>
        <v>#N/A</v>
      </c>
      <c r="B3543" s="451" t="str">
        <f>IFERROR(__xludf.DUMMYFUNCTION("""COMPUTED_VALUE"""),"#N/A")</f>
        <v>#N/A</v>
      </c>
    </row>
    <row r="3544">
      <c r="A3544" t="str">
        <f>IFERROR(__xludf.DUMMYFUNCTION("""COMPUTED_VALUE"""),"#N/A")</f>
        <v>#N/A</v>
      </c>
      <c r="B3544" s="451" t="str">
        <f>IFERROR(__xludf.DUMMYFUNCTION("""COMPUTED_VALUE"""),"#N/A")</f>
        <v>#N/A</v>
      </c>
    </row>
    <row r="3545">
      <c r="A3545" t="str">
        <f>IFERROR(__xludf.DUMMYFUNCTION("""COMPUTED_VALUE"""),"#N/A")</f>
        <v>#N/A</v>
      </c>
      <c r="B3545" s="451" t="str">
        <f>IFERROR(__xludf.DUMMYFUNCTION("""COMPUTED_VALUE"""),"#N/A")</f>
        <v>#N/A</v>
      </c>
    </row>
    <row r="3546">
      <c r="A3546" t="str">
        <f>IFERROR(__xludf.DUMMYFUNCTION("""COMPUTED_VALUE"""),"#N/A")</f>
        <v>#N/A</v>
      </c>
      <c r="B3546" s="451" t="str">
        <f>IFERROR(__xludf.DUMMYFUNCTION("""COMPUTED_VALUE"""),"#N/A")</f>
        <v>#N/A</v>
      </c>
    </row>
    <row r="3547">
      <c r="A3547" t="str">
        <f>IFERROR(__xludf.DUMMYFUNCTION("""COMPUTED_VALUE"""),"#N/A")</f>
        <v>#N/A</v>
      </c>
      <c r="B3547" s="451" t="str">
        <f>IFERROR(__xludf.DUMMYFUNCTION("""COMPUTED_VALUE"""),"#N/A")</f>
        <v>#N/A</v>
      </c>
    </row>
    <row r="3548">
      <c r="A3548" t="str">
        <f>IFERROR(__xludf.DUMMYFUNCTION("""COMPUTED_VALUE"""),"#N/A")</f>
        <v>#N/A</v>
      </c>
      <c r="B3548" s="451" t="str">
        <f>IFERROR(__xludf.DUMMYFUNCTION("""COMPUTED_VALUE"""),"#N/A")</f>
        <v>#N/A</v>
      </c>
    </row>
    <row r="3549">
      <c r="A3549" t="str">
        <f>IFERROR(__xludf.DUMMYFUNCTION("""COMPUTED_VALUE"""),"#N/A")</f>
        <v>#N/A</v>
      </c>
      <c r="B3549" s="451" t="str">
        <f>IFERROR(__xludf.DUMMYFUNCTION("""COMPUTED_VALUE"""),"#N/A")</f>
        <v>#N/A</v>
      </c>
    </row>
    <row r="3550">
      <c r="A3550" t="str">
        <f>IFERROR(__xludf.DUMMYFUNCTION("""COMPUTED_VALUE"""),"#N/A")</f>
        <v>#N/A</v>
      </c>
      <c r="B3550" s="451" t="str">
        <f>IFERROR(__xludf.DUMMYFUNCTION("""COMPUTED_VALUE"""),"#N/A")</f>
        <v>#N/A</v>
      </c>
    </row>
    <row r="3551">
      <c r="A3551" t="str">
        <f>IFERROR(__xludf.DUMMYFUNCTION("""COMPUTED_VALUE"""),"#N/A")</f>
        <v>#N/A</v>
      </c>
      <c r="B3551" s="451" t="str">
        <f>IFERROR(__xludf.DUMMYFUNCTION("""COMPUTED_VALUE"""),"#N/A")</f>
        <v>#N/A</v>
      </c>
    </row>
    <row r="3552">
      <c r="A3552" t="str">
        <f>IFERROR(__xludf.DUMMYFUNCTION("""COMPUTED_VALUE"""),"#N/A")</f>
        <v>#N/A</v>
      </c>
      <c r="B3552" s="451" t="str">
        <f>IFERROR(__xludf.DUMMYFUNCTION("""COMPUTED_VALUE"""),"#N/A")</f>
        <v>#N/A</v>
      </c>
    </row>
    <row r="3553">
      <c r="A3553" t="str">
        <f>IFERROR(__xludf.DUMMYFUNCTION("""COMPUTED_VALUE"""),"#N/A")</f>
        <v>#N/A</v>
      </c>
      <c r="B3553" s="451" t="str">
        <f>IFERROR(__xludf.DUMMYFUNCTION("""COMPUTED_VALUE"""),"#N/A")</f>
        <v>#N/A</v>
      </c>
    </row>
    <row r="3554">
      <c r="A3554" t="str">
        <f>IFERROR(__xludf.DUMMYFUNCTION("""COMPUTED_VALUE"""),"#N/A")</f>
        <v>#N/A</v>
      </c>
      <c r="B3554" s="451" t="str">
        <f>IFERROR(__xludf.DUMMYFUNCTION("""COMPUTED_VALUE"""),"#N/A")</f>
        <v>#N/A</v>
      </c>
    </row>
    <row r="3555">
      <c r="A3555" t="str">
        <f>IFERROR(__xludf.DUMMYFUNCTION("""COMPUTED_VALUE"""),"#N/A")</f>
        <v>#N/A</v>
      </c>
      <c r="B3555" s="451" t="str">
        <f>IFERROR(__xludf.DUMMYFUNCTION("""COMPUTED_VALUE"""),"#N/A")</f>
        <v>#N/A</v>
      </c>
    </row>
    <row r="3556">
      <c r="A3556" t="str">
        <f>IFERROR(__xludf.DUMMYFUNCTION("""COMPUTED_VALUE"""),"#N/A")</f>
        <v>#N/A</v>
      </c>
      <c r="B3556" s="451" t="str">
        <f>IFERROR(__xludf.DUMMYFUNCTION("""COMPUTED_VALUE"""),"#N/A")</f>
        <v>#N/A</v>
      </c>
    </row>
    <row r="3557">
      <c r="A3557" t="str">
        <f>IFERROR(__xludf.DUMMYFUNCTION("""COMPUTED_VALUE"""),"#N/A")</f>
        <v>#N/A</v>
      </c>
      <c r="B3557" s="451" t="str">
        <f>IFERROR(__xludf.DUMMYFUNCTION("""COMPUTED_VALUE"""),"#N/A")</f>
        <v>#N/A</v>
      </c>
    </row>
    <row r="3558">
      <c r="A3558" t="str">
        <f>IFERROR(__xludf.DUMMYFUNCTION("""COMPUTED_VALUE"""),"#N/A")</f>
        <v>#N/A</v>
      </c>
      <c r="B3558" s="451" t="str">
        <f>IFERROR(__xludf.DUMMYFUNCTION("""COMPUTED_VALUE"""),"#N/A")</f>
        <v>#N/A</v>
      </c>
    </row>
    <row r="3559">
      <c r="A3559" t="str">
        <f>IFERROR(__xludf.DUMMYFUNCTION("""COMPUTED_VALUE"""),"#N/A")</f>
        <v>#N/A</v>
      </c>
      <c r="B3559" s="451" t="str">
        <f>IFERROR(__xludf.DUMMYFUNCTION("""COMPUTED_VALUE"""),"#N/A")</f>
        <v>#N/A</v>
      </c>
    </row>
    <row r="3560">
      <c r="A3560" t="str">
        <f>IFERROR(__xludf.DUMMYFUNCTION("""COMPUTED_VALUE"""),"#N/A")</f>
        <v>#N/A</v>
      </c>
      <c r="B3560" s="451" t="str">
        <f>IFERROR(__xludf.DUMMYFUNCTION("""COMPUTED_VALUE"""),"#N/A")</f>
        <v>#N/A</v>
      </c>
    </row>
    <row r="3561">
      <c r="A3561" t="str">
        <f>IFERROR(__xludf.DUMMYFUNCTION("""COMPUTED_VALUE"""),"#N/A")</f>
        <v>#N/A</v>
      </c>
      <c r="B3561" s="451" t="str">
        <f>IFERROR(__xludf.DUMMYFUNCTION("""COMPUTED_VALUE"""),"#N/A")</f>
        <v>#N/A</v>
      </c>
    </row>
    <row r="3562">
      <c r="A3562" t="str">
        <f>IFERROR(__xludf.DUMMYFUNCTION("""COMPUTED_VALUE"""),"#N/A")</f>
        <v>#N/A</v>
      </c>
      <c r="B3562" s="451" t="str">
        <f>IFERROR(__xludf.DUMMYFUNCTION("""COMPUTED_VALUE"""),"#N/A")</f>
        <v>#N/A</v>
      </c>
    </row>
    <row r="3563">
      <c r="A3563" t="str">
        <f>IFERROR(__xludf.DUMMYFUNCTION("""COMPUTED_VALUE"""),"#N/A")</f>
        <v>#N/A</v>
      </c>
      <c r="B3563" s="451" t="str">
        <f>IFERROR(__xludf.DUMMYFUNCTION("""COMPUTED_VALUE"""),"#N/A")</f>
        <v>#N/A</v>
      </c>
    </row>
    <row r="3564">
      <c r="A3564" t="str">
        <f>IFERROR(__xludf.DUMMYFUNCTION("""COMPUTED_VALUE"""),"#N/A")</f>
        <v>#N/A</v>
      </c>
      <c r="B3564" s="451" t="str">
        <f>IFERROR(__xludf.DUMMYFUNCTION("""COMPUTED_VALUE"""),"#N/A")</f>
        <v>#N/A</v>
      </c>
    </row>
    <row r="3565">
      <c r="A3565" t="str">
        <f>IFERROR(__xludf.DUMMYFUNCTION("""COMPUTED_VALUE"""),"#N/A")</f>
        <v>#N/A</v>
      </c>
      <c r="B3565" s="451" t="str">
        <f>IFERROR(__xludf.DUMMYFUNCTION("""COMPUTED_VALUE"""),"#N/A")</f>
        <v>#N/A</v>
      </c>
    </row>
    <row r="3566">
      <c r="A3566" t="str">
        <f>IFERROR(__xludf.DUMMYFUNCTION("""COMPUTED_VALUE"""),"#N/A")</f>
        <v>#N/A</v>
      </c>
      <c r="B3566" s="451" t="str">
        <f>IFERROR(__xludf.DUMMYFUNCTION("""COMPUTED_VALUE"""),"#N/A")</f>
        <v>#N/A</v>
      </c>
    </row>
    <row r="3567">
      <c r="A3567" t="str">
        <f>IFERROR(__xludf.DUMMYFUNCTION("""COMPUTED_VALUE"""),"#N/A")</f>
        <v>#N/A</v>
      </c>
      <c r="B3567" s="451" t="str">
        <f>IFERROR(__xludf.DUMMYFUNCTION("""COMPUTED_VALUE"""),"#N/A")</f>
        <v>#N/A</v>
      </c>
    </row>
    <row r="3568">
      <c r="A3568" t="str">
        <f>IFERROR(__xludf.DUMMYFUNCTION("""COMPUTED_VALUE"""),"#N/A")</f>
        <v>#N/A</v>
      </c>
      <c r="B3568" s="451" t="str">
        <f>IFERROR(__xludf.DUMMYFUNCTION("""COMPUTED_VALUE"""),"#N/A")</f>
        <v>#N/A</v>
      </c>
    </row>
    <row r="3569">
      <c r="A3569" t="str">
        <f>IFERROR(__xludf.DUMMYFUNCTION("""COMPUTED_VALUE"""),"#N/A")</f>
        <v>#N/A</v>
      </c>
      <c r="B3569" s="451" t="str">
        <f>IFERROR(__xludf.DUMMYFUNCTION("""COMPUTED_VALUE"""),"#N/A")</f>
        <v>#N/A</v>
      </c>
    </row>
    <row r="3570">
      <c r="A3570" t="str">
        <f>IFERROR(__xludf.DUMMYFUNCTION("""COMPUTED_VALUE"""),"#N/A")</f>
        <v>#N/A</v>
      </c>
      <c r="B3570" s="451" t="str">
        <f>IFERROR(__xludf.DUMMYFUNCTION("""COMPUTED_VALUE"""),"#N/A")</f>
        <v>#N/A</v>
      </c>
    </row>
    <row r="3571">
      <c r="A3571" t="str">
        <f>IFERROR(__xludf.DUMMYFUNCTION("""COMPUTED_VALUE"""),"#N/A")</f>
        <v>#N/A</v>
      </c>
      <c r="B3571" s="451" t="str">
        <f>IFERROR(__xludf.DUMMYFUNCTION("""COMPUTED_VALUE"""),"#N/A")</f>
        <v>#N/A</v>
      </c>
    </row>
    <row r="3572">
      <c r="A3572" t="str">
        <f>IFERROR(__xludf.DUMMYFUNCTION("""COMPUTED_VALUE"""),"")</f>
        <v/>
      </c>
      <c r="B3572" s="451" t="str">
        <f>IFERROR(__xludf.DUMMYFUNCTION("""COMPUTED_VALUE"""),"")</f>
        <v/>
      </c>
    </row>
    <row r="3573">
      <c r="A3573" t="str">
        <f>IFERROR(__xludf.DUMMYFUNCTION("""COMPUTED_VALUE"""),"")</f>
        <v/>
      </c>
      <c r="B3573" s="451" t="str">
        <f>IFERROR(__xludf.DUMMYFUNCTION("""COMPUTED_VALUE"""),"")</f>
        <v/>
      </c>
    </row>
    <row r="3574">
      <c r="A3574" t="str">
        <f>IFERROR(__xludf.DUMMYFUNCTION("""COMPUTED_VALUE"""),"")</f>
        <v/>
      </c>
      <c r="B3574" s="451" t="str">
        <f>IFERROR(__xludf.DUMMYFUNCTION("""COMPUTED_VALUE"""),"")</f>
        <v/>
      </c>
    </row>
    <row r="3575">
      <c r="A3575" t="str">
        <f>IFERROR(__xludf.DUMMYFUNCTION("""COMPUTED_VALUE"""),"")</f>
        <v/>
      </c>
      <c r="B3575" s="451" t="str">
        <f>IFERROR(__xludf.DUMMYFUNCTION("""COMPUTED_VALUE"""),"")</f>
        <v/>
      </c>
    </row>
    <row r="3576">
      <c r="A3576" t="str">
        <f>IFERROR(__xludf.DUMMYFUNCTION("""COMPUTED_VALUE"""),"")</f>
        <v/>
      </c>
      <c r="B3576" s="451" t="str">
        <f>IFERROR(__xludf.DUMMYFUNCTION("""COMPUTED_VALUE"""),"")</f>
        <v/>
      </c>
    </row>
    <row r="3577">
      <c r="A3577" t="str">
        <f>IFERROR(__xludf.DUMMYFUNCTION("""COMPUTED_VALUE"""),"")</f>
        <v/>
      </c>
      <c r="B3577" s="451" t="str">
        <f>IFERROR(__xludf.DUMMYFUNCTION("""COMPUTED_VALUE"""),"")</f>
        <v/>
      </c>
    </row>
    <row r="3578">
      <c r="A3578" t="str">
        <f>IFERROR(__xludf.DUMMYFUNCTION("""COMPUTED_VALUE"""),"")</f>
        <v/>
      </c>
      <c r="B3578" s="451" t="str">
        <f>IFERROR(__xludf.DUMMYFUNCTION("""COMPUTED_VALUE"""),"")</f>
        <v/>
      </c>
    </row>
    <row r="3579">
      <c r="A3579" t="str">
        <f>IFERROR(__xludf.DUMMYFUNCTION("""COMPUTED_VALUE"""),"")</f>
        <v/>
      </c>
      <c r="B3579" s="451" t="str">
        <f>IFERROR(__xludf.DUMMYFUNCTION("""COMPUTED_VALUE"""),"")</f>
        <v/>
      </c>
    </row>
    <row r="3580">
      <c r="A3580" t="str">
        <f>IFERROR(__xludf.DUMMYFUNCTION("""COMPUTED_VALUE"""),"")</f>
        <v/>
      </c>
      <c r="B3580" s="451" t="str">
        <f>IFERROR(__xludf.DUMMYFUNCTION("""COMPUTED_VALUE"""),"")</f>
        <v/>
      </c>
    </row>
    <row r="3581">
      <c r="A3581" t="str">
        <f>IFERROR(__xludf.DUMMYFUNCTION("""COMPUTED_VALUE"""),"")</f>
        <v/>
      </c>
      <c r="B3581" s="451" t="str">
        <f>IFERROR(__xludf.DUMMYFUNCTION("""COMPUTED_VALUE"""),"")</f>
        <v/>
      </c>
    </row>
    <row r="3582">
      <c r="A3582" t="str">
        <f>IFERROR(__xludf.DUMMYFUNCTION("""COMPUTED_VALUE"""),"")</f>
        <v/>
      </c>
      <c r="B3582" s="451" t="str">
        <f>IFERROR(__xludf.DUMMYFUNCTION("""COMPUTED_VALUE"""),"")</f>
        <v/>
      </c>
    </row>
    <row r="3583">
      <c r="A3583" t="str">
        <f>IFERROR(__xludf.DUMMYFUNCTION("""COMPUTED_VALUE"""),"")</f>
        <v/>
      </c>
      <c r="B3583" s="451" t="str">
        <f>IFERROR(__xludf.DUMMYFUNCTION("""COMPUTED_VALUE"""),"")</f>
        <v/>
      </c>
    </row>
    <row r="3584">
      <c r="A3584" t="str">
        <f>IFERROR(__xludf.DUMMYFUNCTION("""COMPUTED_VALUE"""),"")</f>
        <v/>
      </c>
      <c r="B3584" s="451" t="str">
        <f>IFERROR(__xludf.DUMMYFUNCTION("""COMPUTED_VALUE"""),"")</f>
        <v/>
      </c>
    </row>
    <row r="3585">
      <c r="A3585" t="str">
        <f>IFERROR(__xludf.DUMMYFUNCTION("""COMPUTED_VALUE"""),"")</f>
        <v/>
      </c>
      <c r="B3585" s="451" t="str">
        <f>IFERROR(__xludf.DUMMYFUNCTION("""COMPUTED_VALUE"""),"")</f>
        <v/>
      </c>
    </row>
    <row r="3586">
      <c r="A3586" t="str">
        <f>IFERROR(__xludf.DUMMYFUNCTION("""COMPUTED_VALUE"""),"")</f>
        <v/>
      </c>
      <c r="B3586" s="451" t="str">
        <f>IFERROR(__xludf.DUMMYFUNCTION("""COMPUTED_VALUE"""),"")</f>
        <v/>
      </c>
    </row>
    <row r="3587">
      <c r="A3587" t="str">
        <f>IFERROR(__xludf.DUMMYFUNCTION("""COMPUTED_VALUE"""),"")</f>
        <v/>
      </c>
      <c r="B3587" s="451" t="str">
        <f>IFERROR(__xludf.DUMMYFUNCTION("""COMPUTED_VALUE"""),"")</f>
        <v/>
      </c>
    </row>
    <row r="3588">
      <c r="A3588" t="str">
        <f>IFERROR(__xludf.DUMMYFUNCTION("""COMPUTED_VALUE"""),"")</f>
        <v/>
      </c>
      <c r="B3588" s="451" t="str">
        <f>IFERROR(__xludf.DUMMYFUNCTION("""COMPUTED_VALUE"""),"")</f>
        <v/>
      </c>
    </row>
    <row r="3589">
      <c r="A3589" t="str">
        <f>IFERROR(__xludf.DUMMYFUNCTION("""COMPUTED_VALUE"""),"")</f>
        <v/>
      </c>
      <c r="B3589" s="451" t="str">
        <f>IFERROR(__xludf.DUMMYFUNCTION("""COMPUTED_VALUE"""),"")</f>
        <v/>
      </c>
    </row>
    <row r="3590">
      <c r="A3590" t="str">
        <f>IFERROR(__xludf.DUMMYFUNCTION("""COMPUTED_VALUE"""),"")</f>
        <v/>
      </c>
      <c r="B3590" s="451" t="str">
        <f>IFERROR(__xludf.DUMMYFUNCTION("""COMPUTED_VALUE"""),"")</f>
        <v/>
      </c>
    </row>
    <row r="3591">
      <c r="A3591" t="str">
        <f>IFERROR(__xludf.DUMMYFUNCTION("""COMPUTED_VALUE"""),"")</f>
        <v/>
      </c>
      <c r="B3591" s="451" t="str">
        <f>IFERROR(__xludf.DUMMYFUNCTION("""COMPUTED_VALUE"""),"")</f>
        <v/>
      </c>
    </row>
    <row r="3592">
      <c r="A3592" t="str">
        <f>IFERROR(__xludf.DUMMYFUNCTION("""COMPUTED_VALUE"""),"")</f>
        <v/>
      </c>
      <c r="B3592" s="451" t="str">
        <f>IFERROR(__xludf.DUMMYFUNCTION("""COMPUTED_VALUE"""),"")</f>
        <v/>
      </c>
    </row>
    <row r="3593">
      <c r="A3593" t="str">
        <f>IFERROR(__xludf.DUMMYFUNCTION("""COMPUTED_VALUE"""),"")</f>
        <v/>
      </c>
      <c r="B3593" s="451" t="str">
        <f>IFERROR(__xludf.DUMMYFUNCTION("""COMPUTED_VALUE"""),"")</f>
        <v/>
      </c>
    </row>
    <row r="3594">
      <c r="A3594" t="str">
        <f>IFERROR(__xludf.DUMMYFUNCTION("""COMPUTED_VALUE"""),"")</f>
        <v/>
      </c>
      <c r="B3594" s="451" t="str">
        <f>IFERROR(__xludf.DUMMYFUNCTION("""COMPUTED_VALUE"""),"")</f>
        <v/>
      </c>
    </row>
    <row r="3595">
      <c r="A3595" t="str">
        <f>IFERROR(__xludf.DUMMYFUNCTION("""COMPUTED_VALUE"""),"")</f>
        <v/>
      </c>
      <c r="B3595" s="451" t="str">
        <f>IFERROR(__xludf.DUMMYFUNCTION("""COMPUTED_VALUE"""),"")</f>
        <v/>
      </c>
    </row>
    <row r="3596">
      <c r="A3596" t="str">
        <f>IFERROR(__xludf.DUMMYFUNCTION("""COMPUTED_VALUE"""),"")</f>
        <v/>
      </c>
      <c r="B3596" s="451" t="str">
        <f>IFERROR(__xludf.DUMMYFUNCTION("""COMPUTED_VALUE"""),"")</f>
        <v/>
      </c>
    </row>
    <row r="3597">
      <c r="A3597" t="str">
        <f>IFERROR(__xludf.DUMMYFUNCTION("""COMPUTED_VALUE"""),"")</f>
        <v/>
      </c>
      <c r="B3597" s="451" t="str">
        <f>IFERROR(__xludf.DUMMYFUNCTION("""COMPUTED_VALUE"""),"")</f>
        <v/>
      </c>
    </row>
    <row r="3598">
      <c r="A3598" t="str">
        <f>IFERROR(__xludf.DUMMYFUNCTION("""COMPUTED_VALUE"""),"")</f>
        <v/>
      </c>
      <c r="B3598" s="451" t="str">
        <f>IFERROR(__xludf.DUMMYFUNCTION("""COMPUTED_VALUE"""),"")</f>
        <v/>
      </c>
    </row>
    <row r="3599">
      <c r="A3599" t="str">
        <f>IFERROR(__xludf.DUMMYFUNCTION("""COMPUTED_VALUE"""),"")</f>
        <v/>
      </c>
      <c r="B3599" s="451" t="str">
        <f>IFERROR(__xludf.DUMMYFUNCTION("""COMPUTED_VALUE"""),"")</f>
        <v/>
      </c>
    </row>
    <row r="3600">
      <c r="A3600" t="str">
        <f>IFERROR(__xludf.DUMMYFUNCTION("""COMPUTED_VALUE"""),"")</f>
        <v/>
      </c>
      <c r="B3600" s="451" t="str">
        <f>IFERROR(__xludf.DUMMYFUNCTION("""COMPUTED_VALUE"""),"")</f>
        <v/>
      </c>
    </row>
    <row r="3601">
      <c r="A3601" t="str">
        <f>IFERROR(__xludf.DUMMYFUNCTION("""COMPUTED_VALUE"""),"")</f>
        <v/>
      </c>
      <c r="B3601" s="451" t="str">
        <f>IFERROR(__xludf.DUMMYFUNCTION("""COMPUTED_VALUE"""),"")</f>
        <v/>
      </c>
    </row>
    <row r="3602">
      <c r="A3602" t="str">
        <f>IFERROR(__xludf.DUMMYFUNCTION("""COMPUTED_VALUE"""),"")</f>
        <v/>
      </c>
      <c r="B3602" s="451" t="str">
        <f>IFERROR(__xludf.DUMMYFUNCTION("""COMPUTED_VALUE"""),"")</f>
        <v/>
      </c>
    </row>
    <row r="3603">
      <c r="A3603" t="str">
        <f>IFERROR(__xludf.DUMMYFUNCTION("""COMPUTED_VALUE"""),"")</f>
        <v/>
      </c>
      <c r="B3603" s="451" t="str">
        <f>IFERROR(__xludf.DUMMYFUNCTION("""COMPUTED_VALUE"""),"")</f>
        <v/>
      </c>
    </row>
    <row r="3604">
      <c r="A3604" t="str">
        <f>IFERROR(__xludf.DUMMYFUNCTION("""COMPUTED_VALUE"""),"")</f>
        <v/>
      </c>
      <c r="B3604" s="451" t="str">
        <f>IFERROR(__xludf.DUMMYFUNCTION("""COMPUTED_VALUE"""),"")</f>
        <v/>
      </c>
    </row>
    <row r="3605">
      <c r="A3605" t="str">
        <f>IFERROR(__xludf.DUMMYFUNCTION("""COMPUTED_VALUE"""),"")</f>
        <v/>
      </c>
      <c r="B3605" s="451" t="str">
        <f>IFERROR(__xludf.DUMMYFUNCTION("""COMPUTED_VALUE"""),"")</f>
        <v/>
      </c>
    </row>
    <row r="3606">
      <c r="A3606" t="str">
        <f>IFERROR(__xludf.DUMMYFUNCTION("""COMPUTED_VALUE"""),"")</f>
        <v/>
      </c>
      <c r="B3606" s="451" t="str">
        <f>IFERROR(__xludf.DUMMYFUNCTION("""COMPUTED_VALUE"""),"")</f>
        <v/>
      </c>
    </row>
    <row r="3607">
      <c r="A3607" t="str">
        <f>IFERROR(__xludf.DUMMYFUNCTION("""COMPUTED_VALUE"""),"")</f>
        <v/>
      </c>
      <c r="B3607" s="451" t="str">
        <f>IFERROR(__xludf.DUMMYFUNCTION("""COMPUTED_VALUE"""),"")</f>
        <v/>
      </c>
    </row>
    <row r="3608">
      <c r="A3608" t="str">
        <f>IFERROR(__xludf.DUMMYFUNCTION("""COMPUTED_VALUE"""),"")</f>
        <v/>
      </c>
      <c r="B3608" s="451" t="str">
        <f>IFERROR(__xludf.DUMMYFUNCTION("""COMPUTED_VALUE"""),"")</f>
        <v/>
      </c>
    </row>
    <row r="3609">
      <c r="A3609" t="str">
        <f>IFERROR(__xludf.DUMMYFUNCTION("""COMPUTED_VALUE"""),"")</f>
        <v/>
      </c>
      <c r="B3609" s="451" t="str">
        <f>IFERROR(__xludf.DUMMYFUNCTION("""COMPUTED_VALUE"""),"")</f>
        <v/>
      </c>
    </row>
    <row r="3610">
      <c r="A3610" t="str">
        <f>IFERROR(__xludf.DUMMYFUNCTION("""COMPUTED_VALUE"""),"")</f>
        <v/>
      </c>
      <c r="B3610" s="451" t="str">
        <f>IFERROR(__xludf.DUMMYFUNCTION("""COMPUTED_VALUE"""),"")</f>
        <v/>
      </c>
    </row>
    <row r="3611">
      <c r="A3611" t="str">
        <f>IFERROR(__xludf.DUMMYFUNCTION("""COMPUTED_VALUE"""),"")</f>
        <v/>
      </c>
      <c r="B3611" s="451" t="str">
        <f>IFERROR(__xludf.DUMMYFUNCTION("""COMPUTED_VALUE"""),"")</f>
        <v/>
      </c>
    </row>
    <row r="3612">
      <c r="A3612" t="str">
        <f>IFERROR(__xludf.DUMMYFUNCTION("""COMPUTED_VALUE"""),"")</f>
        <v/>
      </c>
      <c r="B3612" s="451" t="str">
        <f>IFERROR(__xludf.DUMMYFUNCTION("""COMPUTED_VALUE"""),"")</f>
        <v/>
      </c>
    </row>
    <row r="3613">
      <c r="A3613" t="str">
        <f>IFERROR(__xludf.DUMMYFUNCTION("""COMPUTED_VALUE"""),"")</f>
        <v/>
      </c>
      <c r="B3613" s="451" t="str">
        <f>IFERROR(__xludf.DUMMYFUNCTION("""COMPUTED_VALUE"""),"")</f>
        <v/>
      </c>
    </row>
    <row r="3614">
      <c r="A3614" t="str">
        <f>IFERROR(__xludf.DUMMYFUNCTION("""COMPUTED_VALUE"""),"")</f>
        <v/>
      </c>
      <c r="B3614" s="451" t="str">
        <f>IFERROR(__xludf.DUMMYFUNCTION("""COMPUTED_VALUE"""),"")</f>
        <v/>
      </c>
    </row>
    <row r="3615">
      <c r="A3615" t="str">
        <f>IFERROR(__xludf.DUMMYFUNCTION("""COMPUTED_VALUE"""),"")</f>
        <v/>
      </c>
      <c r="B3615" s="451" t="str">
        <f>IFERROR(__xludf.DUMMYFUNCTION("""COMPUTED_VALUE"""),"")</f>
        <v/>
      </c>
    </row>
    <row r="3616">
      <c r="A3616" t="str">
        <f>IFERROR(__xludf.DUMMYFUNCTION("""COMPUTED_VALUE"""),"")</f>
        <v/>
      </c>
      <c r="B3616" s="451" t="str">
        <f>IFERROR(__xludf.DUMMYFUNCTION("""COMPUTED_VALUE"""),"")</f>
        <v/>
      </c>
    </row>
    <row r="3617">
      <c r="A3617" t="str">
        <f>IFERROR(__xludf.DUMMYFUNCTION("""COMPUTED_VALUE"""),"")</f>
        <v/>
      </c>
      <c r="B3617" s="451" t="str">
        <f>IFERROR(__xludf.DUMMYFUNCTION("""COMPUTED_VALUE"""),"")</f>
        <v/>
      </c>
    </row>
    <row r="3618">
      <c r="A3618" t="str">
        <f>IFERROR(__xludf.DUMMYFUNCTION("""COMPUTED_VALUE"""),"")</f>
        <v/>
      </c>
      <c r="B3618" s="451" t="str">
        <f>IFERROR(__xludf.DUMMYFUNCTION("""COMPUTED_VALUE"""),"")</f>
        <v/>
      </c>
    </row>
    <row r="3619">
      <c r="A3619" t="str">
        <f>IFERROR(__xludf.DUMMYFUNCTION("""COMPUTED_VALUE"""),"")</f>
        <v/>
      </c>
      <c r="B3619" s="451" t="str">
        <f>IFERROR(__xludf.DUMMYFUNCTION("""COMPUTED_VALUE"""),"")</f>
        <v/>
      </c>
    </row>
    <row r="3620">
      <c r="A3620" t="str">
        <f>IFERROR(__xludf.DUMMYFUNCTION("""COMPUTED_VALUE"""),"")</f>
        <v/>
      </c>
      <c r="B3620" s="451" t="str">
        <f>IFERROR(__xludf.DUMMYFUNCTION("""COMPUTED_VALUE"""),"")</f>
        <v/>
      </c>
    </row>
    <row r="3621">
      <c r="A3621" t="str">
        <f>IFERROR(__xludf.DUMMYFUNCTION("""COMPUTED_VALUE"""),"")</f>
        <v/>
      </c>
      <c r="B3621" s="451" t="str">
        <f>IFERROR(__xludf.DUMMYFUNCTION("""COMPUTED_VALUE"""),"")</f>
        <v/>
      </c>
    </row>
    <row r="3622">
      <c r="A3622" t="str">
        <f>IFERROR(__xludf.DUMMYFUNCTION("""COMPUTED_VALUE"""),"")</f>
        <v/>
      </c>
      <c r="B3622" s="451" t="str">
        <f>IFERROR(__xludf.DUMMYFUNCTION("""COMPUTED_VALUE"""),"")</f>
        <v/>
      </c>
    </row>
    <row r="3623">
      <c r="A3623" t="str">
        <f>IFERROR(__xludf.DUMMYFUNCTION("""COMPUTED_VALUE"""),"")</f>
        <v/>
      </c>
      <c r="B3623" s="451" t="str">
        <f>IFERROR(__xludf.DUMMYFUNCTION("""COMPUTED_VALUE"""),"")</f>
        <v/>
      </c>
    </row>
    <row r="3624">
      <c r="A3624" t="str">
        <f>IFERROR(__xludf.DUMMYFUNCTION("""COMPUTED_VALUE"""),"")</f>
        <v/>
      </c>
      <c r="B3624" s="451" t="str">
        <f>IFERROR(__xludf.DUMMYFUNCTION("""COMPUTED_VALUE"""),"")</f>
        <v/>
      </c>
    </row>
    <row r="3625">
      <c r="A3625" t="str">
        <f>IFERROR(__xludf.DUMMYFUNCTION("""COMPUTED_VALUE"""),"")</f>
        <v/>
      </c>
      <c r="B3625" s="451" t="str">
        <f>IFERROR(__xludf.DUMMYFUNCTION("""COMPUTED_VALUE"""),"")</f>
        <v/>
      </c>
    </row>
    <row r="3626">
      <c r="A3626" t="str">
        <f>IFERROR(__xludf.DUMMYFUNCTION("""COMPUTED_VALUE"""),"")</f>
        <v/>
      </c>
      <c r="B3626" s="451" t="str">
        <f>IFERROR(__xludf.DUMMYFUNCTION("""COMPUTED_VALUE"""),"")</f>
        <v/>
      </c>
    </row>
    <row r="3627">
      <c r="A3627" t="str">
        <f>IFERROR(__xludf.DUMMYFUNCTION("""COMPUTED_VALUE"""),"")</f>
        <v/>
      </c>
      <c r="B3627" s="451" t="str">
        <f>IFERROR(__xludf.DUMMYFUNCTION("""COMPUTED_VALUE"""),"")</f>
        <v/>
      </c>
    </row>
    <row r="3628">
      <c r="A3628" t="str">
        <f>IFERROR(__xludf.DUMMYFUNCTION("""COMPUTED_VALUE"""),"")</f>
        <v/>
      </c>
      <c r="B3628" s="451" t="str">
        <f>IFERROR(__xludf.DUMMYFUNCTION("""COMPUTED_VALUE"""),"")</f>
        <v/>
      </c>
    </row>
    <row r="3629">
      <c r="A3629" t="str">
        <f>IFERROR(__xludf.DUMMYFUNCTION("""COMPUTED_VALUE"""),"")</f>
        <v/>
      </c>
      <c r="B3629" s="451" t="str">
        <f>IFERROR(__xludf.DUMMYFUNCTION("""COMPUTED_VALUE"""),"")</f>
        <v/>
      </c>
    </row>
    <row r="3630">
      <c r="A3630" t="str">
        <f>IFERROR(__xludf.DUMMYFUNCTION("""COMPUTED_VALUE"""),"")</f>
        <v/>
      </c>
      <c r="B3630" s="451" t="str">
        <f>IFERROR(__xludf.DUMMYFUNCTION("""COMPUTED_VALUE"""),"")</f>
        <v/>
      </c>
    </row>
    <row r="3631">
      <c r="A3631" t="str">
        <f>IFERROR(__xludf.DUMMYFUNCTION("""COMPUTED_VALUE"""),"")</f>
        <v/>
      </c>
      <c r="B3631" s="451" t="str">
        <f>IFERROR(__xludf.DUMMYFUNCTION("""COMPUTED_VALUE"""),"")</f>
        <v/>
      </c>
    </row>
    <row r="3632">
      <c r="A3632" t="str">
        <f>IFERROR(__xludf.DUMMYFUNCTION("""COMPUTED_VALUE"""),"")</f>
        <v/>
      </c>
      <c r="B3632" s="451" t="str">
        <f>IFERROR(__xludf.DUMMYFUNCTION("""COMPUTED_VALUE"""),"")</f>
        <v/>
      </c>
    </row>
    <row r="3633">
      <c r="A3633" t="str">
        <f>IFERROR(__xludf.DUMMYFUNCTION("""COMPUTED_VALUE"""),"")</f>
        <v/>
      </c>
      <c r="B3633" s="451" t="str">
        <f>IFERROR(__xludf.DUMMYFUNCTION("""COMPUTED_VALUE"""),"")</f>
        <v/>
      </c>
    </row>
    <row r="3634">
      <c r="A3634" t="str">
        <f>IFERROR(__xludf.DUMMYFUNCTION("""COMPUTED_VALUE"""),"")</f>
        <v/>
      </c>
      <c r="B3634" s="451" t="str">
        <f>IFERROR(__xludf.DUMMYFUNCTION("""COMPUTED_VALUE"""),"")</f>
        <v/>
      </c>
    </row>
    <row r="3635">
      <c r="A3635" t="str">
        <f>IFERROR(__xludf.DUMMYFUNCTION("""COMPUTED_VALUE"""),"")</f>
        <v/>
      </c>
      <c r="B3635" s="451" t="str">
        <f>IFERROR(__xludf.DUMMYFUNCTION("""COMPUTED_VALUE"""),"")</f>
        <v/>
      </c>
    </row>
    <row r="3636">
      <c r="A3636" t="str">
        <f>IFERROR(__xludf.DUMMYFUNCTION("""COMPUTED_VALUE"""),"")</f>
        <v/>
      </c>
      <c r="B3636" s="451" t="str">
        <f>IFERROR(__xludf.DUMMYFUNCTION("""COMPUTED_VALUE"""),"")</f>
        <v/>
      </c>
    </row>
    <row r="3637">
      <c r="A3637" t="str">
        <f>IFERROR(__xludf.DUMMYFUNCTION("""COMPUTED_VALUE"""),"")</f>
        <v/>
      </c>
      <c r="B3637" s="451" t="str">
        <f>IFERROR(__xludf.DUMMYFUNCTION("""COMPUTED_VALUE"""),"")</f>
        <v/>
      </c>
    </row>
    <row r="3638">
      <c r="A3638" t="str">
        <f>IFERROR(__xludf.DUMMYFUNCTION("""COMPUTED_VALUE"""),"")</f>
        <v/>
      </c>
      <c r="B3638" s="451" t="str">
        <f>IFERROR(__xludf.DUMMYFUNCTION("""COMPUTED_VALUE"""),"")</f>
        <v/>
      </c>
    </row>
    <row r="3639">
      <c r="A3639" t="str">
        <f>IFERROR(__xludf.DUMMYFUNCTION("""COMPUTED_VALUE"""),"")</f>
        <v/>
      </c>
      <c r="B3639" s="451" t="str">
        <f>IFERROR(__xludf.DUMMYFUNCTION("""COMPUTED_VALUE"""),"")</f>
        <v/>
      </c>
    </row>
    <row r="3640">
      <c r="A3640" t="str">
        <f>IFERROR(__xludf.DUMMYFUNCTION("""COMPUTED_VALUE"""),"")</f>
        <v/>
      </c>
      <c r="B3640" s="451" t="str">
        <f>IFERROR(__xludf.DUMMYFUNCTION("""COMPUTED_VALUE"""),"")</f>
        <v/>
      </c>
    </row>
    <row r="3641">
      <c r="A3641" t="str">
        <f>IFERROR(__xludf.DUMMYFUNCTION("""COMPUTED_VALUE"""),"")</f>
        <v/>
      </c>
      <c r="B3641" s="451" t="str">
        <f>IFERROR(__xludf.DUMMYFUNCTION("""COMPUTED_VALUE"""),"")</f>
        <v/>
      </c>
    </row>
    <row r="3642">
      <c r="A3642" t="str">
        <f>IFERROR(__xludf.DUMMYFUNCTION("""COMPUTED_VALUE"""),"")</f>
        <v/>
      </c>
      <c r="B3642" s="451" t="str">
        <f>IFERROR(__xludf.DUMMYFUNCTION("""COMPUTED_VALUE"""),"")</f>
        <v/>
      </c>
    </row>
    <row r="3643">
      <c r="A3643" t="str">
        <f>IFERROR(__xludf.DUMMYFUNCTION("""COMPUTED_VALUE"""),"")</f>
        <v/>
      </c>
      <c r="B3643" s="451" t="str">
        <f>IFERROR(__xludf.DUMMYFUNCTION("""COMPUTED_VALUE"""),"")</f>
        <v/>
      </c>
    </row>
    <row r="3644">
      <c r="A3644" t="str">
        <f>IFERROR(__xludf.DUMMYFUNCTION("""COMPUTED_VALUE"""),"")</f>
        <v/>
      </c>
      <c r="B3644" s="451" t="str">
        <f>IFERROR(__xludf.DUMMYFUNCTION("""COMPUTED_VALUE"""),"")</f>
        <v/>
      </c>
    </row>
    <row r="3645">
      <c r="A3645" t="str">
        <f>IFERROR(__xludf.DUMMYFUNCTION("""COMPUTED_VALUE"""),"")</f>
        <v/>
      </c>
      <c r="B3645" s="451" t="str">
        <f>IFERROR(__xludf.DUMMYFUNCTION("""COMPUTED_VALUE"""),"")</f>
        <v/>
      </c>
    </row>
    <row r="3646">
      <c r="A3646" t="str">
        <f>IFERROR(__xludf.DUMMYFUNCTION("""COMPUTED_VALUE"""),"")</f>
        <v/>
      </c>
      <c r="B3646" s="451" t="str">
        <f>IFERROR(__xludf.DUMMYFUNCTION("""COMPUTED_VALUE"""),"")</f>
        <v/>
      </c>
    </row>
    <row r="3647">
      <c r="A3647" t="str">
        <f>IFERROR(__xludf.DUMMYFUNCTION("""COMPUTED_VALUE"""),"")</f>
        <v/>
      </c>
      <c r="B3647" s="451" t="str">
        <f>IFERROR(__xludf.DUMMYFUNCTION("""COMPUTED_VALUE"""),"")</f>
        <v/>
      </c>
    </row>
    <row r="3648">
      <c r="A3648" t="str">
        <f>IFERROR(__xludf.DUMMYFUNCTION("""COMPUTED_VALUE"""),"")</f>
        <v/>
      </c>
      <c r="B3648" s="451" t="str">
        <f>IFERROR(__xludf.DUMMYFUNCTION("""COMPUTED_VALUE"""),"")</f>
        <v/>
      </c>
    </row>
    <row r="3649">
      <c r="A3649" t="str">
        <f>IFERROR(__xludf.DUMMYFUNCTION("""COMPUTED_VALUE"""),"")</f>
        <v/>
      </c>
      <c r="B3649" s="451" t="str">
        <f>IFERROR(__xludf.DUMMYFUNCTION("""COMPUTED_VALUE"""),"")</f>
        <v/>
      </c>
    </row>
    <row r="3650">
      <c r="A3650" t="str">
        <f>IFERROR(__xludf.DUMMYFUNCTION("""COMPUTED_VALUE"""),"")</f>
        <v/>
      </c>
      <c r="B3650" s="451" t="str">
        <f>IFERROR(__xludf.DUMMYFUNCTION("""COMPUTED_VALUE"""),"")</f>
        <v/>
      </c>
    </row>
    <row r="3651">
      <c r="A3651" t="str">
        <f>IFERROR(__xludf.DUMMYFUNCTION("""COMPUTED_VALUE"""),"")</f>
        <v/>
      </c>
      <c r="B3651" s="451" t="str">
        <f>IFERROR(__xludf.DUMMYFUNCTION("""COMPUTED_VALUE"""),"")</f>
        <v/>
      </c>
    </row>
    <row r="3652">
      <c r="A3652" t="str">
        <f>IFERROR(__xludf.DUMMYFUNCTION("""COMPUTED_VALUE"""),"")</f>
        <v/>
      </c>
      <c r="B3652" s="451" t="str">
        <f>IFERROR(__xludf.DUMMYFUNCTION("""COMPUTED_VALUE"""),"")</f>
        <v/>
      </c>
    </row>
    <row r="3653">
      <c r="A3653" t="str">
        <f>IFERROR(__xludf.DUMMYFUNCTION("""COMPUTED_VALUE"""),"")</f>
        <v/>
      </c>
      <c r="B3653" s="451" t="str">
        <f>IFERROR(__xludf.DUMMYFUNCTION("""COMPUTED_VALUE"""),"")</f>
        <v/>
      </c>
    </row>
    <row r="3654">
      <c r="A3654" t="str">
        <f>IFERROR(__xludf.DUMMYFUNCTION("""COMPUTED_VALUE"""),"")</f>
        <v/>
      </c>
      <c r="B3654" s="451" t="str">
        <f>IFERROR(__xludf.DUMMYFUNCTION("""COMPUTED_VALUE"""),"")</f>
        <v/>
      </c>
    </row>
    <row r="3655">
      <c r="A3655" t="str">
        <f>IFERROR(__xludf.DUMMYFUNCTION("""COMPUTED_VALUE"""),"")</f>
        <v/>
      </c>
      <c r="B3655" s="451" t="str">
        <f>IFERROR(__xludf.DUMMYFUNCTION("""COMPUTED_VALUE"""),"")</f>
        <v/>
      </c>
    </row>
    <row r="3656">
      <c r="A3656" t="str">
        <f>IFERROR(__xludf.DUMMYFUNCTION("""COMPUTED_VALUE"""),"")</f>
        <v/>
      </c>
      <c r="B3656" s="451" t="str">
        <f>IFERROR(__xludf.DUMMYFUNCTION("""COMPUTED_VALUE"""),"")</f>
        <v/>
      </c>
    </row>
    <row r="3657">
      <c r="A3657" t="str">
        <f>IFERROR(__xludf.DUMMYFUNCTION("""COMPUTED_VALUE"""),"")</f>
        <v/>
      </c>
      <c r="B3657" s="451" t="str">
        <f>IFERROR(__xludf.DUMMYFUNCTION("""COMPUTED_VALUE"""),"")</f>
        <v/>
      </c>
    </row>
    <row r="3658">
      <c r="A3658" t="str">
        <f>IFERROR(__xludf.DUMMYFUNCTION("""COMPUTED_VALUE"""),"")</f>
        <v/>
      </c>
      <c r="B3658" s="451" t="str">
        <f>IFERROR(__xludf.DUMMYFUNCTION("""COMPUTED_VALUE"""),"")</f>
        <v/>
      </c>
    </row>
    <row r="3659">
      <c r="A3659" t="str">
        <f>IFERROR(__xludf.DUMMYFUNCTION("""COMPUTED_VALUE"""),"")</f>
        <v/>
      </c>
      <c r="B3659" s="451" t="str">
        <f>IFERROR(__xludf.DUMMYFUNCTION("""COMPUTED_VALUE"""),"")</f>
        <v/>
      </c>
    </row>
    <row r="3660">
      <c r="A3660" t="str">
        <f>IFERROR(__xludf.DUMMYFUNCTION("""COMPUTED_VALUE"""),"")</f>
        <v/>
      </c>
      <c r="B3660" s="451" t="str">
        <f>IFERROR(__xludf.DUMMYFUNCTION("""COMPUTED_VALUE"""),"")</f>
        <v/>
      </c>
    </row>
    <row r="3661">
      <c r="A3661" t="str">
        <f>IFERROR(__xludf.DUMMYFUNCTION("""COMPUTED_VALUE"""),"")</f>
        <v/>
      </c>
      <c r="B3661" s="451" t="str">
        <f>IFERROR(__xludf.DUMMYFUNCTION("""COMPUTED_VALUE"""),"")</f>
        <v/>
      </c>
    </row>
    <row r="3662">
      <c r="A3662" t="str">
        <f>IFERROR(__xludf.DUMMYFUNCTION("""COMPUTED_VALUE"""),"")</f>
        <v/>
      </c>
      <c r="B3662" s="451" t="str">
        <f>IFERROR(__xludf.DUMMYFUNCTION("""COMPUTED_VALUE"""),"")</f>
        <v/>
      </c>
    </row>
    <row r="3663">
      <c r="A3663" t="str">
        <f>IFERROR(__xludf.DUMMYFUNCTION("""COMPUTED_VALUE"""),"")</f>
        <v/>
      </c>
      <c r="B3663" s="451" t="str">
        <f>IFERROR(__xludf.DUMMYFUNCTION("""COMPUTED_VALUE"""),"")</f>
        <v/>
      </c>
    </row>
    <row r="3664">
      <c r="A3664" t="str">
        <f>IFERROR(__xludf.DUMMYFUNCTION("""COMPUTED_VALUE"""),"")</f>
        <v/>
      </c>
      <c r="B3664" s="451" t="str">
        <f>IFERROR(__xludf.DUMMYFUNCTION("""COMPUTED_VALUE"""),"")</f>
        <v/>
      </c>
    </row>
    <row r="3665">
      <c r="A3665" t="str">
        <f>IFERROR(__xludf.DUMMYFUNCTION("""COMPUTED_VALUE"""),"")</f>
        <v/>
      </c>
      <c r="B3665" s="451" t="str">
        <f>IFERROR(__xludf.DUMMYFUNCTION("""COMPUTED_VALUE"""),"")</f>
        <v/>
      </c>
    </row>
    <row r="3666">
      <c r="A3666" t="str">
        <f>IFERROR(__xludf.DUMMYFUNCTION("""COMPUTED_VALUE"""),"")</f>
        <v/>
      </c>
      <c r="B3666" s="451" t="str">
        <f>IFERROR(__xludf.DUMMYFUNCTION("""COMPUTED_VALUE"""),"")</f>
        <v/>
      </c>
    </row>
    <row r="3667">
      <c r="A3667" t="str">
        <f>IFERROR(__xludf.DUMMYFUNCTION("""COMPUTED_VALUE"""),"")</f>
        <v/>
      </c>
      <c r="B3667" s="451" t="str">
        <f>IFERROR(__xludf.DUMMYFUNCTION("""COMPUTED_VALUE"""),"")</f>
        <v/>
      </c>
    </row>
    <row r="3668">
      <c r="A3668" t="str">
        <f>IFERROR(__xludf.DUMMYFUNCTION("""COMPUTED_VALUE"""),"")</f>
        <v/>
      </c>
      <c r="B3668" s="451" t="str">
        <f>IFERROR(__xludf.DUMMYFUNCTION("""COMPUTED_VALUE"""),"")</f>
        <v/>
      </c>
    </row>
    <row r="3669">
      <c r="A3669" t="str">
        <f>IFERROR(__xludf.DUMMYFUNCTION("""COMPUTED_VALUE"""),"")</f>
        <v/>
      </c>
      <c r="B3669" s="451" t="str">
        <f>IFERROR(__xludf.DUMMYFUNCTION("""COMPUTED_VALUE"""),"")</f>
        <v/>
      </c>
    </row>
    <row r="3670">
      <c r="A3670" t="str">
        <f>IFERROR(__xludf.DUMMYFUNCTION("""COMPUTED_VALUE"""),"")</f>
        <v/>
      </c>
      <c r="B3670" s="451" t="str">
        <f>IFERROR(__xludf.DUMMYFUNCTION("""COMPUTED_VALUE"""),"")</f>
        <v/>
      </c>
    </row>
    <row r="3671">
      <c r="A3671" t="str">
        <f>IFERROR(__xludf.DUMMYFUNCTION("""COMPUTED_VALUE"""),"")</f>
        <v/>
      </c>
      <c r="B3671" s="451" t="str">
        <f>IFERROR(__xludf.DUMMYFUNCTION("""COMPUTED_VALUE"""),"")</f>
        <v/>
      </c>
    </row>
    <row r="3672">
      <c r="A3672" t="str">
        <f>IFERROR(__xludf.DUMMYFUNCTION("""COMPUTED_VALUE"""),"")</f>
        <v/>
      </c>
      <c r="B3672" s="451" t="str">
        <f>IFERROR(__xludf.DUMMYFUNCTION("""COMPUTED_VALUE"""),"")</f>
        <v/>
      </c>
    </row>
    <row r="3673">
      <c r="A3673" t="str">
        <f>IFERROR(__xludf.DUMMYFUNCTION("""COMPUTED_VALUE"""),"")</f>
        <v/>
      </c>
      <c r="B3673" s="451" t="str">
        <f>IFERROR(__xludf.DUMMYFUNCTION("""COMPUTED_VALUE"""),"")</f>
        <v/>
      </c>
    </row>
    <row r="3674">
      <c r="A3674" t="str">
        <f>IFERROR(__xludf.DUMMYFUNCTION("""COMPUTED_VALUE"""),"")</f>
        <v/>
      </c>
      <c r="B3674" s="451" t="str">
        <f>IFERROR(__xludf.DUMMYFUNCTION("""COMPUTED_VALUE"""),"")</f>
        <v/>
      </c>
    </row>
    <row r="3675">
      <c r="A3675" t="str">
        <f>IFERROR(__xludf.DUMMYFUNCTION("""COMPUTED_VALUE"""),"")</f>
        <v/>
      </c>
      <c r="B3675" s="451" t="str">
        <f>IFERROR(__xludf.DUMMYFUNCTION("""COMPUTED_VALUE"""),"")</f>
        <v/>
      </c>
    </row>
    <row r="3676">
      <c r="A3676" t="str">
        <f>IFERROR(__xludf.DUMMYFUNCTION("""COMPUTED_VALUE"""),"")</f>
        <v/>
      </c>
      <c r="B3676" s="451" t="str">
        <f>IFERROR(__xludf.DUMMYFUNCTION("""COMPUTED_VALUE"""),"")</f>
        <v/>
      </c>
    </row>
    <row r="3677">
      <c r="A3677" t="str">
        <f>IFERROR(__xludf.DUMMYFUNCTION("""COMPUTED_VALUE"""),"")</f>
        <v/>
      </c>
      <c r="B3677" s="451" t="str">
        <f>IFERROR(__xludf.DUMMYFUNCTION("""COMPUTED_VALUE"""),"")</f>
        <v/>
      </c>
    </row>
    <row r="3678">
      <c r="A3678" t="str">
        <f>IFERROR(__xludf.DUMMYFUNCTION("""COMPUTED_VALUE"""),"")</f>
        <v/>
      </c>
      <c r="B3678" s="451" t="str">
        <f>IFERROR(__xludf.DUMMYFUNCTION("""COMPUTED_VALUE"""),"")</f>
        <v/>
      </c>
    </row>
    <row r="3679">
      <c r="A3679" t="str">
        <f>IFERROR(__xludf.DUMMYFUNCTION("""COMPUTED_VALUE"""),"")</f>
        <v/>
      </c>
      <c r="B3679" s="451" t="str">
        <f>IFERROR(__xludf.DUMMYFUNCTION("""COMPUTED_VALUE"""),"")</f>
        <v/>
      </c>
    </row>
    <row r="3680">
      <c r="A3680" t="str">
        <f>IFERROR(__xludf.DUMMYFUNCTION("""COMPUTED_VALUE"""),"")</f>
        <v/>
      </c>
      <c r="B3680" s="451" t="str">
        <f>IFERROR(__xludf.DUMMYFUNCTION("""COMPUTED_VALUE"""),"")</f>
        <v/>
      </c>
    </row>
    <row r="3681">
      <c r="A3681" t="str">
        <f>IFERROR(__xludf.DUMMYFUNCTION("""COMPUTED_VALUE"""),"")</f>
        <v/>
      </c>
      <c r="B3681" s="451" t="str">
        <f>IFERROR(__xludf.DUMMYFUNCTION("""COMPUTED_VALUE"""),"")</f>
        <v/>
      </c>
    </row>
    <row r="3682">
      <c r="A3682" t="str">
        <f>IFERROR(__xludf.DUMMYFUNCTION("""COMPUTED_VALUE"""),"")</f>
        <v/>
      </c>
      <c r="B3682" s="451" t="str">
        <f>IFERROR(__xludf.DUMMYFUNCTION("""COMPUTED_VALUE"""),"")</f>
        <v/>
      </c>
    </row>
    <row r="3683">
      <c r="A3683" t="str">
        <f>IFERROR(__xludf.DUMMYFUNCTION("""COMPUTED_VALUE"""),"")</f>
        <v/>
      </c>
      <c r="B3683" s="451" t="str">
        <f>IFERROR(__xludf.DUMMYFUNCTION("""COMPUTED_VALUE"""),"")</f>
        <v/>
      </c>
    </row>
    <row r="3684">
      <c r="A3684" t="str">
        <f>IFERROR(__xludf.DUMMYFUNCTION("""COMPUTED_VALUE"""),"")</f>
        <v/>
      </c>
      <c r="B3684" s="451" t="str">
        <f>IFERROR(__xludf.DUMMYFUNCTION("""COMPUTED_VALUE"""),"")</f>
        <v/>
      </c>
    </row>
    <row r="3685">
      <c r="A3685" t="str">
        <f>IFERROR(__xludf.DUMMYFUNCTION("""COMPUTED_VALUE"""),"")</f>
        <v/>
      </c>
      <c r="B3685" s="451" t="str">
        <f>IFERROR(__xludf.DUMMYFUNCTION("""COMPUTED_VALUE"""),"")</f>
        <v/>
      </c>
    </row>
    <row r="3686">
      <c r="A3686" t="str">
        <f>IFERROR(__xludf.DUMMYFUNCTION("""COMPUTED_VALUE"""),"")</f>
        <v/>
      </c>
      <c r="B3686" s="451" t="str">
        <f>IFERROR(__xludf.DUMMYFUNCTION("""COMPUTED_VALUE"""),"")</f>
        <v/>
      </c>
    </row>
    <row r="3687">
      <c r="A3687" t="str">
        <f>IFERROR(__xludf.DUMMYFUNCTION("""COMPUTED_VALUE"""),"")</f>
        <v/>
      </c>
      <c r="B3687" s="451" t="str">
        <f>IFERROR(__xludf.DUMMYFUNCTION("""COMPUTED_VALUE"""),"")</f>
        <v/>
      </c>
    </row>
    <row r="3688">
      <c r="A3688" t="str">
        <f>IFERROR(__xludf.DUMMYFUNCTION("""COMPUTED_VALUE"""),"")</f>
        <v/>
      </c>
      <c r="B3688" s="451" t="str">
        <f>IFERROR(__xludf.DUMMYFUNCTION("""COMPUTED_VALUE"""),"")</f>
        <v/>
      </c>
    </row>
    <row r="3689">
      <c r="A3689" t="str">
        <f>IFERROR(__xludf.DUMMYFUNCTION("""COMPUTED_VALUE"""),"")</f>
        <v/>
      </c>
      <c r="B3689" s="451" t="str">
        <f>IFERROR(__xludf.DUMMYFUNCTION("""COMPUTED_VALUE"""),"")</f>
        <v/>
      </c>
    </row>
    <row r="3690">
      <c r="A3690" t="str">
        <f>IFERROR(__xludf.DUMMYFUNCTION("""COMPUTED_VALUE"""),"")</f>
        <v/>
      </c>
      <c r="B3690" s="451" t="str">
        <f>IFERROR(__xludf.DUMMYFUNCTION("""COMPUTED_VALUE"""),"")</f>
        <v/>
      </c>
    </row>
    <row r="3691">
      <c r="A3691" t="str">
        <f>IFERROR(__xludf.DUMMYFUNCTION("""COMPUTED_VALUE"""),"")</f>
        <v/>
      </c>
      <c r="B3691" s="451" t="str">
        <f>IFERROR(__xludf.DUMMYFUNCTION("""COMPUTED_VALUE"""),"")</f>
        <v/>
      </c>
    </row>
    <row r="3692">
      <c r="A3692" t="str">
        <f>IFERROR(__xludf.DUMMYFUNCTION("""COMPUTED_VALUE"""),"")</f>
        <v/>
      </c>
      <c r="B3692" s="451" t="str">
        <f>IFERROR(__xludf.DUMMYFUNCTION("""COMPUTED_VALUE"""),"")</f>
        <v/>
      </c>
    </row>
    <row r="3693">
      <c r="A3693" t="str">
        <f>IFERROR(__xludf.DUMMYFUNCTION("""COMPUTED_VALUE"""),"")</f>
        <v/>
      </c>
      <c r="B3693" s="451" t="str">
        <f>IFERROR(__xludf.DUMMYFUNCTION("""COMPUTED_VALUE"""),"")</f>
        <v/>
      </c>
    </row>
    <row r="3694">
      <c r="A3694" t="str">
        <f>IFERROR(__xludf.DUMMYFUNCTION("""COMPUTED_VALUE"""),"")</f>
        <v/>
      </c>
      <c r="B3694" s="451" t="str">
        <f>IFERROR(__xludf.DUMMYFUNCTION("""COMPUTED_VALUE"""),"")</f>
        <v/>
      </c>
    </row>
    <row r="3695">
      <c r="A3695" t="str">
        <f>IFERROR(__xludf.DUMMYFUNCTION("""COMPUTED_VALUE"""),"")</f>
        <v/>
      </c>
      <c r="B3695" s="451" t="str">
        <f>IFERROR(__xludf.DUMMYFUNCTION("""COMPUTED_VALUE"""),"")</f>
        <v/>
      </c>
    </row>
    <row r="3696">
      <c r="A3696" t="str">
        <f>IFERROR(__xludf.DUMMYFUNCTION("""COMPUTED_VALUE"""),"")</f>
        <v/>
      </c>
      <c r="B3696" s="451" t="str">
        <f>IFERROR(__xludf.DUMMYFUNCTION("""COMPUTED_VALUE"""),"")</f>
        <v/>
      </c>
    </row>
    <row r="3697">
      <c r="A3697" t="str">
        <f>IFERROR(__xludf.DUMMYFUNCTION("""COMPUTED_VALUE"""),"")</f>
        <v/>
      </c>
      <c r="B3697" s="451" t="str">
        <f>IFERROR(__xludf.DUMMYFUNCTION("""COMPUTED_VALUE"""),"")</f>
        <v/>
      </c>
    </row>
    <row r="3698">
      <c r="A3698" t="str">
        <f>IFERROR(__xludf.DUMMYFUNCTION("""COMPUTED_VALUE"""),"")</f>
        <v/>
      </c>
      <c r="B3698" s="451" t="str">
        <f>IFERROR(__xludf.DUMMYFUNCTION("""COMPUTED_VALUE"""),"")</f>
        <v/>
      </c>
    </row>
    <row r="3699">
      <c r="A3699" t="str">
        <f>IFERROR(__xludf.DUMMYFUNCTION("""COMPUTED_VALUE"""),"")</f>
        <v/>
      </c>
      <c r="B3699" s="451" t="str">
        <f>IFERROR(__xludf.DUMMYFUNCTION("""COMPUTED_VALUE"""),"")</f>
        <v/>
      </c>
    </row>
    <row r="3700">
      <c r="A3700" t="str">
        <f>IFERROR(__xludf.DUMMYFUNCTION("""COMPUTED_VALUE"""),"")</f>
        <v/>
      </c>
      <c r="B3700" s="451" t="str">
        <f>IFERROR(__xludf.DUMMYFUNCTION("""COMPUTED_VALUE"""),"")</f>
        <v/>
      </c>
    </row>
    <row r="3701">
      <c r="A3701" t="str">
        <f>IFERROR(__xludf.DUMMYFUNCTION("""COMPUTED_VALUE"""),"")</f>
        <v/>
      </c>
      <c r="B3701" s="451" t="str">
        <f>IFERROR(__xludf.DUMMYFUNCTION("""COMPUTED_VALUE"""),"")</f>
        <v/>
      </c>
    </row>
    <row r="3702">
      <c r="A3702" t="str">
        <f>IFERROR(__xludf.DUMMYFUNCTION("""COMPUTED_VALUE"""),"")</f>
        <v/>
      </c>
      <c r="B3702" s="451" t="str">
        <f>IFERROR(__xludf.DUMMYFUNCTION("""COMPUTED_VALUE"""),"")</f>
        <v/>
      </c>
    </row>
    <row r="3703">
      <c r="A3703" t="str">
        <f>IFERROR(__xludf.DUMMYFUNCTION("""COMPUTED_VALUE"""),"")</f>
        <v/>
      </c>
      <c r="B3703" s="451" t="str">
        <f>IFERROR(__xludf.DUMMYFUNCTION("""COMPUTED_VALUE"""),"")</f>
        <v/>
      </c>
    </row>
    <row r="3704">
      <c r="A3704" t="str">
        <f>IFERROR(__xludf.DUMMYFUNCTION("""COMPUTED_VALUE"""),"")</f>
        <v/>
      </c>
      <c r="B3704" s="451" t="str">
        <f>IFERROR(__xludf.DUMMYFUNCTION("""COMPUTED_VALUE"""),"")</f>
        <v/>
      </c>
    </row>
    <row r="3705">
      <c r="A3705" t="str">
        <f>IFERROR(__xludf.DUMMYFUNCTION("""COMPUTED_VALUE"""),"")</f>
        <v/>
      </c>
      <c r="B3705" s="451" t="str">
        <f>IFERROR(__xludf.DUMMYFUNCTION("""COMPUTED_VALUE"""),"")</f>
        <v/>
      </c>
    </row>
    <row r="3706">
      <c r="A3706" t="str">
        <f>IFERROR(__xludf.DUMMYFUNCTION("""COMPUTED_VALUE"""),"")</f>
        <v/>
      </c>
      <c r="B3706" s="451" t="str">
        <f>IFERROR(__xludf.DUMMYFUNCTION("""COMPUTED_VALUE"""),"")</f>
        <v/>
      </c>
    </row>
    <row r="3707">
      <c r="A3707" t="str">
        <f>IFERROR(__xludf.DUMMYFUNCTION("""COMPUTED_VALUE"""),"")</f>
        <v/>
      </c>
      <c r="B3707" s="451" t="str">
        <f>IFERROR(__xludf.DUMMYFUNCTION("""COMPUTED_VALUE"""),"")</f>
        <v/>
      </c>
    </row>
    <row r="3708">
      <c r="A3708" t="str">
        <f>IFERROR(__xludf.DUMMYFUNCTION("""COMPUTED_VALUE"""),"")</f>
        <v/>
      </c>
      <c r="B3708" s="451" t="str">
        <f>IFERROR(__xludf.DUMMYFUNCTION("""COMPUTED_VALUE"""),"")</f>
        <v/>
      </c>
    </row>
    <row r="3709">
      <c r="A3709" t="str">
        <f>IFERROR(__xludf.DUMMYFUNCTION("""COMPUTED_VALUE"""),"")</f>
        <v/>
      </c>
      <c r="B3709" s="451" t="str">
        <f>IFERROR(__xludf.DUMMYFUNCTION("""COMPUTED_VALUE"""),"")</f>
        <v/>
      </c>
    </row>
    <row r="3710">
      <c r="A3710" t="str">
        <f>IFERROR(__xludf.DUMMYFUNCTION("""COMPUTED_VALUE"""),"")</f>
        <v/>
      </c>
      <c r="B3710" s="451" t="str">
        <f>IFERROR(__xludf.DUMMYFUNCTION("""COMPUTED_VALUE"""),"")</f>
        <v/>
      </c>
    </row>
    <row r="3711">
      <c r="A3711" t="str">
        <f>IFERROR(__xludf.DUMMYFUNCTION("""COMPUTED_VALUE"""),"")</f>
        <v/>
      </c>
      <c r="B3711" s="451" t="str">
        <f>IFERROR(__xludf.DUMMYFUNCTION("""COMPUTED_VALUE"""),"")</f>
        <v/>
      </c>
    </row>
    <row r="3712">
      <c r="A3712" t="str">
        <f>IFERROR(__xludf.DUMMYFUNCTION("""COMPUTED_VALUE"""),"")</f>
        <v/>
      </c>
      <c r="B3712" s="451" t="str">
        <f>IFERROR(__xludf.DUMMYFUNCTION("""COMPUTED_VALUE"""),"")</f>
        <v/>
      </c>
    </row>
    <row r="3713">
      <c r="A3713" t="str">
        <f>IFERROR(__xludf.DUMMYFUNCTION("""COMPUTED_VALUE"""),"")</f>
        <v/>
      </c>
      <c r="B3713" s="451" t="str">
        <f>IFERROR(__xludf.DUMMYFUNCTION("""COMPUTED_VALUE"""),"")</f>
        <v/>
      </c>
    </row>
    <row r="3714">
      <c r="A3714" t="str">
        <f>IFERROR(__xludf.DUMMYFUNCTION("""COMPUTED_VALUE"""),"")</f>
        <v/>
      </c>
      <c r="B3714" s="451" t="str">
        <f>IFERROR(__xludf.DUMMYFUNCTION("""COMPUTED_VALUE"""),"")</f>
        <v/>
      </c>
    </row>
    <row r="3715">
      <c r="A3715" t="str">
        <f>IFERROR(__xludf.DUMMYFUNCTION("""COMPUTED_VALUE"""),"")</f>
        <v/>
      </c>
      <c r="B3715" s="451" t="str">
        <f>IFERROR(__xludf.DUMMYFUNCTION("""COMPUTED_VALUE"""),"")</f>
        <v/>
      </c>
    </row>
    <row r="3716">
      <c r="A3716" t="str">
        <f>IFERROR(__xludf.DUMMYFUNCTION("""COMPUTED_VALUE"""),"")</f>
        <v/>
      </c>
      <c r="B3716" s="451" t="str">
        <f>IFERROR(__xludf.DUMMYFUNCTION("""COMPUTED_VALUE"""),"")</f>
        <v/>
      </c>
    </row>
    <row r="3717">
      <c r="A3717" t="str">
        <f>IFERROR(__xludf.DUMMYFUNCTION("""COMPUTED_VALUE"""),"")</f>
        <v/>
      </c>
      <c r="B3717" s="451" t="str">
        <f>IFERROR(__xludf.DUMMYFUNCTION("""COMPUTED_VALUE"""),"")</f>
        <v/>
      </c>
    </row>
    <row r="3718">
      <c r="A3718" t="str">
        <f>IFERROR(__xludf.DUMMYFUNCTION("""COMPUTED_VALUE"""),"")</f>
        <v/>
      </c>
      <c r="B3718" s="451" t="str">
        <f>IFERROR(__xludf.DUMMYFUNCTION("""COMPUTED_VALUE"""),"")</f>
        <v/>
      </c>
    </row>
    <row r="3719">
      <c r="A3719" t="str">
        <f>IFERROR(__xludf.DUMMYFUNCTION("""COMPUTED_VALUE"""),"")</f>
        <v/>
      </c>
      <c r="B3719" s="451" t="str">
        <f>IFERROR(__xludf.DUMMYFUNCTION("""COMPUTED_VALUE"""),"")</f>
        <v/>
      </c>
    </row>
    <row r="3720">
      <c r="A3720" t="str">
        <f>IFERROR(__xludf.DUMMYFUNCTION("""COMPUTED_VALUE"""),"")</f>
        <v/>
      </c>
      <c r="B3720" s="451" t="str">
        <f>IFERROR(__xludf.DUMMYFUNCTION("""COMPUTED_VALUE"""),"")</f>
        <v/>
      </c>
    </row>
    <row r="3721">
      <c r="A3721" t="str">
        <f>IFERROR(__xludf.DUMMYFUNCTION("""COMPUTED_VALUE"""),"")</f>
        <v/>
      </c>
      <c r="B3721" s="451" t="str">
        <f>IFERROR(__xludf.DUMMYFUNCTION("""COMPUTED_VALUE"""),"")</f>
        <v/>
      </c>
    </row>
    <row r="3722">
      <c r="A3722" t="str">
        <f>IFERROR(__xludf.DUMMYFUNCTION("""COMPUTED_VALUE"""),"")</f>
        <v/>
      </c>
      <c r="B3722" s="451" t="str">
        <f>IFERROR(__xludf.DUMMYFUNCTION("""COMPUTED_VALUE"""),"")</f>
        <v/>
      </c>
    </row>
    <row r="3723">
      <c r="A3723" t="str">
        <f>IFERROR(__xludf.DUMMYFUNCTION("""COMPUTED_VALUE"""),"")</f>
        <v/>
      </c>
      <c r="B3723" s="451" t="str">
        <f>IFERROR(__xludf.DUMMYFUNCTION("""COMPUTED_VALUE"""),"")</f>
        <v/>
      </c>
    </row>
    <row r="3724">
      <c r="A3724" t="str">
        <f>IFERROR(__xludf.DUMMYFUNCTION("""COMPUTED_VALUE"""),"")</f>
        <v/>
      </c>
      <c r="B3724" s="451" t="str">
        <f>IFERROR(__xludf.DUMMYFUNCTION("""COMPUTED_VALUE"""),"")</f>
        <v/>
      </c>
    </row>
    <row r="3725">
      <c r="A3725" t="str">
        <f>IFERROR(__xludf.DUMMYFUNCTION("""COMPUTED_VALUE"""),"")</f>
        <v/>
      </c>
      <c r="B3725" s="451" t="str">
        <f>IFERROR(__xludf.DUMMYFUNCTION("""COMPUTED_VALUE"""),"")</f>
        <v/>
      </c>
    </row>
    <row r="3726">
      <c r="A3726" t="str">
        <f>IFERROR(__xludf.DUMMYFUNCTION("""COMPUTED_VALUE"""),"")</f>
        <v/>
      </c>
      <c r="B3726" s="451" t="str">
        <f>IFERROR(__xludf.DUMMYFUNCTION("""COMPUTED_VALUE"""),"")</f>
        <v/>
      </c>
    </row>
    <row r="3727">
      <c r="A3727" t="str">
        <f>IFERROR(__xludf.DUMMYFUNCTION("""COMPUTED_VALUE"""),"")</f>
        <v/>
      </c>
      <c r="B3727" s="451" t="str">
        <f>IFERROR(__xludf.DUMMYFUNCTION("""COMPUTED_VALUE"""),"")</f>
        <v/>
      </c>
    </row>
    <row r="3728">
      <c r="A3728" t="str">
        <f>IFERROR(__xludf.DUMMYFUNCTION("""COMPUTED_VALUE"""),"")</f>
        <v/>
      </c>
      <c r="B3728" s="451" t="str">
        <f>IFERROR(__xludf.DUMMYFUNCTION("""COMPUTED_VALUE"""),"")</f>
        <v/>
      </c>
    </row>
    <row r="3729">
      <c r="A3729" t="str">
        <f>IFERROR(__xludf.DUMMYFUNCTION("""COMPUTED_VALUE"""),"")</f>
        <v/>
      </c>
      <c r="B3729" s="451" t="str">
        <f>IFERROR(__xludf.DUMMYFUNCTION("""COMPUTED_VALUE"""),"")</f>
        <v/>
      </c>
    </row>
    <row r="3730">
      <c r="A3730" t="str">
        <f>IFERROR(__xludf.DUMMYFUNCTION("""COMPUTED_VALUE"""),"")</f>
        <v/>
      </c>
      <c r="B3730" s="451" t="str">
        <f>IFERROR(__xludf.DUMMYFUNCTION("""COMPUTED_VALUE"""),"")</f>
        <v/>
      </c>
    </row>
    <row r="3731">
      <c r="A3731" t="str">
        <f>IFERROR(__xludf.DUMMYFUNCTION("""COMPUTED_VALUE"""),"")</f>
        <v/>
      </c>
      <c r="B3731" s="451" t="str">
        <f>IFERROR(__xludf.DUMMYFUNCTION("""COMPUTED_VALUE"""),"")</f>
        <v/>
      </c>
    </row>
    <row r="3732">
      <c r="A3732" t="str">
        <f>IFERROR(__xludf.DUMMYFUNCTION("""COMPUTED_VALUE"""),"")</f>
        <v/>
      </c>
      <c r="B3732" s="451" t="str">
        <f>IFERROR(__xludf.DUMMYFUNCTION("""COMPUTED_VALUE"""),"")</f>
        <v/>
      </c>
    </row>
    <row r="3733">
      <c r="A3733" t="str">
        <f>IFERROR(__xludf.DUMMYFUNCTION("""COMPUTED_VALUE"""),"")</f>
        <v/>
      </c>
      <c r="B3733" s="451" t="str">
        <f>IFERROR(__xludf.DUMMYFUNCTION("""COMPUTED_VALUE"""),"")</f>
        <v/>
      </c>
    </row>
    <row r="3734">
      <c r="A3734" t="str">
        <f>IFERROR(__xludf.DUMMYFUNCTION("""COMPUTED_VALUE"""),"")</f>
        <v/>
      </c>
      <c r="B3734" s="451" t="str">
        <f>IFERROR(__xludf.DUMMYFUNCTION("""COMPUTED_VALUE"""),"")</f>
        <v/>
      </c>
    </row>
    <row r="3735">
      <c r="A3735" t="str">
        <f>IFERROR(__xludf.DUMMYFUNCTION("""COMPUTED_VALUE"""),"")</f>
        <v/>
      </c>
      <c r="B3735" s="451" t="str">
        <f>IFERROR(__xludf.DUMMYFUNCTION("""COMPUTED_VALUE"""),"")</f>
        <v/>
      </c>
    </row>
    <row r="3736">
      <c r="A3736" t="str">
        <f>IFERROR(__xludf.DUMMYFUNCTION("""COMPUTED_VALUE"""),"")</f>
        <v/>
      </c>
      <c r="B3736" s="451" t="str">
        <f>IFERROR(__xludf.DUMMYFUNCTION("""COMPUTED_VALUE"""),"")</f>
        <v/>
      </c>
    </row>
    <row r="3737">
      <c r="A3737" t="str">
        <f>IFERROR(__xludf.DUMMYFUNCTION("""COMPUTED_VALUE"""),"")</f>
        <v/>
      </c>
      <c r="B3737" s="451" t="str">
        <f>IFERROR(__xludf.DUMMYFUNCTION("""COMPUTED_VALUE"""),"")</f>
        <v/>
      </c>
    </row>
    <row r="3738">
      <c r="A3738" t="str">
        <f>IFERROR(__xludf.DUMMYFUNCTION("""COMPUTED_VALUE"""),"")</f>
        <v/>
      </c>
      <c r="B3738" s="451" t="str">
        <f>IFERROR(__xludf.DUMMYFUNCTION("""COMPUTED_VALUE"""),"")</f>
        <v/>
      </c>
    </row>
    <row r="3739">
      <c r="A3739" t="str">
        <f>IFERROR(__xludf.DUMMYFUNCTION("""COMPUTED_VALUE"""),"")</f>
        <v/>
      </c>
      <c r="B3739" s="451" t="str">
        <f>IFERROR(__xludf.DUMMYFUNCTION("""COMPUTED_VALUE"""),"")</f>
        <v/>
      </c>
    </row>
    <row r="3740">
      <c r="A3740" t="str">
        <f>IFERROR(__xludf.DUMMYFUNCTION("""COMPUTED_VALUE"""),"")</f>
        <v/>
      </c>
      <c r="B3740" s="451" t="str">
        <f>IFERROR(__xludf.DUMMYFUNCTION("""COMPUTED_VALUE"""),"")</f>
        <v/>
      </c>
    </row>
    <row r="3741">
      <c r="A3741" t="str">
        <f>IFERROR(__xludf.DUMMYFUNCTION("""COMPUTED_VALUE"""),"")</f>
        <v/>
      </c>
      <c r="B3741" s="451" t="str">
        <f>IFERROR(__xludf.DUMMYFUNCTION("""COMPUTED_VALUE"""),"")</f>
        <v/>
      </c>
    </row>
    <row r="3742">
      <c r="A3742" t="str">
        <f>IFERROR(__xludf.DUMMYFUNCTION("""COMPUTED_VALUE"""),"")</f>
        <v/>
      </c>
      <c r="B3742" s="451" t="str">
        <f>IFERROR(__xludf.DUMMYFUNCTION("""COMPUTED_VALUE"""),"")</f>
        <v/>
      </c>
    </row>
    <row r="3743">
      <c r="A3743" t="str">
        <f>IFERROR(__xludf.DUMMYFUNCTION("""COMPUTED_VALUE"""),"")</f>
        <v/>
      </c>
      <c r="B3743" s="451" t="str">
        <f>IFERROR(__xludf.DUMMYFUNCTION("""COMPUTED_VALUE"""),"")</f>
        <v/>
      </c>
    </row>
    <row r="3744">
      <c r="A3744" t="str">
        <f>IFERROR(__xludf.DUMMYFUNCTION("""COMPUTED_VALUE"""),"")</f>
        <v/>
      </c>
      <c r="B3744" s="451" t="str">
        <f>IFERROR(__xludf.DUMMYFUNCTION("""COMPUTED_VALUE"""),"")</f>
        <v/>
      </c>
    </row>
    <row r="3745">
      <c r="A3745" t="str">
        <f>IFERROR(__xludf.DUMMYFUNCTION("""COMPUTED_VALUE"""),"")</f>
        <v/>
      </c>
      <c r="B3745" s="451" t="str">
        <f>IFERROR(__xludf.DUMMYFUNCTION("""COMPUTED_VALUE"""),"")</f>
        <v/>
      </c>
    </row>
    <row r="3746">
      <c r="A3746" t="str">
        <f>IFERROR(__xludf.DUMMYFUNCTION("""COMPUTED_VALUE"""),"")</f>
        <v/>
      </c>
      <c r="B3746" s="451" t="str">
        <f>IFERROR(__xludf.DUMMYFUNCTION("""COMPUTED_VALUE"""),"")</f>
        <v/>
      </c>
    </row>
    <row r="3747">
      <c r="A3747" t="str">
        <f>IFERROR(__xludf.DUMMYFUNCTION("""COMPUTED_VALUE"""),"")</f>
        <v/>
      </c>
      <c r="B3747" s="451" t="str">
        <f>IFERROR(__xludf.DUMMYFUNCTION("""COMPUTED_VALUE"""),"")</f>
        <v/>
      </c>
    </row>
    <row r="3748">
      <c r="A3748" t="str">
        <f>IFERROR(__xludf.DUMMYFUNCTION("""COMPUTED_VALUE"""),"")</f>
        <v/>
      </c>
      <c r="B3748" s="451" t="str">
        <f>IFERROR(__xludf.DUMMYFUNCTION("""COMPUTED_VALUE"""),"")</f>
        <v/>
      </c>
    </row>
    <row r="3749">
      <c r="A3749" t="str">
        <f>IFERROR(__xludf.DUMMYFUNCTION("""COMPUTED_VALUE"""),"")</f>
        <v/>
      </c>
      <c r="B3749" s="451" t="str">
        <f>IFERROR(__xludf.DUMMYFUNCTION("""COMPUTED_VALUE"""),"")</f>
        <v/>
      </c>
    </row>
    <row r="3750">
      <c r="A3750" t="str">
        <f>IFERROR(__xludf.DUMMYFUNCTION("""COMPUTED_VALUE"""),"")</f>
        <v/>
      </c>
      <c r="B3750" s="451" t="str">
        <f>IFERROR(__xludf.DUMMYFUNCTION("""COMPUTED_VALUE"""),"")</f>
        <v/>
      </c>
    </row>
    <row r="3751">
      <c r="A3751" t="str">
        <f>IFERROR(__xludf.DUMMYFUNCTION("""COMPUTED_VALUE"""),"")</f>
        <v/>
      </c>
      <c r="B3751" s="451" t="str">
        <f>IFERROR(__xludf.DUMMYFUNCTION("""COMPUTED_VALUE"""),"")</f>
        <v/>
      </c>
    </row>
    <row r="3752">
      <c r="A3752" t="str">
        <f>IFERROR(__xludf.DUMMYFUNCTION("""COMPUTED_VALUE"""),"")</f>
        <v/>
      </c>
      <c r="B3752" s="451" t="str">
        <f>IFERROR(__xludf.DUMMYFUNCTION("""COMPUTED_VALUE"""),"")</f>
        <v/>
      </c>
    </row>
    <row r="3753">
      <c r="A3753" t="str">
        <f>IFERROR(__xludf.DUMMYFUNCTION("""COMPUTED_VALUE"""),"")</f>
        <v/>
      </c>
      <c r="B3753" s="451" t="str">
        <f>IFERROR(__xludf.DUMMYFUNCTION("""COMPUTED_VALUE"""),"")</f>
        <v/>
      </c>
    </row>
    <row r="3754">
      <c r="A3754" t="str">
        <f>IFERROR(__xludf.DUMMYFUNCTION("""COMPUTED_VALUE"""),"")</f>
        <v/>
      </c>
      <c r="B3754" s="451" t="str">
        <f>IFERROR(__xludf.DUMMYFUNCTION("""COMPUTED_VALUE"""),"")</f>
        <v/>
      </c>
    </row>
    <row r="3755">
      <c r="A3755" t="str">
        <f>IFERROR(__xludf.DUMMYFUNCTION("""COMPUTED_VALUE"""),"")</f>
        <v/>
      </c>
      <c r="B3755" s="451" t="str">
        <f>IFERROR(__xludf.DUMMYFUNCTION("""COMPUTED_VALUE"""),"")</f>
        <v/>
      </c>
    </row>
    <row r="3756">
      <c r="A3756" t="str">
        <f>IFERROR(__xludf.DUMMYFUNCTION("""COMPUTED_VALUE"""),"")</f>
        <v/>
      </c>
      <c r="B3756" s="451" t="str">
        <f>IFERROR(__xludf.DUMMYFUNCTION("""COMPUTED_VALUE"""),"")</f>
        <v/>
      </c>
    </row>
    <row r="3757">
      <c r="A3757" t="str">
        <f>IFERROR(__xludf.DUMMYFUNCTION("""COMPUTED_VALUE"""),"")</f>
        <v/>
      </c>
      <c r="B3757" s="451" t="str">
        <f>IFERROR(__xludf.DUMMYFUNCTION("""COMPUTED_VALUE"""),"")</f>
        <v/>
      </c>
    </row>
    <row r="3758">
      <c r="A3758" t="str">
        <f>IFERROR(__xludf.DUMMYFUNCTION("""COMPUTED_VALUE"""),"")</f>
        <v/>
      </c>
      <c r="B3758" s="451" t="str">
        <f>IFERROR(__xludf.DUMMYFUNCTION("""COMPUTED_VALUE"""),"")</f>
        <v/>
      </c>
    </row>
    <row r="3759">
      <c r="A3759" t="str">
        <f>IFERROR(__xludf.DUMMYFUNCTION("""COMPUTED_VALUE"""),"")</f>
        <v/>
      </c>
      <c r="B3759" s="451" t="str">
        <f>IFERROR(__xludf.DUMMYFUNCTION("""COMPUTED_VALUE"""),"")</f>
        <v/>
      </c>
    </row>
    <row r="3760">
      <c r="A3760" t="str">
        <f>IFERROR(__xludf.DUMMYFUNCTION("""COMPUTED_VALUE"""),"")</f>
        <v/>
      </c>
      <c r="B3760" s="451" t="str">
        <f>IFERROR(__xludf.DUMMYFUNCTION("""COMPUTED_VALUE"""),"")</f>
        <v/>
      </c>
    </row>
    <row r="3761">
      <c r="A3761" t="str">
        <f>IFERROR(__xludf.DUMMYFUNCTION("""COMPUTED_VALUE"""),"")</f>
        <v/>
      </c>
      <c r="B3761" s="451" t="str">
        <f>IFERROR(__xludf.DUMMYFUNCTION("""COMPUTED_VALUE"""),"")</f>
        <v/>
      </c>
    </row>
    <row r="3762">
      <c r="A3762" t="str">
        <f>IFERROR(__xludf.DUMMYFUNCTION("""COMPUTED_VALUE"""),"")</f>
        <v/>
      </c>
      <c r="B3762" s="451" t="str">
        <f>IFERROR(__xludf.DUMMYFUNCTION("""COMPUTED_VALUE"""),"")</f>
        <v/>
      </c>
    </row>
    <row r="3763">
      <c r="A3763" t="str">
        <f>IFERROR(__xludf.DUMMYFUNCTION("""COMPUTED_VALUE"""),"")</f>
        <v/>
      </c>
      <c r="B3763" s="451" t="str">
        <f>IFERROR(__xludf.DUMMYFUNCTION("""COMPUTED_VALUE"""),"")</f>
        <v/>
      </c>
    </row>
    <row r="3764">
      <c r="A3764" t="str">
        <f>IFERROR(__xludf.DUMMYFUNCTION("""COMPUTED_VALUE"""),"")</f>
        <v/>
      </c>
      <c r="B3764" s="451" t="str">
        <f>IFERROR(__xludf.DUMMYFUNCTION("""COMPUTED_VALUE"""),"")</f>
        <v/>
      </c>
    </row>
    <row r="3765">
      <c r="A3765" t="str">
        <f>IFERROR(__xludf.DUMMYFUNCTION("""COMPUTED_VALUE"""),"")</f>
        <v/>
      </c>
      <c r="B3765" s="451" t="str">
        <f>IFERROR(__xludf.DUMMYFUNCTION("""COMPUTED_VALUE"""),"")</f>
        <v/>
      </c>
    </row>
    <row r="3766">
      <c r="A3766" t="str">
        <f>IFERROR(__xludf.DUMMYFUNCTION("""COMPUTED_VALUE"""),"")</f>
        <v/>
      </c>
      <c r="B3766" s="451" t="str">
        <f>IFERROR(__xludf.DUMMYFUNCTION("""COMPUTED_VALUE"""),"")</f>
        <v/>
      </c>
    </row>
    <row r="3767">
      <c r="A3767" t="str">
        <f>IFERROR(__xludf.DUMMYFUNCTION("""COMPUTED_VALUE"""),"")</f>
        <v/>
      </c>
      <c r="B3767" s="451" t="str">
        <f>IFERROR(__xludf.DUMMYFUNCTION("""COMPUTED_VALUE"""),"")</f>
        <v/>
      </c>
    </row>
    <row r="3768">
      <c r="A3768" t="str">
        <f>IFERROR(__xludf.DUMMYFUNCTION("""COMPUTED_VALUE"""),"")</f>
        <v/>
      </c>
      <c r="B3768" s="451" t="str">
        <f>IFERROR(__xludf.DUMMYFUNCTION("""COMPUTED_VALUE"""),"")</f>
        <v/>
      </c>
    </row>
    <row r="3769">
      <c r="A3769" t="str">
        <f>IFERROR(__xludf.DUMMYFUNCTION("""COMPUTED_VALUE"""),"")</f>
        <v/>
      </c>
      <c r="B3769" s="451" t="str">
        <f>IFERROR(__xludf.DUMMYFUNCTION("""COMPUTED_VALUE"""),"")</f>
        <v/>
      </c>
    </row>
    <row r="3770">
      <c r="A3770" t="str">
        <f>IFERROR(__xludf.DUMMYFUNCTION("""COMPUTED_VALUE"""),"")</f>
        <v/>
      </c>
      <c r="B3770" s="451" t="str">
        <f>IFERROR(__xludf.DUMMYFUNCTION("""COMPUTED_VALUE"""),"")</f>
        <v/>
      </c>
    </row>
    <row r="3771">
      <c r="A3771" t="str">
        <f>IFERROR(__xludf.DUMMYFUNCTION("""COMPUTED_VALUE"""),"")</f>
        <v/>
      </c>
      <c r="B3771" s="451" t="str">
        <f>IFERROR(__xludf.DUMMYFUNCTION("""COMPUTED_VALUE"""),"")</f>
        <v/>
      </c>
    </row>
    <row r="3772">
      <c r="A3772" t="str">
        <f>IFERROR(__xludf.DUMMYFUNCTION("""COMPUTED_VALUE"""),"")</f>
        <v/>
      </c>
      <c r="B3772" s="451" t="str">
        <f>IFERROR(__xludf.DUMMYFUNCTION("""COMPUTED_VALUE"""),"")</f>
        <v/>
      </c>
    </row>
    <row r="3773">
      <c r="A3773" t="str">
        <f>IFERROR(__xludf.DUMMYFUNCTION("""COMPUTED_VALUE"""),"")</f>
        <v/>
      </c>
      <c r="B3773" s="451" t="str">
        <f>IFERROR(__xludf.DUMMYFUNCTION("""COMPUTED_VALUE"""),"")</f>
        <v/>
      </c>
    </row>
    <row r="3774">
      <c r="A3774" t="str">
        <f>IFERROR(__xludf.DUMMYFUNCTION("""COMPUTED_VALUE"""),"")</f>
        <v/>
      </c>
      <c r="B3774" s="451" t="str">
        <f>IFERROR(__xludf.DUMMYFUNCTION("""COMPUTED_VALUE"""),"")</f>
        <v/>
      </c>
    </row>
    <row r="3775">
      <c r="A3775" t="str">
        <f>IFERROR(__xludf.DUMMYFUNCTION("""COMPUTED_VALUE"""),"")</f>
        <v/>
      </c>
      <c r="B3775" s="451" t="str">
        <f>IFERROR(__xludf.DUMMYFUNCTION("""COMPUTED_VALUE"""),"")</f>
        <v/>
      </c>
    </row>
    <row r="3776">
      <c r="A3776" t="str">
        <f>IFERROR(__xludf.DUMMYFUNCTION("""COMPUTED_VALUE"""),"")</f>
        <v/>
      </c>
      <c r="B3776" s="451" t="str">
        <f>IFERROR(__xludf.DUMMYFUNCTION("""COMPUTED_VALUE"""),"")</f>
        <v/>
      </c>
    </row>
    <row r="3777">
      <c r="A3777" t="str">
        <f>IFERROR(__xludf.DUMMYFUNCTION("""COMPUTED_VALUE"""),"")</f>
        <v/>
      </c>
      <c r="B3777" s="451" t="str">
        <f>IFERROR(__xludf.DUMMYFUNCTION("""COMPUTED_VALUE"""),"")</f>
        <v/>
      </c>
    </row>
    <row r="3778">
      <c r="A3778" t="str">
        <f>IFERROR(__xludf.DUMMYFUNCTION("""COMPUTED_VALUE"""),"")</f>
        <v/>
      </c>
      <c r="B3778" s="451" t="str">
        <f>IFERROR(__xludf.DUMMYFUNCTION("""COMPUTED_VALUE"""),"")</f>
        <v/>
      </c>
    </row>
    <row r="3779">
      <c r="A3779" t="str">
        <f>IFERROR(__xludf.DUMMYFUNCTION("""COMPUTED_VALUE"""),"")</f>
        <v/>
      </c>
      <c r="B3779" s="451" t="str">
        <f>IFERROR(__xludf.DUMMYFUNCTION("""COMPUTED_VALUE"""),"")</f>
        <v/>
      </c>
    </row>
    <row r="3780">
      <c r="A3780" t="str">
        <f>IFERROR(__xludf.DUMMYFUNCTION("""COMPUTED_VALUE"""),"")</f>
        <v/>
      </c>
      <c r="B3780" s="451" t="str">
        <f>IFERROR(__xludf.DUMMYFUNCTION("""COMPUTED_VALUE"""),"")</f>
        <v/>
      </c>
    </row>
    <row r="3781">
      <c r="A3781" t="str">
        <f>IFERROR(__xludf.DUMMYFUNCTION("""COMPUTED_VALUE"""),"")</f>
        <v/>
      </c>
      <c r="B3781" s="451" t="str">
        <f>IFERROR(__xludf.DUMMYFUNCTION("""COMPUTED_VALUE"""),"")</f>
        <v/>
      </c>
    </row>
    <row r="3782">
      <c r="A3782" t="str">
        <f>IFERROR(__xludf.DUMMYFUNCTION("""COMPUTED_VALUE"""),"")</f>
        <v/>
      </c>
      <c r="B3782" s="451" t="str">
        <f>IFERROR(__xludf.DUMMYFUNCTION("""COMPUTED_VALUE"""),"")</f>
        <v/>
      </c>
    </row>
    <row r="3783">
      <c r="A3783" t="str">
        <f>IFERROR(__xludf.DUMMYFUNCTION("""COMPUTED_VALUE"""),"")</f>
        <v/>
      </c>
      <c r="B3783" s="451" t="str">
        <f>IFERROR(__xludf.DUMMYFUNCTION("""COMPUTED_VALUE"""),"")</f>
        <v/>
      </c>
    </row>
    <row r="3784">
      <c r="A3784" t="str">
        <f>IFERROR(__xludf.DUMMYFUNCTION("""COMPUTED_VALUE"""),"")</f>
        <v/>
      </c>
      <c r="B3784" s="451" t="str">
        <f>IFERROR(__xludf.DUMMYFUNCTION("""COMPUTED_VALUE"""),"")</f>
        <v/>
      </c>
    </row>
    <row r="3785">
      <c r="A3785" t="str">
        <f>IFERROR(__xludf.DUMMYFUNCTION("""COMPUTED_VALUE"""),"")</f>
        <v/>
      </c>
      <c r="B3785" s="451" t="str">
        <f>IFERROR(__xludf.DUMMYFUNCTION("""COMPUTED_VALUE"""),"")</f>
        <v/>
      </c>
    </row>
    <row r="3786">
      <c r="A3786" t="str">
        <f>IFERROR(__xludf.DUMMYFUNCTION("""COMPUTED_VALUE"""),"")</f>
        <v/>
      </c>
      <c r="B3786" s="451" t="str">
        <f>IFERROR(__xludf.DUMMYFUNCTION("""COMPUTED_VALUE"""),"")</f>
        <v/>
      </c>
    </row>
    <row r="3787">
      <c r="A3787" t="str">
        <f>IFERROR(__xludf.DUMMYFUNCTION("""COMPUTED_VALUE"""),"")</f>
        <v/>
      </c>
      <c r="B3787" s="451" t="str">
        <f>IFERROR(__xludf.DUMMYFUNCTION("""COMPUTED_VALUE"""),"")</f>
        <v/>
      </c>
    </row>
    <row r="3788">
      <c r="A3788" t="str">
        <f>IFERROR(__xludf.DUMMYFUNCTION("""COMPUTED_VALUE"""),"")</f>
        <v/>
      </c>
      <c r="B3788" s="451" t="str">
        <f>IFERROR(__xludf.DUMMYFUNCTION("""COMPUTED_VALUE"""),"")</f>
        <v/>
      </c>
    </row>
    <row r="3789">
      <c r="A3789" t="str">
        <f>IFERROR(__xludf.DUMMYFUNCTION("""COMPUTED_VALUE"""),"")</f>
        <v/>
      </c>
      <c r="B3789" s="451" t="str">
        <f>IFERROR(__xludf.DUMMYFUNCTION("""COMPUTED_VALUE"""),"")</f>
        <v/>
      </c>
    </row>
    <row r="3790">
      <c r="A3790" t="str">
        <f>IFERROR(__xludf.DUMMYFUNCTION("""COMPUTED_VALUE"""),"")</f>
        <v/>
      </c>
      <c r="B3790" s="451" t="str">
        <f>IFERROR(__xludf.DUMMYFUNCTION("""COMPUTED_VALUE"""),"")</f>
        <v/>
      </c>
    </row>
    <row r="3791">
      <c r="A3791" t="str">
        <f>IFERROR(__xludf.DUMMYFUNCTION("""COMPUTED_VALUE"""),"")</f>
        <v/>
      </c>
      <c r="B3791" s="451" t="str">
        <f>IFERROR(__xludf.DUMMYFUNCTION("""COMPUTED_VALUE"""),"")</f>
        <v/>
      </c>
    </row>
    <row r="3792">
      <c r="A3792" t="str">
        <f>IFERROR(__xludf.DUMMYFUNCTION("""COMPUTED_VALUE"""),"")</f>
        <v/>
      </c>
      <c r="B3792" s="451" t="str">
        <f>IFERROR(__xludf.DUMMYFUNCTION("""COMPUTED_VALUE"""),"")</f>
        <v/>
      </c>
    </row>
    <row r="3793">
      <c r="A3793" t="str">
        <f>IFERROR(__xludf.DUMMYFUNCTION("""COMPUTED_VALUE"""),"")</f>
        <v/>
      </c>
      <c r="B3793" s="451" t="str">
        <f>IFERROR(__xludf.DUMMYFUNCTION("""COMPUTED_VALUE"""),"")</f>
        <v/>
      </c>
    </row>
    <row r="3794">
      <c r="A3794" t="str">
        <f>IFERROR(__xludf.DUMMYFUNCTION("""COMPUTED_VALUE"""),"")</f>
        <v/>
      </c>
      <c r="B3794" s="451" t="str">
        <f>IFERROR(__xludf.DUMMYFUNCTION("""COMPUTED_VALUE"""),"")</f>
        <v/>
      </c>
    </row>
    <row r="3795">
      <c r="A3795" t="str">
        <f>IFERROR(__xludf.DUMMYFUNCTION("""COMPUTED_VALUE"""),"")</f>
        <v/>
      </c>
      <c r="B3795" s="451" t="str">
        <f>IFERROR(__xludf.DUMMYFUNCTION("""COMPUTED_VALUE"""),"")</f>
        <v/>
      </c>
    </row>
    <row r="3796">
      <c r="A3796" t="str">
        <f>IFERROR(__xludf.DUMMYFUNCTION("""COMPUTED_VALUE"""),"")</f>
        <v/>
      </c>
      <c r="B3796" s="451" t="str">
        <f>IFERROR(__xludf.DUMMYFUNCTION("""COMPUTED_VALUE"""),"")</f>
        <v/>
      </c>
    </row>
    <row r="3797">
      <c r="A3797" t="str">
        <f>IFERROR(__xludf.DUMMYFUNCTION("""COMPUTED_VALUE"""),"")</f>
        <v/>
      </c>
      <c r="B3797" s="451" t="str">
        <f>IFERROR(__xludf.DUMMYFUNCTION("""COMPUTED_VALUE"""),"")</f>
        <v/>
      </c>
    </row>
    <row r="3798">
      <c r="A3798" t="str">
        <f>IFERROR(__xludf.DUMMYFUNCTION("""COMPUTED_VALUE"""),"")</f>
        <v/>
      </c>
      <c r="B3798" s="451" t="str">
        <f>IFERROR(__xludf.DUMMYFUNCTION("""COMPUTED_VALUE"""),"")</f>
        <v/>
      </c>
    </row>
    <row r="3799">
      <c r="A3799" t="str">
        <f>IFERROR(__xludf.DUMMYFUNCTION("""COMPUTED_VALUE"""),"")</f>
        <v/>
      </c>
      <c r="B3799" s="451" t="str">
        <f>IFERROR(__xludf.DUMMYFUNCTION("""COMPUTED_VALUE"""),"")</f>
        <v/>
      </c>
    </row>
    <row r="3800">
      <c r="A3800" t="str">
        <f>IFERROR(__xludf.DUMMYFUNCTION("""COMPUTED_VALUE"""),"")</f>
        <v/>
      </c>
      <c r="B3800" s="451" t="str">
        <f>IFERROR(__xludf.DUMMYFUNCTION("""COMPUTED_VALUE"""),"")</f>
        <v/>
      </c>
    </row>
    <row r="3801">
      <c r="A3801" t="str">
        <f>IFERROR(__xludf.DUMMYFUNCTION("""COMPUTED_VALUE"""),"")</f>
        <v/>
      </c>
      <c r="B3801" s="451" t="str">
        <f>IFERROR(__xludf.DUMMYFUNCTION("""COMPUTED_VALUE"""),"")</f>
        <v/>
      </c>
    </row>
    <row r="3802">
      <c r="A3802" t="str">
        <f>IFERROR(__xludf.DUMMYFUNCTION("""COMPUTED_VALUE"""),"")</f>
        <v/>
      </c>
      <c r="B3802" s="451" t="str">
        <f>IFERROR(__xludf.DUMMYFUNCTION("""COMPUTED_VALUE"""),"")</f>
        <v/>
      </c>
    </row>
    <row r="3803">
      <c r="A3803" t="str">
        <f>IFERROR(__xludf.DUMMYFUNCTION("""COMPUTED_VALUE"""),"")</f>
        <v/>
      </c>
      <c r="B3803" s="451" t="str">
        <f>IFERROR(__xludf.DUMMYFUNCTION("""COMPUTED_VALUE"""),"")</f>
        <v/>
      </c>
    </row>
    <row r="3804">
      <c r="A3804" t="str">
        <f>IFERROR(__xludf.DUMMYFUNCTION("""COMPUTED_VALUE"""),"")</f>
        <v/>
      </c>
      <c r="B3804" s="451" t="str">
        <f>IFERROR(__xludf.DUMMYFUNCTION("""COMPUTED_VALUE"""),"")</f>
        <v/>
      </c>
    </row>
    <row r="3805">
      <c r="A3805" t="str">
        <f>IFERROR(__xludf.DUMMYFUNCTION("""COMPUTED_VALUE"""),"")</f>
        <v/>
      </c>
      <c r="B3805" s="451" t="str">
        <f>IFERROR(__xludf.DUMMYFUNCTION("""COMPUTED_VALUE"""),"")</f>
        <v/>
      </c>
    </row>
    <row r="3806">
      <c r="A3806" t="str">
        <f>IFERROR(__xludf.DUMMYFUNCTION("""COMPUTED_VALUE"""),"")</f>
        <v/>
      </c>
      <c r="B3806" s="451" t="str">
        <f>IFERROR(__xludf.DUMMYFUNCTION("""COMPUTED_VALUE"""),"")</f>
        <v/>
      </c>
    </row>
    <row r="3807">
      <c r="A3807" t="str">
        <f>IFERROR(__xludf.DUMMYFUNCTION("""COMPUTED_VALUE"""),"")</f>
        <v/>
      </c>
      <c r="B3807" s="451" t="str">
        <f>IFERROR(__xludf.DUMMYFUNCTION("""COMPUTED_VALUE"""),"")</f>
        <v/>
      </c>
    </row>
    <row r="3808">
      <c r="A3808" t="str">
        <f>IFERROR(__xludf.DUMMYFUNCTION("""COMPUTED_VALUE"""),"")</f>
        <v/>
      </c>
      <c r="B3808" s="451" t="str">
        <f>IFERROR(__xludf.DUMMYFUNCTION("""COMPUTED_VALUE"""),"")</f>
        <v/>
      </c>
    </row>
    <row r="3809">
      <c r="A3809" t="str">
        <f>IFERROR(__xludf.DUMMYFUNCTION("""COMPUTED_VALUE"""),"")</f>
        <v/>
      </c>
      <c r="B3809" s="451" t="str">
        <f>IFERROR(__xludf.DUMMYFUNCTION("""COMPUTED_VALUE"""),"")</f>
        <v/>
      </c>
    </row>
    <row r="3810">
      <c r="A3810" t="str">
        <f>IFERROR(__xludf.DUMMYFUNCTION("""COMPUTED_VALUE"""),"")</f>
        <v/>
      </c>
      <c r="B3810" s="451" t="str">
        <f>IFERROR(__xludf.DUMMYFUNCTION("""COMPUTED_VALUE"""),"")</f>
        <v/>
      </c>
    </row>
    <row r="3811">
      <c r="A3811" t="str">
        <f>IFERROR(__xludf.DUMMYFUNCTION("""COMPUTED_VALUE"""),"")</f>
        <v/>
      </c>
      <c r="B3811" s="451" t="str">
        <f>IFERROR(__xludf.DUMMYFUNCTION("""COMPUTED_VALUE"""),"")</f>
        <v/>
      </c>
    </row>
    <row r="3812">
      <c r="A3812" t="str">
        <f>IFERROR(__xludf.DUMMYFUNCTION("""COMPUTED_VALUE"""),"")</f>
        <v/>
      </c>
      <c r="B3812" s="451" t="str">
        <f>IFERROR(__xludf.DUMMYFUNCTION("""COMPUTED_VALUE"""),"")</f>
        <v/>
      </c>
    </row>
    <row r="3813">
      <c r="A3813" t="str">
        <f>IFERROR(__xludf.DUMMYFUNCTION("""COMPUTED_VALUE"""),"")</f>
        <v/>
      </c>
      <c r="B3813" s="451" t="str">
        <f>IFERROR(__xludf.DUMMYFUNCTION("""COMPUTED_VALUE"""),"")</f>
        <v/>
      </c>
    </row>
    <row r="3814">
      <c r="A3814" t="str">
        <f>IFERROR(__xludf.DUMMYFUNCTION("""COMPUTED_VALUE"""),"")</f>
        <v/>
      </c>
      <c r="B3814" s="451" t="str">
        <f>IFERROR(__xludf.DUMMYFUNCTION("""COMPUTED_VALUE"""),"")</f>
        <v/>
      </c>
    </row>
    <row r="3815">
      <c r="A3815" t="str">
        <f>IFERROR(__xludf.DUMMYFUNCTION("""COMPUTED_VALUE"""),"")</f>
        <v/>
      </c>
      <c r="B3815" s="451" t="str">
        <f>IFERROR(__xludf.DUMMYFUNCTION("""COMPUTED_VALUE"""),"")</f>
        <v/>
      </c>
    </row>
    <row r="3816">
      <c r="A3816" t="str">
        <f>IFERROR(__xludf.DUMMYFUNCTION("""COMPUTED_VALUE"""),"")</f>
        <v/>
      </c>
      <c r="B3816" s="451" t="str">
        <f>IFERROR(__xludf.DUMMYFUNCTION("""COMPUTED_VALUE"""),"")</f>
        <v/>
      </c>
    </row>
    <row r="3817">
      <c r="A3817" t="str">
        <f>IFERROR(__xludf.DUMMYFUNCTION("""COMPUTED_VALUE"""),"")</f>
        <v/>
      </c>
      <c r="B3817" s="451" t="str">
        <f>IFERROR(__xludf.DUMMYFUNCTION("""COMPUTED_VALUE"""),"")</f>
        <v/>
      </c>
    </row>
    <row r="3818">
      <c r="A3818" t="str">
        <f>IFERROR(__xludf.DUMMYFUNCTION("""COMPUTED_VALUE"""),"")</f>
        <v/>
      </c>
      <c r="B3818" s="451" t="str">
        <f>IFERROR(__xludf.DUMMYFUNCTION("""COMPUTED_VALUE"""),"")</f>
        <v/>
      </c>
    </row>
    <row r="3819">
      <c r="A3819" t="str">
        <f>IFERROR(__xludf.DUMMYFUNCTION("""COMPUTED_VALUE"""),"")</f>
        <v/>
      </c>
      <c r="B3819" s="451" t="str">
        <f>IFERROR(__xludf.DUMMYFUNCTION("""COMPUTED_VALUE"""),"")</f>
        <v/>
      </c>
    </row>
    <row r="3820">
      <c r="A3820" t="str">
        <f>IFERROR(__xludf.DUMMYFUNCTION("""COMPUTED_VALUE"""),"")</f>
        <v/>
      </c>
      <c r="B3820" s="451" t="str">
        <f>IFERROR(__xludf.DUMMYFUNCTION("""COMPUTED_VALUE"""),"")</f>
        <v/>
      </c>
    </row>
    <row r="3821">
      <c r="A3821" t="str">
        <f>IFERROR(__xludf.DUMMYFUNCTION("""COMPUTED_VALUE"""),"")</f>
        <v/>
      </c>
      <c r="B3821" s="451" t="str">
        <f>IFERROR(__xludf.DUMMYFUNCTION("""COMPUTED_VALUE"""),"")</f>
        <v/>
      </c>
    </row>
    <row r="3822">
      <c r="A3822" t="str">
        <f>IFERROR(__xludf.DUMMYFUNCTION("""COMPUTED_VALUE"""),"")</f>
        <v/>
      </c>
      <c r="B3822" s="451" t="str">
        <f>IFERROR(__xludf.DUMMYFUNCTION("""COMPUTED_VALUE"""),"")</f>
        <v/>
      </c>
    </row>
    <row r="3823">
      <c r="A3823" t="str">
        <f>IFERROR(__xludf.DUMMYFUNCTION("""COMPUTED_VALUE"""),"")</f>
        <v/>
      </c>
      <c r="B3823" s="451" t="str">
        <f>IFERROR(__xludf.DUMMYFUNCTION("""COMPUTED_VALUE"""),"")</f>
        <v/>
      </c>
    </row>
    <row r="3824">
      <c r="A3824" t="str">
        <f>IFERROR(__xludf.DUMMYFUNCTION("""COMPUTED_VALUE"""),"")</f>
        <v/>
      </c>
      <c r="B3824" s="451" t="str">
        <f>IFERROR(__xludf.DUMMYFUNCTION("""COMPUTED_VALUE"""),"")</f>
        <v/>
      </c>
    </row>
    <row r="3825">
      <c r="A3825" t="str">
        <f>IFERROR(__xludf.DUMMYFUNCTION("""COMPUTED_VALUE"""),"")</f>
        <v/>
      </c>
      <c r="B3825" s="451" t="str">
        <f>IFERROR(__xludf.DUMMYFUNCTION("""COMPUTED_VALUE"""),"")</f>
        <v/>
      </c>
    </row>
    <row r="3826">
      <c r="A3826" t="str">
        <f>IFERROR(__xludf.DUMMYFUNCTION("""COMPUTED_VALUE"""),"")</f>
        <v/>
      </c>
      <c r="B3826" s="451" t="str">
        <f>IFERROR(__xludf.DUMMYFUNCTION("""COMPUTED_VALUE"""),"")</f>
        <v/>
      </c>
    </row>
    <row r="3827">
      <c r="A3827" t="str">
        <f>IFERROR(__xludf.DUMMYFUNCTION("""COMPUTED_VALUE"""),"")</f>
        <v/>
      </c>
      <c r="B3827" s="451" t="str">
        <f>IFERROR(__xludf.DUMMYFUNCTION("""COMPUTED_VALUE"""),"")</f>
        <v/>
      </c>
    </row>
    <row r="3828">
      <c r="A3828" t="str">
        <f>IFERROR(__xludf.DUMMYFUNCTION("""COMPUTED_VALUE"""),"")</f>
        <v/>
      </c>
      <c r="B3828" s="451" t="str">
        <f>IFERROR(__xludf.DUMMYFUNCTION("""COMPUTED_VALUE"""),"")</f>
        <v/>
      </c>
    </row>
    <row r="3829">
      <c r="A3829" t="str">
        <f>IFERROR(__xludf.DUMMYFUNCTION("""COMPUTED_VALUE"""),"")</f>
        <v/>
      </c>
      <c r="B3829" s="451" t="str">
        <f>IFERROR(__xludf.DUMMYFUNCTION("""COMPUTED_VALUE"""),"")</f>
        <v/>
      </c>
    </row>
    <row r="3830">
      <c r="A3830" t="str">
        <f>IFERROR(__xludf.DUMMYFUNCTION("""COMPUTED_VALUE"""),"")</f>
        <v/>
      </c>
      <c r="B3830" s="451" t="str">
        <f>IFERROR(__xludf.DUMMYFUNCTION("""COMPUTED_VALUE"""),"")</f>
        <v/>
      </c>
    </row>
    <row r="3831">
      <c r="A3831" t="str">
        <f>IFERROR(__xludf.DUMMYFUNCTION("""COMPUTED_VALUE"""),"")</f>
        <v/>
      </c>
      <c r="B3831" s="451" t="str">
        <f>IFERROR(__xludf.DUMMYFUNCTION("""COMPUTED_VALUE"""),"")</f>
        <v/>
      </c>
    </row>
    <row r="3832">
      <c r="A3832" t="str">
        <f>IFERROR(__xludf.DUMMYFUNCTION("""COMPUTED_VALUE"""),"")</f>
        <v/>
      </c>
      <c r="B3832" s="451" t="str">
        <f>IFERROR(__xludf.DUMMYFUNCTION("""COMPUTED_VALUE"""),"")</f>
        <v/>
      </c>
    </row>
    <row r="3833">
      <c r="A3833" t="str">
        <f>IFERROR(__xludf.DUMMYFUNCTION("""COMPUTED_VALUE"""),"")</f>
        <v/>
      </c>
      <c r="B3833" s="451" t="str">
        <f>IFERROR(__xludf.DUMMYFUNCTION("""COMPUTED_VALUE"""),"")</f>
        <v/>
      </c>
    </row>
    <row r="3834">
      <c r="A3834" t="str">
        <f>IFERROR(__xludf.DUMMYFUNCTION("""COMPUTED_VALUE"""),"")</f>
        <v/>
      </c>
      <c r="B3834" s="451" t="str">
        <f>IFERROR(__xludf.DUMMYFUNCTION("""COMPUTED_VALUE"""),"")</f>
        <v/>
      </c>
    </row>
    <row r="3835">
      <c r="A3835" t="str">
        <f>IFERROR(__xludf.DUMMYFUNCTION("""COMPUTED_VALUE"""),"")</f>
        <v/>
      </c>
      <c r="B3835" s="451" t="str">
        <f>IFERROR(__xludf.DUMMYFUNCTION("""COMPUTED_VALUE"""),"")</f>
        <v/>
      </c>
    </row>
    <row r="3836">
      <c r="A3836" t="str">
        <f>IFERROR(__xludf.DUMMYFUNCTION("""COMPUTED_VALUE"""),"")</f>
        <v/>
      </c>
      <c r="B3836" s="451" t="str">
        <f>IFERROR(__xludf.DUMMYFUNCTION("""COMPUTED_VALUE"""),"")</f>
        <v/>
      </c>
    </row>
    <row r="3837">
      <c r="A3837" t="str">
        <f>IFERROR(__xludf.DUMMYFUNCTION("""COMPUTED_VALUE"""),"")</f>
        <v/>
      </c>
      <c r="B3837" s="451" t="str">
        <f>IFERROR(__xludf.DUMMYFUNCTION("""COMPUTED_VALUE"""),"")</f>
        <v/>
      </c>
    </row>
    <row r="3838">
      <c r="A3838" t="str">
        <f>IFERROR(__xludf.DUMMYFUNCTION("""COMPUTED_VALUE"""),"")</f>
        <v/>
      </c>
      <c r="B3838" s="451" t="str">
        <f>IFERROR(__xludf.DUMMYFUNCTION("""COMPUTED_VALUE"""),"")</f>
        <v/>
      </c>
    </row>
    <row r="3839">
      <c r="A3839" t="str">
        <f>IFERROR(__xludf.DUMMYFUNCTION("""COMPUTED_VALUE"""),"")</f>
        <v/>
      </c>
      <c r="B3839" s="451" t="str">
        <f>IFERROR(__xludf.DUMMYFUNCTION("""COMPUTED_VALUE"""),"")</f>
        <v/>
      </c>
    </row>
    <row r="3840">
      <c r="A3840" t="str">
        <f>IFERROR(__xludf.DUMMYFUNCTION("""COMPUTED_VALUE"""),"")</f>
        <v/>
      </c>
      <c r="B3840" s="451" t="str">
        <f>IFERROR(__xludf.DUMMYFUNCTION("""COMPUTED_VALUE"""),"")</f>
        <v/>
      </c>
    </row>
    <row r="3841">
      <c r="A3841" t="str">
        <f>IFERROR(__xludf.DUMMYFUNCTION("""COMPUTED_VALUE"""),"")</f>
        <v/>
      </c>
      <c r="B3841" s="451" t="str">
        <f>IFERROR(__xludf.DUMMYFUNCTION("""COMPUTED_VALUE"""),"")</f>
        <v/>
      </c>
    </row>
    <row r="3842">
      <c r="A3842" t="str">
        <f>IFERROR(__xludf.DUMMYFUNCTION("""COMPUTED_VALUE"""),"")</f>
        <v/>
      </c>
      <c r="B3842" s="451" t="str">
        <f>IFERROR(__xludf.DUMMYFUNCTION("""COMPUTED_VALUE"""),"")</f>
        <v/>
      </c>
    </row>
    <row r="3843">
      <c r="A3843" t="str">
        <f>IFERROR(__xludf.DUMMYFUNCTION("""COMPUTED_VALUE"""),"")</f>
        <v/>
      </c>
      <c r="B3843" s="451" t="str">
        <f>IFERROR(__xludf.DUMMYFUNCTION("""COMPUTED_VALUE"""),"")</f>
        <v/>
      </c>
    </row>
    <row r="3844">
      <c r="A3844" t="str">
        <f>IFERROR(__xludf.DUMMYFUNCTION("""COMPUTED_VALUE"""),"")</f>
        <v/>
      </c>
      <c r="B3844" s="451" t="str">
        <f>IFERROR(__xludf.DUMMYFUNCTION("""COMPUTED_VALUE"""),"")</f>
        <v/>
      </c>
    </row>
    <row r="3845">
      <c r="A3845" t="str">
        <f>IFERROR(__xludf.DUMMYFUNCTION("""COMPUTED_VALUE"""),"")</f>
        <v/>
      </c>
      <c r="B3845" s="451" t="str">
        <f>IFERROR(__xludf.DUMMYFUNCTION("""COMPUTED_VALUE"""),"")</f>
        <v/>
      </c>
    </row>
    <row r="3846">
      <c r="A3846" t="str">
        <f>IFERROR(__xludf.DUMMYFUNCTION("""COMPUTED_VALUE"""),"")</f>
        <v/>
      </c>
      <c r="B3846" s="451" t="str">
        <f>IFERROR(__xludf.DUMMYFUNCTION("""COMPUTED_VALUE"""),"")</f>
        <v/>
      </c>
    </row>
    <row r="3847">
      <c r="A3847" t="str">
        <f>IFERROR(__xludf.DUMMYFUNCTION("""COMPUTED_VALUE"""),"")</f>
        <v/>
      </c>
      <c r="B3847" s="451" t="str">
        <f>IFERROR(__xludf.DUMMYFUNCTION("""COMPUTED_VALUE"""),"")</f>
        <v/>
      </c>
    </row>
    <row r="3848">
      <c r="A3848" t="str">
        <f>IFERROR(__xludf.DUMMYFUNCTION("""COMPUTED_VALUE"""),"")</f>
        <v/>
      </c>
      <c r="B3848" s="451" t="str">
        <f>IFERROR(__xludf.DUMMYFUNCTION("""COMPUTED_VALUE"""),"")</f>
        <v/>
      </c>
    </row>
    <row r="3849">
      <c r="A3849" t="str">
        <f>IFERROR(__xludf.DUMMYFUNCTION("""COMPUTED_VALUE"""),"")</f>
        <v/>
      </c>
      <c r="B3849" s="451" t="str">
        <f>IFERROR(__xludf.DUMMYFUNCTION("""COMPUTED_VALUE"""),"")</f>
        <v/>
      </c>
    </row>
    <row r="3850">
      <c r="A3850" t="str">
        <f>IFERROR(__xludf.DUMMYFUNCTION("""COMPUTED_VALUE"""),"")</f>
        <v/>
      </c>
      <c r="B3850" s="451" t="str">
        <f>IFERROR(__xludf.DUMMYFUNCTION("""COMPUTED_VALUE"""),"")</f>
        <v/>
      </c>
    </row>
    <row r="3851">
      <c r="A3851" t="str">
        <f>IFERROR(__xludf.DUMMYFUNCTION("""COMPUTED_VALUE"""),"")</f>
        <v/>
      </c>
      <c r="B3851" s="451" t="str">
        <f>IFERROR(__xludf.DUMMYFUNCTION("""COMPUTED_VALUE"""),"")</f>
        <v/>
      </c>
    </row>
    <row r="3852">
      <c r="A3852" t="str">
        <f>IFERROR(__xludf.DUMMYFUNCTION("""COMPUTED_VALUE"""),"")</f>
        <v/>
      </c>
      <c r="B3852" s="451" t="str">
        <f>IFERROR(__xludf.DUMMYFUNCTION("""COMPUTED_VALUE"""),"")</f>
        <v/>
      </c>
    </row>
    <row r="3853">
      <c r="A3853" t="str">
        <f>IFERROR(__xludf.DUMMYFUNCTION("""COMPUTED_VALUE"""),"")</f>
        <v/>
      </c>
      <c r="B3853" s="451" t="str">
        <f>IFERROR(__xludf.DUMMYFUNCTION("""COMPUTED_VALUE"""),"")</f>
        <v/>
      </c>
    </row>
    <row r="3854">
      <c r="A3854" t="str">
        <f>IFERROR(__xludf.DUMMYFUNCTION("""COMPUTED_VALUE"""),"")</f>
        <v/>
      </c>
      <c r="B3854" s="451" t="str">
        <f>IFERROR(__xludf.DUMMYFUNCTION("""COMPUTED_VALUE"""),"")</f>
        <v/>
      </c>
    </row>
    <row r="3855">
      <c r="A3855" t="str">
        <f>IFERROR(__xludf.DUMMYFUNCTION("""COMPUTED_VALUE"""),"")</f>
        <v/>
      </c>
      <c r="B3855" s="451" t="str">
        <f>IFERROR(__xludf.DUMMYFUNCTION("""COMPUTED_VALUE"""),"")</f>
        <v/>
      </c>
    </row>
    <row r="3856">
      <c r="A3856" t="str">
        <f>IFERROR(__xludf.DUMMYFUNCTION("""COMPUTED_VALUE"""),"")</f>
        <v/>
      </c>
      <c r="B3856" s="451" t="str">
        <f>IFERROR(__xludf.DUMMYFUNCTION("""COMPUTED_VALUE"""),"")</f>
        <v/>
      </c>
    </row>
    <row r="3857">
      <c r="A3857" t="str">
        <f>IFERROR(__xludf.DUMMYFUNCTION("""COMPUTED_VALUE"""),"")</f>
        <v/>
      </c>
      <c r="B3857" s="451" t="str">
        <f>IFERROR(__xludf.DUMMYFUNCTION("""COMPUTED_VALUE"""),"")</f>
        <v/>
      </c>
    </row>
    <row r="3858">
      <c r="A3858" t="str">
        <f>IFERROR(__xludf.DUMMYFUNCTION("""COMPUTED_VALUE"""),"")</f>
        <v/>
      </c>
      <c r="B3858" s="451" t="str">
        <f>IFERROR(__xludf.DUMMYFUNCTION("""COMPUTED_VALUE"""),"")</f>
        <v/>
      </c>
    </row>
    <row r="3859">
      <c r="A3859" t="str">
        <f>IFERROR(__xludf.DUMMYFUNCTION("""COMPUTED_VALUE"""),"")</f>
        <v/>
      </c>
      <c r="B3859" s="451" t="str">
        <f>IFERROR(__xludf.DUMMYFUNCTION("""COMPUTED_VALUE"""),"")</f>
        <v/>
      </c>
    </row>
    <row r="3860">
      <c r="A3860" t="str">
        <f>IFERROR(__xludf.DUMMYFUNCTION("""COMPUTED_VALUE"""),"")</f>
        <v/>
      </c>
      <c r="B3860" s="451" t="str">
        <f>IFERROR(__xludf.DUMMYFUNCTION("""COMPUTED_VALUE"""),"")</f>
        <v/>
      </c>
    </row>
    <row r="3861">
      <c r="A3861" t="str">
        <f>IFERROR(__xludf.DUMMYFUNCTION("""COMPUTED_VALUE"""),"")</f>
        <v/>
      </c>
      <c r="B3861" s="451" t="str">
        <f>IFERROR(__xludf.DUMMYFUNCTION("""COMPUTED_VALUE"""),"")</f>
        <v/>
      </c>
    </row>
    <row r="3862">
      <c r="A3862" t="str">
        <f>IFERROR(__xludf.DUMMYFUNCTION("""COMPUTED_VALUE"""),"")</f>
        <v/>
      </c>
      <c r="B3862" s="451" t="str">
        <f>IFERROR(__xludf.DUMMYFUNCTION("""COMPUTED_VALUE"""),"")</f>
        <v/>
      </c>
    </row>
    <row r="3863">
      <c r="A3863" t="str">
        <f>IFERROR(__xludf.DUMMYFUNCTION("""COMPUTED_VALUE"""),"")</f>
        <v/>
      </c>
      <c r="B3863" s="451" t="str">
        <f>IFERROR(__xludf.DUMMYFUNCTION("""COMPUTED_VALUE"""),"")</f>
        <v/>
      </c>
    </row>
    <row r="3864">
      <c r="A3864" t="str">
        <f>IFERROR(__xludf.DUMMYFUNCTION("""COMPUTED_VALUE"""),"")</f>
        <v/>
      </c>
      <c r="B3864" s="451" t="str">
        <f>IFERROR(__xludf.DUMMYFUNCTION("""COMPUTED_VALUE"""),"")</f>
        <v/>
      </c>
    </row>
    <row r="3865">
      <c r="A3865" t="str">
        <f>IFERROR(__xludf.DUMMYFUNCTION("""COMPUTED_VALUE"""),"")</f>
        <v/>
      </c>
      <c r="B3865" s="451" t="str">
        <f>IFERROR(__xludf.DUMMYFUNCTION("""COMPUTED_VALUE"""),"")</f>
        <v/>
      </c>
    </row>
    <row r="3866">
      <c r="A3866" t="str">
        <f>IFERROR(__xludf.DUMMYFUNCTION("""COMPUTED_VALUE"""),"")</f>
        <v/>
      </c>
      <c r="B3866" s="451" t="str">
        <f>IFERROR(__xludf.DUMMYFUNCTION("""COMPUTED_VALUE"""),"")</f>
        <v/>
      </c>
    </row>
    <row r="3867">
      <c r="A3867" t="str">
        <f>IFERROR(__xludf.DUMMYFUNCTION("""COMPUTED_VALUE"""),"")</f>
        <v/>
      </c>
      <c r="B3867" s="451" t="str">
        <f>IFERROR(__xludf.DUMMYFUNCTION("""COMPUTED_VALUE"""),"")</f>
        <v/>
      </c>
    </row>
    <row r="3868">
      <c r="A3868" t="str">
        <f>IFERROR(__xludf.DUMMYFUNCTION("""COMPUTED_VALUE"""),"")</f>
        <v/>
      </c>
      <c r="B3868" s="451" t="str">
        <f>IFERROR(__xludf.DUMMYFUNCTION("""COMPUTED_VALUE"""),"")</f>
        <v/>
      </c>
    </row>
    <row r="3869">
      <c r="A3869" t="str">
        <f>IFERROR(__xludf.DUMMYFUNCTION("""COMPUTED_VALUE"""),"")</f>
        <v/>
      </c>
      <c r="B3869" s="451" t="str">
        <f>IFERROR(__xludf.DUMMYFUNCTION("""COMPUTED_VALUE"""),"")</f>
        <v/>
      </c>
    </row>
    <row r="3870">
      <c r="A3870" t="str">
        <f>IFERROR(__xludf.DUMMYFUNCTION("""COMPUTED_VALUE"""),"")</f>
        <v/>
      </c>
      <c r="B3870" s="451" t="str">
        <f>IFERROR(__xludf.DUMMYFUNCTION("""COMPUTED_VALUE"""),"")</f>
        <v/>
      </c>
    </row>
    <row r="3871">
      <c r="A3871" t="str">
        <f>IFERROR(__xludf.DUMMYFUNCTION("""COMPUTED_VALUE"""),"")</f>
        <v/>
      </c>
      <c r="B3871" s="451" t="str">
        <f>IFERROR(__xludf.DUMMYFUNCTION("""COMPUTED_VALUE"""),"")</f>
        <v/>
      </c>
    </row>
    <row r="3872">
      <c r="A3872" t="str">
        <f>IFERROR(__xludf.DUMMYFUNCTION("""COMPUTED_VALUE"""),"")</f>
        <v/>
      </c>
      <c r="B3872" s="451" t="str">
        <f>IFERROR(__xludf.DUMMYFUNCTION("""COMPUTED_VALUE"""),"")</f>
        <v/>
      </c>
    </row>
    <row r="3873">
      <c r="A3873" t="str">
        <f>IFERROR(__xludf.DUMMYFUNCTION("""COMPUTED_VALUE"""),"")</f>
        <v/>
      </c>
      <c r="B3873" s="451" t="str">
        <f>IFERROR(__xludf.DUMMYFUNCTION("""COMPUTED_VALUE"""),"")</f>
        <v/>
      </c>
    </row>
    <row r="3874">
      <c r="A3874" t="str">
        <f>IFERROR(__xludf.DUMMYFUNCTION("""COMPUTED_VALUE"""),"")</f>
        <v/>
      </c>
      <c r="B3874" s="451" t="str">
        <f>IFERROR(__xludf.DUMMYFUNCTION("""COMPUTED_VALUE"""),"")</f>
        <v/>
      </c>
    </row>
    <row r="3875">
      <c r="A3875" t="str">
        <f>IFERROR(__xludf.DUMMYFUNCTION("""COMPUTED_VALUE"""),"")</f>
        <v/>
      </c>
      <c r="B3875" s="451" t="str">
        <f>IFERROR(__xludf.DUMMYFUNCTION("""COMPUTED_VALUE"""),"")</f>
        <v/>
      </c>
    </row>
    <row r="3876">
      <c r="A3876" t="str">
        <f>IFERROR(__xludf.DUMMYFUNCTION("""COMPUTED_VALUE"""),"")</f>
        <v/>
      </c>
      <c r="B3876" s="451" t="str">
        <f>IFERROR(__xludf.DUMMYFUNCTION("""COMPUTED_VALUE"""),"")</f>
        <v/>
      </c>
    </row>
    <row r="3877">
      <c r="A3877" t="str">
        <f>IFERROR(__xludf.DUMMYFUNCTION("""COMPUTED_VALUE"""),"")</f>
        <v/>
      </c>
      <c r="B3877" s="451" t="str">
        <f>IFERROR(__xludf.DUMMYFUNCTION("""COMPUTED_VALUE"""),"")</f>
        <v/>
      </c>
    </row>
    <row r="3878">
      <c r="A3878" t="str">
        <f>IFERROR(__xludf.DUMMYFUNCTION("""COMPUTED_VALUE"""),"")</f>
        <v/>
      </c>
      <c r="B3878" s="451" t="str">
        <f>IFERROR(__xludf.DUMMYFUNCTION("""COMPUTED_VALUE"""),"")</f>
        <v/>
      </c>
    </row>
    <row r="3879">
      <c r="A3879" t="str">
        <f>IFERROR(__xludf.DUMMYFUNCTION("""COMPUTED_VALUE"""),"")</f>
        <v/>
      </c>
      <c r="B3879" s="451" t="str">
        <f>IFERROR(__xludf.DUMMYFUNCTION("""COMPUTED_VALUE"""),"")</f>
        <v/>
      </c>
    </row>
    <row r="3880">
      <c r="A3880" t="str">
        <f>IFERROR(__xludf.DUMMYFUNCTION("""COMPUTED_VALUE"""),"")</f>
        <v/>
      </c>
      <c r="B3880" s="451" t="str">
        <f>IFERROR(__xludf.DUMMYFUNCTION("""COMPUTED_VALUE"""),"")</f>
        <v/>
      </c>
    </row>
    <row r="3881">
      <c r="A3881" t="str">
        <f>IFERROR(__xludf.DUMMYFUNCTION("""COMPUTED_VALUE"""),"")</f>
        <v/>
      </c>
      <c r="B3881" s="451" t="str">
        <f>IFERROR(__xludf.DUMMYFUNCTION("""COMPUTED_VALUE"""),"")</f>
        <v/>
      </c>
    </row>
    <row r="3882">
      <c r="A3882" t="str">
        <f>IFERROR(__xludf.DUMMYFUNCTION("""COMPUTED_VALUE"""),"")</f>
        <v/>
      </c>
      <c r="B3882" s="451" t="str">
        <f>IFERROR(__xludf.DUMMYFUNCTION("""COMPUTED_VALUE"""),"")</f>
        <v/>
      </c>
    </row>
    <row r="3883">
      <c r="A3883" t="str">
        <f>IFERROR(__xludf.DUMMYFUNCTION("""COMPUTED_VALUE"""),"")</f>
        <v/>
      </c>
      <c r="B3883" s="451" t="str">
        <f>IFERROR(__xludf.DUMMYFUNCTION("""COMPUTED_VALUE"""),"")</f>
        <v/>
      </c>
    </row>
    <row r="3884">
      <c r="A3884" t="str">
        <f>IFERROR(__xludf.DUMMYFUNCTION("""COMPUTED_VALUE"""),"")</f>
        <v/>
      </c>
      <c r="B3884" s="451" t="str">
        <f>IFERROR(__xludf.DUMMYFUNCTION("""COMPUTED_VALUE"""),"")</f>
        <v/>
      </c>
    </row>
    <row r="3885">
      <c r="A3885" t="str">
        <f>IFERROR(__xludf.DUMMYFUNCTION("""COMPUTED_VALUE"""),"")</f>
        <v/>
      </c>
      <c r="B3885" s="451" t="str">
        <f>IFERROR(__xludf.DUMMYFUNCTION("""COMPUTED_VALUE"""),"")</f>
        <v/>
      </c>
    </row>
    <row r="3886">
      <c r="A3886" t="str">
        <f>IFERROR(__xludf.DUMMYFUNCTION("""COMPUTED_VALUE"""),"")</f>
        <v/>
      </c>
      <c r="B3886" s="451" t="str">
        <f>IFERROR(__xludf.DUMMYFUNCTION("""COMPUTED_VALUE"""),"")</f>
        <v/>
      </c>
    </row>
    <row r="3887">
      <c r="A3887" t="str">
        <f>IFERROR(__xludf.DUMMYFUNCTION("""COMPUTED_VALUE"""),"")</f>
        <v/>
      </c>
      <c r="B3887" s="451" t="str">
        <f>IFERROR(__xludf.DUMMYFUNCTION("""COMPUTED_VALUE"""),"")</f>
        <v/>
      </c>
    </row>
    <row r="3888">
      <c r="A3888" t="str">
        <f>IFERROR(__xludf.DUMMYFUNCTION("""COMPUTED_VALUE"""),"")</f>
        <v/>
      </c>
      <c r="B3888" s="451" t="str">
        <f>IFERROR(__xludf.DUMMYFUNCTION("""COMPUTED_VALUE"""),"")</f>
        <v/>
      </c>
    </row>
    <row r="3889">
      <c r="A3889" t="str">
        <f>IFERROR(__xludf.DUMMYFUNCTION("""COMPUTED_VALUE"""),"")</f>
        <v/>
      </c>
      <c r="B3889" s="451" t="str">
        <f>IFERROR(__xludf.DUMMYFUNCTION("""COMPUTED_VALUE"""),"")</f>
        <v/>
      </c>
    </row>
    <row r="3890">
      <c r="A3890" t="str">
        <f>IFERROR(__xludf.DUMMYFUNCTION("""COMPUTED_VALUE"""),"")</f>
        <v/>
      </c>
      <c r="B3890" s="451" t="str">
        <f>IFERROR(__xludf.DUMMYFUNCTION("""COMPUTED_VALUE"""),"")</f>
        <v/>
      </c>
    </row>
    <row r="3891">
      <c r="A3891" t="str">
        <f>IFERROR(__xludf.DUMMYFUNCTION("""COMPUTED_VALUE"""),"")</f>
        <v/>
      </c>
      <c r="B3891" s="451" t="str">
        <f>IFERROR(__xludf.DUMMYFUNCTION("""COMPUTED_VALUE"""),"")</f>
        <v/>
      </c>
    </row>
    <row r="3892">
      <c r="A3892" t="str">
        <f>IFERROR(__xludf.DUMMYFUNCTION("""COMPUTED_VALUE"""),"")</f>
        <v/>
      </c>
      <c r="B3892" s="451" t="str">
        <f>IFERROR(__xludf.DUMMYFUNCTION("""COMPUTED_VALUE"""),"")</f>
        <v/>
      </c>
    </row>
    <row r="3893">
      <c r="A3893" t="str">
        <f>IFERROR(__xludf.DUMMYFUNCTION("""COMPUTED_VALUE"""),"")</f>
        <v/>
      </c>
      <c r="B3893" s="451" t="str">
        <f>IFERROR(__xludf.DUMMYFUNCTION("""COMPUTED_VALUE"""),"")</f>
        <v/>
      </c>
    </row>
    <row r="3894">
      <c r="A3894" t="str">
        <f>IFERROR(__xludf.DUMMYFUNCTION("""COMPUTED_VALUE"""),"")</f>
        <v/>
      </c>
      <c r="B3894" s="451" t="str">
        <f>IFERROR(__xludf.DUMMYFUNCTION("""COMPUTED_VALUE"""),"")</f>
        <v/>
      </c>
    </row>
    <row r="3895">
      <c r="A3895" t="str">
        <f>IFERROR(__xludf.DUMMYFUNCTION("""COMPUTED_VALUE"""),"")</f>
        <v/>
      </c>
      <c r="B3895" s="451" t="str">
        <f>IFERROR(__xludf.DUMMYFUNCTION("""COMPUTED_VALUE"""),"")</f>
        <v/>
      </c>
    </row>
    <row r="3896">
      <c r="A3896" t="str">
        <f>IFERROR(__xludf.DUMMYFUNCTION("""COMPUTED_VALUE"""),"")</f>
        <v/>
      </c>
      <c r="B3896" s="451" t="str">
        <f>IFERROR(__xludf.DUMMYFUNCTION("""COMPUTED_VALUE"""),"")</f>
        <v/>
      </c>
    </row>
    <row r="3897">
      <c r="A3897" t="str">
        <f>IFERROR(__xludf.DUMMYFUNCTION("""COMPUTED_VALUE"""),"")</f>
        <v/>
      </c>
      <c r="B3897" s="451" t="str">
        <f>IFERROR(__xludf.DUMMYFUNCTION("""COMPUTED_VALUE"""),"")</f>
        <v/>
      </c>
    </row>
    <row r="3898">
      <c r="A3898" t="str">
        <f>IFERROR(__xludf.DUMMYFUNCTION("""COMPUTED_VALUE"""),"")</f>
        <v/>
      </c>
      <c r="B3898" s="451" t="str">
        <f>IFERROR(__xludf.DUMMYFUNCTION("""COMPUTED_VALUE"""),"")</f>
        <v/>
      </c>
    </row>
    <row r="3899">
      <c r="A3899" t="str">
        <f>IFERROR(__xludf.DUMMYFUNCTION("""COMPUTED_VALUE"""),"")</f>
        <v/>
      </c>
      <c r="B3899" s="451" t="str">
        <f>IFERROR(__xludf.DUMMYFUNCTION("""COMPUTED_VALUE"""),"")</f>
        <v/>
      </c>
    </row>
    <row r="3900">
      <c r="A3900" t="str">
        <f>IFERROR(__xludf.DUMMYFUNCTION("""COMPUTED_VALUE"""),"")</f>
        <v/>
      </c>
      <c r="B3900" s="451" t="str">
        <f>IFERROR(__xludf.DUMMYFUNCTION("""COMPUTED_VALUE"""),"")</f>
        <v/>
      </c>
    </row>
    <row r="3901">
      <c r="A3901" t="str">
        <f>IFERROR(__xludf.DUMMYFUNCTION("""COMPUTED_VALUE"""),"")</f>
        <v/>
      </c>
      <c r="B3901" s="451" t="str">
        <f>IFERROR(__xludf.DUMMYFUNCTION("""COMPUTED_VALUE"""),"")</f>
        <v/>
      </c>
    </row>
    <row r="3902">
      <c r="A3902" t="str">
        <f>IFERROR(__xludf.DUMMYFUNCTION("""COMPUTED_VALUE"""),"")</f>
        <v/>
      </c>
      <c r="B3902" s="451" t="str">
        <f>IFERROR(__xludf.DUMMYFUNCTION("""COMPUTED_VALUE"""),"")</f>
        <v/>
      </c>
    </row>
    <row r="3903">
      <c r="A3903" t="str">
        <f>IFERROR(__xludf.DUMMYFUNCTION("""COMPUTED_VALUE"""),"")</f>
        <v/>
      </c>
      <c r="B3903" s="451" t="str">
        <f>IFERROR(__xludf.DUMMYFUNCTION("""COMPUTED_VALUE"""),"")</f>
        <v/>
      </c>
    </row>
    <row r="3904">
      <c r="A3904" t="str">
        <f>IFERROR(__xludf.DUMMYFUNCTION("""COMPUTED_VALUE"""),"")</f>
        <v/>
      </c>
      <c r="B3904" s="451" t="str">
        <f>IFERROR(__xludf.DUMMYFUNCTION("""COMPUTED_VALUE"""),"")</f>
        <v/>
      </c>
    </row>
    <row r="3905">
      <c r="A3905" t="str">
        <f>IFERROR(__xludf.DUMMYFUNCTION("""COMPUTED_VALUE"""),"")</f>
        <v/>
      </c>
      <c r="B3905" s="451" t="str">
        <f>IFERROR(__xludf.DUMMYFUNCTION("""COMPUTED_VALUE"""),"")</f>
        <v/>
      </c>
    </row>
    <row r="3906">
      <c r="A3906" t="str">
        <f>IFERROR(__xludf.DUMMYFUNCTION("""COMPUTED_VALUE"""),"")</f>
        <v/>
      </c>
      <c r="B3906" s="451" t="str">
        <f>IFERROR(__xludf.DUMMYFUNCTION("""COMPUTED_VALUE"""),"")</f>
        <v/>
      </c>
    </row>
    <row r="3907">
      <c r="A3907" t="str">
        <f>IFERROR(__xludf.DUMMYFUNCTION("""COMPUTED_VALUE"""),"")</f>
        <v/>
      </c>
      <c r="B3907" s="451" t="str">
        <f>IFERROR(__xludf.DUMMYFUNCTION("""COMPUTED_VALUE"""),"")</f>
        <v/>
      </c>
    </row>
    <row r="3908">
      <c r="A3908" t="str">
        <f>IFERROR(__xludf.DUMMYFUNCTION("""COMPUTED_VALUE"""),"")</f>
        <v/>
      </c>
      <c r="B3908" s="451" t="str">
        <f>IFERROR(__xludf.DUMMYFUNCTION("""COMPUTED_VALUE"""),"")</f>
        <v/>
      </c>
    </row>
    <row r="3909">
      <c r="A3909" t="str">
        <f>IFERROR(__xludf.DUMMYFUNCTION("""COMPUTED_VALUE"""),"")</f>
        <v/>
      </c>
      <c r="B3909" s="451" t="str">
        <f>IFERROR(__xludf.DUMMYFUNCTION("""COMPUTED_VALUE"""),"")</f>
        <v/>
      </c>
    </row>
    <row r="3910">
      <c r="A3910" t="str">
        <f>IFERROR(__xludf.DUMMYFUNCTION("""COMPUTED_VALUE"""),"")</f>
        <v/>
      </c>
      <c r="B3910" s="451" t="str">
        <f>IFERROR(__xludf.DUMMYFUNCTION("""COMPUTED_VALUE"""),"")</f>
        <v/>
      </c>
    </row>
    <row r="3911">
      <c r="A3911" t="str">
        <f>IFERROR(__xludf.DUMMYFUNCTION("""COMPUTED_VALUE"""),"")</f>
        <v/>
      </c>
      <c r="B3911" s="451" t="str">
        <f>IFERROR(__xludf.DUMMYFUNCTION("""COMPUTED_VALUE"""),"")</f>
        <v/>
      </c>
    </row>
    <row r="3912">
      <c r="A3912" t="str">
        <f>IFERROR(__xludf.DUMMYFUNCTION("""COMPUTED_VALUE"""),"")</f>
        <v/>
      </c>
      <c r="B3912" s="451" t="str">
        <f>IFERROR(__xludf.DUMMYFUNCTION("""COMPUTED_VALUE"""),"")</f>
        <v/>
      </c>
    </row>
    <row r="3913">
      <c r="A3913" t="str">
        <f>IFERROR(__xludf.DUMMYFUNCTION("""COMPUTED_VALUE"""),"")</f>
        <v/>
      </c>
      <c r="B3913" s="451" t="str">
        <f>IFERROR(__xludf.DUMMYFUNCTION("""COMPUTED_VALUE"""),"")</f>
        <v/>
      </c>
    </row>
    <row r="3914">
      <c r="A3914" t="str">
        <f>IFERROR(__xludf.DUMMYFUNCTION("""COMPUTED_VALUE"""),"")</f>
        <v/>
      </c>
      <c r="B3914" s="451" t="str">
        <f>IFERROR(__xludf.DUMMYFUNCTION("""COMPUTED_VALUE"""),"")</f>
        <v/>
      </c>
    </row>
    <row r="3915">
      <c r="A3915" t="str">
        <f>IFERROR(__xludf.DUMMYFUNCTION("""COMPUTED_VALUE"""),"")</f>
        <v/>
      </c>
      <c r="B3915" s="451" t="str">
        <f>IFERROR(__xludf.DUMMYFUNCTION("""COMPUTED_VALUE"""),"")</f>
        <v/>
      </c>
    </row>
    <row r="3916">
      <c r="A3916" t="str">
        <f>IFERROR(__xludf.DUMMYFUNCTION("""COMPUTED_VALUE"""),"")</f>
        <v/>
      </c>
      <c r="B3916" s="451" t="str">
        <f>IFERROR(__xludf.DUMMYFUNCTION("""COMPUTED_VALUE"""),"")</f>
        <v/>
      </c>
    </row>
    <row r="3917">
      <c r="A3917" t="str">
        <f>IFERROR(__xludf.DUMMYFUNCTION("""COMPUTED_VALUE"""),"")</f>
        <v/>
      </c>
      <c r="B3917" s="451" t="str">
        <f>IFERROR(__xludf.DUMMYFUNCTION("""COMPUTED_VALUE"""),"")</f>
        <v/>
      </c>
    </row>
    <row r="3918">
      <c r="A3918" t="str">
        <f>IFERROR(__xludf.DUMMYFUNCTION("""COMPUTED_VALUE"""),"")</f>
        <v/>
      </c>
      <c r="B3918" s="451" t="str">
        <f>IFERROR(__xludf.DUMMYFUNCTION("""COMPUTED_VALUE"""),"")</f>
        <v/>
      </c>
    </row>
    <row r="3919">
      <c r="A3919" t="str">
        <f>IFERROR(__xludf.DUMMYFUNCTION("""COMPUTED_VALUE"""),"")</f>
        <v/>
      </c>
      <c r="B3919" s="451" t="str">
        <f>IFERROR(__xludf.DUMMYFUNCTION("""COMPUTED_VALUE"""),"")</f>
        <v/>
      </c>
    </row>
    <row r="3920">
      <c r="A3920" t="str">
        <f>IFERROR(__xludf.DUMMYFUNCTION("""COMPUTED_VALUE"""),"")</f>
        <v/>
      </c>
      <c r="B3920" s="451" t="str">
        <f>IFERROR(__xludf.DUMMYFUNCTION("""COMPUTED_VALUE"""),"")</f>
        <v/>
      </c>
    </row>
    <row r="3921">
      <c r="A3921" t="str">
        <f>IFERROR(__xludf.DUMMYFUNCTION("""COMPUTED_VALUE"""),"")</f>
        <v/>
      </c>
      <c r="B3921" s="451" t="str">
        <f>IFERROR(__xludf.DUMMYFUNCTION("""COMPUTED_VALUE"""),"")</f>
        <v/>
      </c>
    </row>
    <row r="3922">
      <c r="A3922" t="str">
        <f>IFERROR(__xludf.DUMMYFUNCTION("""COMPUTED_VALUE"""),"")</f>
        <v/>
      </c>
      <c r="B3922" s="451" t="str">
        <f>IFERROR(__xludf.DUMMYFUNCTION("""COMPUTED_VALUE"""),"")</f>
        <v/>
      </c>
    </row>
    <row r="3923">
      <c r="A3923" t="str">
        <f>IFERROR(__xludf.DUMMYFUNCTION("""COMPUTED_VALUE"""),"")</f>
        <v/>
      </c>
      <c r="B3923" s="451" t="str">
        <f>IFERROR(__xludf.DUMMYFUNCTION("""COMPUTED_VALUE"""),"")</f>
        <v/>
      </c>
    </row>
    <row r="3924">
      <c r="A3924" t="str">
        <f>IFERROR(__xludf.DUMMYFUNCTION("""COMPUTED_VALUE"""),"")</f>
        <v/>
      </c>
      <c r="B3924" s="451" t="str">
        <f>IFERROR(__xludf.DUMMYFUNCTION("""COMPUTED_VALUE"""),"")</f>
        <v/>
      </c>
    </row>
    <row r="3925">
      <c r="A3925" t="str">
        <f>IFERROR(__xludf.DUMMYFUNCTION("""COMPUTED_VALUE"""),"")</f>
        <v/>
      </c>
      <c r="B3925" s="451" t="str">
        <f>IFERROR(__xludf.DUMMYFUNCTION("""COMPUTED_VALUE"""),"")</f>
        <v/>
      </c>
    </row>
    <row r="3926">
      <c r="A3926" t="str">
        <f>IFERROR(__xludf.DUMMYFUNCTION("""COMPUTED_VALUE"""),"")</f>
        <v/>
      </c>
      <c r="B3926" s="451" t="str">
        <f>IFERROR(__xludf.DUMMYFUNCTION("""COMPUTED_VALUE"""),"")</f>
        <v/>
      </c>
    </row>
    <row r="3927">
      <c r="A3927" t="str">
        <f>IFERROR(__xludf.DUMMYFUNCTION("""COMPUTED_VALUE"""),"")</f>
        <v/>
      </c>
      <c r="B3927" s="451" t="str">
        <f>IFERROR(__xludf.DUMMYFUNCTION("""COMPUTED_VALUE"""),"")</f>
        <v/>
      </c>
    </row>
    <row r="3928">
      <c r="A3928" t="str">
        <f>IFERROR(__xludf.DUMMYFUNCTION("""COMPUTED_VALUE"""),"")</f>
        <v/>
      </c>
      <c r="B3928" s="451" t="str">
        <f>IFERROR(__xludf.DUMMYFUNCTION("""COMPUTED_VALUE"""),"")</f>
        <v/>
      </c>
    </row>
    <row r="3929">
      <c r="A3929" t="str">
        <f>IFERROR(__xludf.DUMMYFUNCTION("""COMPUTED_VALUE"""),"")</f>
        <v/>
      </c>
      <c r="B3929" s="451" t="str">
        <f>IFERROR(__xludf.DUMMYFUNCTION("""COMPUTED_VALUE"""),"")</f>
        <v/>
      </c>
    </row>
    <row r="3930">
      <c r="A3930" t="str">
        <f>IFERROR(__xludf.DUMMYFUNCTION("""COMPUTED_VALUE"""),"")</f>
        <v/>
      </c>
      <c r="B3930" s="451" t="str">
        <f>IFERROR(__xludf.DUMMYFUNCTION("""COMPUTED_VALUE"""),"")</f>
        <v/>
      </c>
    </row>
    <row r="3931">
      <c r="A3931" t="str">
        <f>IFERROR(__xludf.DUMMYFUNCTION("""COMPUTED_VALUE"""),"")</f>
        <v/>
      </c>
      <c r="B3931" s="451" t="str">
        <f>IFERROR(__xludf.DUMMYFUNCTION("""COMPUTED_VALUE"""),"")</f>
        <v/>
      </c>
    </row>
    <row r="3932">
      <c r="A3932" t="str">
        <f>IFERROR(__xludf.DUMMYFUNCTION("""COMPUTED_VALUE"""),"")</f>
        <v/>
      </c>
      <c r="B3932" s="451" t="str">
        <f>IFERROR(__xludf.DUMMYFUNCTION("""COMPUTED_VALUE"""),"")</f>
        <v/>
      </c>
    </row>
    <row r="3933">
      <c r="A3933" t="str">
        <f>IFERROR(__xludf.DUMMYFUNCTION("""COMPUTED_VALUE"""),"")</f>
        <v/>
      </c>
      <c r="B3933" s="451" t="str">
        <f>IFERROR(__xludf.DUMMYFUNCTION("""COMPUTED_VALUE"""),"")</f>
        <v/>
      </c>
    </row>
    <row r="3934">
      <c r="A3934" t="str">
        <f>IFERROR(__xludf.DUMMYFUNCTION("""COMPUTED_VALUE"""),"")</f>
        <v/>
      </c>
      <c r="B3934" s="451" t="str">
        <f>IFERROR(__xludf.DUMMYFUNCTION("""COMPUTED_VALUE"""),"")</f>
        <v/>
      </c>
    </row>
    <row r="3935">
      <c r="A3935" t="str">
        <f>IFERROR(__xludf.DUMMYFUNCTION("""COMPUTED_VALUE"""),"")</f>
        <v/>
      </c>
      <c r="B3935" s="451" t="str">
        <f>IFERROR(__xludf.DUMMYFUNCTION("""COMPUTED_VALUE"""),"")</f>
        <v/>
      </c>
    </row>
    <row r="3936">
      <c r="A3936" t="str">
        <f>IFERROR(__xludf.DUMMYFUNCTION("""COMPUTED_VALUE"""),"")</f>
        <v/>
      </c>
      <c r="B3936" s="451" t="str">
        <f>IFERROR(__xludf.DUMMYFUNCTION("""COMPUTED_VALUE"""),"")</f>
        <v/>
      </c>
    </row>
    <row r="3937">
      <c r="A3937" t="str">
        <f>IFERROR(__xludf.DUMMYFUNCTION("""COMPUTED_VALUE"""),"")</f>
        <v/>
      </c>
      <c r="B3937" s="451" t="str">
        <f>IFERROR(__xludf.DUMMYFUNCTION("""COMPUTED_VALUE"""),"")</f>
        <v/>
      </c>
    </row>
    <row r="3938">
      <c r="A3938" t="str">
        <f>IFERROR(__xludf.DUMMYFUNCTION("""COMPUTED_VALUE"""),"")</f>
        <v/>
      </c>
      <c r="B3938" s="451" t="str">
        <f>IFERROR(__xludf.DUMMYFUNCTION("""COMPUTED_VALUE"""),"")</f>
        <v/>
      </c>
    </row>
    <row r="3939">
      <c r="A3939" t="str">
        <f>IFERROR(__xludf.DUMMYFUNCTION("""COMPUTED_VALUE"""),"")</f>
        <v/>
      </c>
      <c r="B3939" s="451" t="str">
        <f>IFERROR(__xludf.DUMMYFUNCTION("""COMPUTED_VALUE"""),"")</f>
        <v/>
      </c>
    </row>
    <row r="3940">
      <c r="A3940" t="str">
        <f>IFERROR(__xludf.DUMMYFUNCTION("""COMPUTED_VALUE"""),"")</f>
        <v/>
      </c>
      <c r="B3940" s="451" t="str">
        <f>IFERROR(__xludf.DUMMYFUNCTION("""COMPUTED_VALUE"""),"")</f>
        <v/>
      </c>
    </row>
    <row r="3941">
      <c r="A3941" t="str">
        <f>IFERROR(__xludf.DUMMYFUNCTION("""COMPUTED_VALUE"""),"")</f>
        <v/>
      </c>
      <c r="B3941" s="451" t="str">
        <f>IFERROR(__xludf.DUMMYFUNCTION("""COMPUTED_VALUE"""),"")</f>
        <v/>
      </c>
    </row>
    <row r="3942">
      <c r="A3942" t="str">
        <f>IFERROR(__xludf.DUMMYFUNCTION("""COMPUTED_VALUE"""),"")</f>
        <v/>
      </c>
      <c r="B3942" s="451" t="str">
        <f>IFERROR(__xludf.DUMMYFUNCTION("""COMPUTED_VALUE"""),"")</f>
        <v/>
      </c>
    </row>
    <row r="3943">
      <c r="A3943" t="str">
        <f>IFERROR(__xludf.DUMMYFUNCTION("""COMPUTED_VALUE"""),"")</f>
        <v/>
      </c>
      <c r="B3943" s="451" t="str">
        <f>IFERROR(__xludf.DUMMYFUNCTION("""COMPUTED_VALUE"""),"")</f>
        <v/>
      </c>
    </row>
    <row r="3944">
      <c r="A3944" t="str">
        <f>IFERROR(__xludf.DUMMYFUNCTION("""COMPUTED_VALUE"""),"")</f>
        <v/>
      </c>
      <c r="B3944" s="451" t="str">
        <f>IFERROR(__xludf.DUMMYFUNCTION("""COMPUTED_VALUE"""),"")</f>
        <v/>
      </c>
    </row>
    <row r="3945">
      <c r="A3945" t="str">
        <f>IFERROR(__xludf.DUMMYFUNCTION("""COMPUTED_VALUE"""),"")</f>
        <v/>
      </c>
      <c r="B3945" s="451" t="str">
        <f>IFERROR(__xludf.DUMMYFUNCTION("""COMPUTED_VALUE"""),"")</f>
        <v/>
      </c>
    </row>
    <row r="3946">
      <c r="A3946" t="str">
        <f>IFERROR(__xludf.DUMMYFUNCTION("""COMPUTED_VALUE"""),"")</f>
        <v/>
      </c>
      <c r="B3946" s="451" t="str">
        <f>IFERROR(__xludf.DUMMYFUNCTION("""COMPUTED_VALUE"""),"")</f>
        <v/>
      </c>
    </row>
    <row r="3947">
      <c r="A3947" t="str">
        <f>IFERROR(__xludf.DUMMYFUNCTION("""COMPUTED_VALUE"""),"")</f>
        <v/>
      </c>
      <c r="B3947" s="451" t="str">
        <f>IFERROR(__xludf.DUMMYFUNCTION("""COMPUTED_VALUE"""),"")</f>
        <v/>
      </c>
    </row>
    <row r="3948">
      <c r="A3948" t="str">
        <f>IFERROR(__xludf.DUMMYFUNCTION("""COMPUTED_VALUE"""),"")</f>
        <v/>
      </c>
      <c r="B3948" s="451" t="str">
        <f>IFERROR(__xludf.DUMMYFUNCTION("""COMPUTED_VALUE"""),"")</f>
        <v/>
      </c>
    </row>
    <row r="3949">
      <c r="A3949" t="str">
        <f>IFERROR(__xludf.DUMMYFUNCTION("""COMPUTED_VALUE"""),"")</f>
        <v/>
      </c>
      <c r="B3949" s="451" t="str">
        <f>IFERROR(__xludf.DUMMYFUNCTION("""COMPUTED_VALUE"""),"")</f>
        <v/>
      </c>
    </row>
    <row r="3950">
      <c r="A3950" t="str">
        <f>IFERROR(__xludf.DUMMYFUNCTION("""COMPUTED_VALUE"""),"")</f>
        <v/>
      </c>
      <c r="B3950" s="451" t="str">
        <f>IFERROR(__xludf.DUMMYFUNCTION("""COMPUTED_VALUE"""),"")</f>
        <v/>
      </c>
    </row>
    <row r="3951">
      <c r="A3951" t="str">
        <f>IFERROR(__xludf.DUMMYFUNCTION("""COMPUTED_VALUE"""),"")</f>
        <v/>
      </c>
      <c r="B3951" s="451" t="str">
        <f>IFERROR(__xludf.DUMMYFUNCTION("""COMPUTED_VALUE"""),"")</f>
        <v/>
      </c>
    </row>
    <row r="3952">
      <c r="A3952" t="str">
        <f>IFERROR(__xludf.DUMMYFUNCTION("""COMPUTED_VALUE"""),"")</f>
        <v/>
      </c>
      <c r="B3952" s="451" t="str">
        <f>IFERROR(__xludf.DUMMYFUNCTION("""COMPUTED_VALUE"""),"")</f>
        <v/>
      </c>
    </row>
    <row r="3953">
      <c r="A3953" t="str">
        <f>IFERROR(__xludf.DUMMYFUNCTION("""COMPUTED_VALUE"""),"")</f>
        <v/>
      </c>
      <c r="B3953" s="451" t="str">
        <f>IFERROR(__xludf.DUMMYFUNCTION("""COMPUTED_VALUE"""),"")</f>
        <v/>
      </c>
    </row>
    <row r="3954">
      <c r="A3954" t="str">
        <f>IFERROR(__xludf.DUMMYFUNCTION("""COMPUTED_VALUE"""),"")</f>
        <v/>
      </c>
      <c r="B3954" s="451" t="str">
        <f>IFERROR(__xludf.DUMMYFUNCTION("""COMPUTED_VALUE"""),"")</f>
        <v/>
      </c>
    </row>
    <row r="3955">
      <c r="A3955" t="str">
        <f>IFERROR(__xludf.DUMMYFUNCTION("""COMPUTED_VALUE"""),"")</f>
        <v/>
      </c>
      <c r="B3955" s="451" t="str">
        <f>IFERROR(__xludf.DUMMYFUNCTION("""COMPUTED_VALUE"""),"")</f>
        <v/>
      </c>
    </row>
    <row r="3956">
      <c r="A3956" t="str">
        <f>IFERROR(__xludf.DUMMYFUNCTION("""COMPUTED_VALUE"""),"")</f>
        <v/>
      </c>
      <c r="B3956" s="451" t="str">
        <f>IFERROR(__xludf.DUMMYFUNCTION("""COMPUTED_VALUE"""),"")</f>
        <v/>
      </c>
    </row>
    <row r="3957">
      <c r="A3957" t="str">
        <f>IFERROR(__xludf.DUMMYFUNCTION("""COMPUTED_VALUE"""),"")</f>
        <v/>
      </c>
      <c r="B3957" s="451" t="str">
        <f>IFERROR(__xludf.DUMMYFUNCTION("""COMPUTED_VALUE"""),"")</f>
        <v/>
      </c>
    </row>
    <row r="3958">
      <c r="A3958" t="str">
        <f>IFERROR(__xludf.DUMMYFUNCTION("""COMPUTED_VALUE"""),"")</f>
        <v/>
      </c>
      <c r="B3958" s="451" t="str">
        <f>IFERROR(__xludf.DUMMYFUNCTION("""COMPUTED_VALUE"""),"")</f>
        <v/>
      </c>
    </row>
    <row r="3959">
      <c r="A3959" t="str">
        <f>IFERROR(__xludf.DUMMYFUNCTION("""COMPUTED_VALUE"""),"")</f>
        <v/>
      </c>
      <c r="B3959" s="451" t="str">
        <f>IFERROR(__xludf.DUMMYFUNCTION("""COMPUTED_VALUE"""),"")</f>
        <v/>
      </c>
    </row>
    <row r="3960">
      <c r="A3960" t="str">
        <f>IFERROR(__xludf.DUMMYFUNCTION("""COMPUTED_VALUE"""),"")</f>
        <v/>
      </c>
      <c r="B3960" s="451" t="str">
        <f>IFERROR(__xludf.DUMMYFUNCTION("""COMPUTED_VALUE"""),"")</f>
        <v/>
      </c>
    </row>
    <row r="3961">
      <c r="A3961" t="str">
        <f>IFERROR(__xludf.DUMMYFUNCTION("""COMPUTED_VALUE"""),"")</f>
        <v/>
      </c>
      <c r="B3961" s="451" t="str">
        <f>IFERROR(__xludf.DUMMYFUNCTION("""COMPUTED_VALUE"""),"")</f>
        <v/>
      </c>
    </row>
    <row r="3962">
      <c r="A3962" t="str">
        <f>IFERROR(__xludf.DUMMYFUNCTION("""COMPUTED_VALUE"""),"")</f>
        <v/>
      </c>
      <c r="B3962" s="451" t="str">
        <f>IFERROR(__xludf.DUMMYFUNCTION("""COMPUTED_VALUE"""),"")</f>
        <v/>
      </c>
    </row>
    <row r="3963">
      <c r="A3963" t="str">
        <f>IFERROR(__xludf.DUMMYFUNCTION("""COMPUTED_VALUE"""),"")</f>
        <v/>
      </c>
      <c r="B3963" s="451" t="str">
        <f>IFERROR(__xludf.DUMMYFUNCTION("""COMPUTED_VALUE"""),"")</f>
        <v/>
      </c>
    </row>
    <row r="3964">
      <c r="A3964" t="str">
        <f>IFERROR(__xludf.DUMMYFUNCTION("""COMPUTED_VALUE"""),"")</f>
        <v/>
      </c>
      <c r="B3964" s="451" t="str">
        <f>IFERROR(__xludf.DUMMYFUNCTION("""COMPUTED_VALUE"""),"")</f>
        <v/>
      </c>
    </row>
    <row r="3965">
      <c r="A3965" t="str">
        <f>IFERROR(__xludf.DUMMYFUNCTION("""COMPUTED_VALUE"""),"")</f>
        <v/>
      </c>
      <c r="B3965" s="451" t="str">
        <f>IFERROR(__xludf.DUMMYFUNCTION("""COMPUTED_VALUE"""),"")</f>
        <v/>
      </c>
    </row>
    <row r="3966">
      <c r="A3966" t="str">
        <f>IFERROR(__xludf.DUMMYFUNCTION("""COMPUTED_VALUE"""),"")</f>
        <v/>
      </c>
      <c r="B3966" s="451" t="str">
        <f>IFERROR(__xludf.DUMMYFUNCTION("""COMPUTED_VALUE"""),"")</f>
        <v/>
      </c>
    </row>
    <row r="3967">
      <c r="A3967" t="str">
        <f>IFERROR(__xludf.DUMMYFUNCTION("""COMPUTED_VALUE"""),"")</f>
        <v/>
      </c>
      <c r="B3967" s="451" t="str">
        <f>IFERROR(__xludf.DUMMYFUNCTION("""COMPUTED_VALUE"""),"")</f>
        <v/>
      </c>
    </row>
    <row r="3968">
      <c r="A3968" t="str">
        <f>IFERROR(__xludf.DUMMYFUNCTION("""COMPUTED_VALUE"""),"")</f>
        <v/>
      </c>
      <c r="B3968" s="451" t="str">
        <f>IFERROR(__xludf.DUMMYFUNCTION("""COMPUTED_VALUE"""),"")</f>
        <v/>
      </c>
    </row>
    <row r="3969">
      <c r="A3969" t="str">
        <f>IFERROR(__xludf.DUMMYFUNCTION("""COMPUTED_VALUE"""),"")</f>
        <v/>
      </c>
      <c r="B3969" s="451" t="str">
        <f>IFERROR(__xludf.DUMMYFUNCTION("""COMPUTED_VALUE"""),"")</f>
        <v/>
      </c>
    </row>
    <row r="3970">
      <c r="A3970" t="str">
        <f>IFERROR(__xludf.DUMMYFUNCTION("""COMPUTED_VALUE"""),"")</f>
        <v/>
      </c>
      <c r="B3970" s="451" t="str">
        <f>IFERROR(__xludf.DUMMYFUNCTION("""COMPUTED_VALUE"""),"")</f>
        <v/>
      </c>
    </row>
    <row r="3971">
      <c r="A3971" t="str">
        <f>IFERROR(__xludf.DUMMYFUNCTION("""COMPUTED_VALUE"""),"")</f>
        <v/>
      </c>
      <c r="B3971" s="451" t="str">
        <f>IFERROR(__xludf.DUMMYFUNCTION("""COMPUTED_VALUE"""),"")</f>
        <v/>
      </c>
    </row>
    <row r="3972">
      <c r="A3972" t="str">
        <f>IFERROR(__xludf.DUMMYFUNCTION("""COMPUTED_VALUE"""),"")</f>
        <v/>
      </c>
      <c r="B3972" s="451" t="str">
        <f>IFERROR(__xludf.DUMMYFUNCTION("""COMPUTED_VALUE"""),"")</f>
        <v/>
      </c>
    </row>
    <row r="3973">
      <c r="A3973" t="str">
        <f>IFERROR(__xludf.DUMMYFUNCTION("""COMPUTED_VALUE"""),"")</f>
        <v/>
      </c>
      <c r="B3973" s="451" t="str">
        <f>IFERROR(__xludf.DUMMYFUNCTION("""COMPUTED_VALUE"""),"")</f>
        <v/>
      </c>
    </row>
    <row r="3974">
      <c r="A3974" t="str">
        <f>IFERROR(__xludf.DUMMYFUNCTION("""COMPUTED_VALUE"""),"")</f>
        <v/>
      </c>
      <c r="B3974" s="451" t="str">
        <f>IFERROR(__xludf.DUMMYFUNCTION("""COMPUTED_VALUE"""),"")</f>
        <v/>
      </c>
    </row>
    <row r="3975">
      <c r="A3975" t="str">
        <f>IFERROR(__xludf.DUMMYFUNCTION("""COMPUTED_VALUE"""),"")</f>
        <v/>
      </c>
      <c r="B3975" s="451" t="str">
        <f>IFERROR(__xludf.DUMMYFUNCTION("""COMPUTED_VALUE"""),"")</f>
        <v/>
      </c>
    </row>
    <row r="3976">
      <c r="A3976" t="str">
        <f>IFERROR(__xludf.DUMMYFUNCTION("""COMPUTED_VALUE"""),"")</f>
        <v/>
      </c>
      <c r="B3976" s="451" t="str">
        <f>IFERROR(__xludf.DUMMYFUNCTION("""COMPUTED_VALUE"""),"")</f>
        <v/>
      </c>
    </row>
    <row r="3977">
      <c r="A3977" t="str">
        <f>IFERROR(__xludf.DUMMYFUNCTION("""COMPUTED_VALUE"""),"")</f>
        <v/>
      </c>
      <c r="B3977" s="451" t="str">
        <f>IFERROR(__xludf.DUMMYFUNCTION("""COMPUTED_VALUE"""),"")</f>
        <v/>
      </c>
    </row>
    <row r="3978">
      <c r="A3978" t="str">
        <f>IFERROR(__xludf.DUMMYFUNCTION("""COMPUTED_VALUE"""),"")</f>
        <v/>
      </c>
      <c r="B3978" s="451" t="str">
        <f>IFERROR(__xludf.DUMMYFUNCTION("""COMPUTED_VALUE"""),"")</f>
        <v/>
      </c>
    </row>
    <row r="3979">
      <c r="A3979" t="str">
        <f>IFERROR(__xludf.DUMMYFUNCTION("""COMPUTED_VALUE"""),"")</f>
        <v/>
      </c>
      <c r="B3979" s="451" t="str">
        <f>IFERROR(__xludf.DUMMYFUNCTION("""COMPUTED_VALUE"""),"")</f>
        <v/>
      </c>
    </row>
    <row r="3980">
      <c r="A3980" t="str">
        <f>IFERROR(__xludf.DUMMYFUNCTION("""COMPUTED_VALUE"""),"")</f>
        <v/>
      </c>
      <c r="B3980" s="451" t="str">
        <f>IFERROR(__xludf.DUMMYFUNCTION("""COMPUTED_VALUE"""),"")</f>
        <v/>
      </c>
    </row>
    <row r="3981">
      <c r="A3981" t="str">
        <f>IFERROR(__xludf.DUMMYFUNCTION("""COMPUTED_VALUE"""),"")</f>
        <v/>
      </c>
      <c r="B3981" s="451" t="str">
        <f>IFERROR(__xludf.DUMMYFUNCTION("""COMPUTED_VALUE"""),"")</f>
        <v/>
      </c>
    </row>
    <row r="3982">
      <c r="A3982" t="str">
        <f>IFERROR(__xludf.DUMMYFUNCTION("""COMPUTED_VALUE"""),"")</f>
        <v/>
      </c>
      <c r="B3982" s="451" t="str">
        <f>IFERROR(__xludf.DUMMYFUNCTION("""COMPUTED_VALUE"""),"")</f>
        <v/>
      </c>
    </row>
    <row r="3983">
      <c r="A3983" t="str">
        <f>IFERROR(__xludf.DUMMYFUNCTION("""COMPUTED_VALUE"""),"")</f>
        <v/>
      </c>
      <c r="B3983" s="451" t="str">
        <f>IFERROR(__xludf.DUMMYFUNCTION("""COMPUTED_VALUE"""),"")</f>
        <v/>
      </c>
    </row>
    <row r="3984">
      <c r="A3984" t="str">
        <f>IFERROR(__xludf.DUMMYFUNCTION("""COMPUTED_VALUE"""),"")</f>
        <v/>
      </c>
      <c r="B3984" s="451" t="str">
        <f>IFERROR(__xludf.DUMMYFUNCTION("""COMPUTED_VALUE"""),"")</f>
        <v/>
      </c>
    </row>
    <row r="3985">
      <c r="A3985" t="str">
        <f>IFERROR(__xludf.DUMMYFUNCTION("""COMPUTED_VALUE"""),"")</f>
        <v/>
      </c>
      <c r="B3985" s="451" t="str">
        <f>IFERROR(__xludf.DUMMYFUNCTION("""COMPUTED_VALUE"""),"")</f>
        <v/>
      </c>
    </row>
    <row r="3986">
      <c r="A3986" t="str">
        <f>IFERROR(__xludf.DUMMYFUNCTION("""COMPUTED_VALUE"""),"")</f>
        <v/>
      </c>
      <c r="B3986" s="451" t="str">
        <f>IFERROR(__xludf.DUMMYFUNCTION("""COMPUTED_VALUE"""),"")</f>
        <v/>
      </c>
    </row>
    <row r="3987">
      <c r="A3987" t="str">
        <f>IFERROR(__xludf.DUMMYFUNCTION("""COMPUTED_VALUE"""),"")</f>
        <v/>
      </c>
      <c r="B3987" s="451" t="str">
        <f>IFERROR(__xludf.DUMMYFUNCTION("""COMPUTED_VALUE"""),"")</f>
        <v/>
      </c>
    </row>
    <row r="3988">
      <c r="A3988" t="str">
        <f>IFERROR(__xludf.DUMMYFUNCTION("""COMPUTED_VALUE"""),"")</f>
        <v/>
      </c>
      <c r="B3988" s="451" t="str">
        <f>IFERROR(__xludf.DUMMYFUNCTION("""COMPUTED_VALUE"""),"")</f>
        <v/>
      </c>
    </row>
    <row r="3989">
      <c r="A3989" t="str">
        <f>IFERROR(__xludf.DUMMYFUNCTION("""COMPUTED_VALUE"""),"")</f>
        <v/>
      </c>
      <c r="B3989" s="451" t="str">
        <f>IFERROR(__xludf.DUMMYFUNCTION("""COMPUTED_VALUE"""),"")</f>
        <v/>
      </c>
    </row>
    <row r="3990">
      <c r="A3990" t="str">
        <f>IFERROR(__xludf.DUMMYFUNCTION("""COMPUTED_VALUE"""),"")</f>
        <v/>
      </c>
      <c r="B3990" s="451" t="str">
        <f>IFERROR(__xludf.DUMMYFUNCTION("""COMPUTED_VALUE"""),"")</f>
        <v/>
      </c>
    </row>
    <row r="3991">
      <c r="A3991" t="str">
        <f>IFERROR(__xludf.DUMMYFUNCTION("""COMPUTED_VALUE"""),"")</f>
        <v/>
      </c>
      <c r="B3991" s="451" t="str">
        <f>IFERROR(__xludf.DUMMYFUNCTION("""COMPUTED_VALUE"""),"")</f>
        <v/>
      </c>
    </row>
    <row r="3992">
      <c r="A3992" t="str">
        <f>IFERROR(__xludf.DUMMYFUNCTION("""COMPUTED_VALUE"""),"")</f>
        <v/>
      </c>
      <c r="B3992" s="451" t="str">
        <f>IFERROR(__xludf.DUMMYFUNCTION("""COMPUTED_VALUE"""),"")</f>
        <v/>
      </c>
    </row>
    <row r="3993">
      <c r="A3993" t="str">
        <f>IFERROR(__xludf.DUMMYFUNCTION("""COMPUTED_VALUE"""),"")</f>
        <v/>
      </c>
      <c r="B3993" s="451" t="str">
        <f>IFERROR(__xludf.DUMMYFUNCTION("""COMPUTED_VALUE"""),"")</f>
        <v/>
      </c>
    </row>
    <row r="3994">
      <c r="A3994" t="str">
        <f>IFERROR(__xludf.DUMMYFUNCTION("""COMPUTED_VALUE"""),"")</f>
        <v/>
      </c>
      <c r="B3994" s="451" t="str">
        <f>IFERROR(__xludf.DUMMYFUNCTION("""COMPUTED_VALUE"""),"")</f>
        <v/>
      </c>
    </row>
    <row r="3995">
      <c r="A3995" t="str">
        <f>IFERROR(__xludf.DUMMYFUNCTION("""COMPUTED_VALUE"""),"")</f>
        <v/>
      </c>
      <c r="B3995" s="451" t="str">
        <f>IFERROR(__xludf.DUMMYFUNCTION("""COMPUTED_VALUE"""),"")</f>
        <v/>
      </c>
    </row>
    <row r="3996">
      <c r="A3996" t="str">
        <f>IFERROR(__xludf.DUMMYFUNCTION("""COMPUTED_VALUE"""),"")</f>
        <v/>
      </c>
      <c r="B3996" s="451" t="str">
        <f>IFERROR(__xludf.DUMMYFUNCTION("""COMPUTED_VALUE"""),"")</f>
        <v/>
      </c>
    </row>
    <row r="3997">
      <c r="A3997" t="str">
        <f>IFERROR(__xludf.DUMMYFUNCTION("""COMPUTED_VALUE"""),"")</f>
        <v/>
      </c>
      <c r="B3997" s="451" t="str">
        <f>IFERROR(__xludf.DUMMYFUNCTION("""COMPUTED_VALUE"""),"")</f>
        <v/>
      </c>
    </row>
    <row r="3998">
      <c r="A3998" t="str">
        <f>IFERROR(__xludf.DUMMYFUNCTION("""COMPUTED_VALUE"""),"")</f>
        <v/>
      </c>
      <c r="B3998" s="451" t="str">
        <f>IFERROR(__xludf.DUMMYFUNCTION("""COMPUTED_VALUE"""),"")</f>
        <v/>
      </c>
    </row>
    <row r="3999">
      <c r="A3999" t="str">
        <f>IFERROR(__xludf.DUMMYFUNCTION("""COMPUTED_VALUE"""),"")</f>
        <v/>
      </c>
      <c r="B3999" s="451" t="str">
        <f>IFERROR(__xludf.DUMMYFUNCTION("""COMPUTED_VALUE"""),"")</f>
        <v/>
      </c>
    </row>
    <row r="4000">
      <c r="A4000" t="str">
        <f>IFERROR(__xludf.DUMMYFUNCTION("""COMPUTED_VALUE"""),"")</f>
        <v/>
      </c>
      <c r="B4000" s="451" t="str">
        <f>IFERROR(__xludf.DUMMYFUNCTION("""COMPUTED_VALUE"""),"")</f>
        <v/>
      </c>
    </row>
    <row r="4001">
      <c r="A4001" t="str">
        <f>IFERROR(__xludf.DUMMYFUNCTION("""COMPUTED_VALUE"""),"")</f>
        <v/>
      </c>
      <c r="B4001" s="451" t="str">
        <f>IFERROR(__xludf.DUMMYFUNCTION("""COMPUTED_VALUE"""),"")</f>
        <v/>
      </c>
    </row>
    <row r="4002">
      <c r="A4002" t="str">
        <f>IFERROR(__xludf.DUMMYFUNCTION("""COMPUTED_VALUE"""),"")</f>
        <v/>
      </c>
      <c r="B4002" s="451" t="str">
        <f>IFERROR(__xludf.DUMMYFUNCTION("""COMPUTED_VALUE"""),"")</f>
        <v/>
      </c>
    </row>
    <row r="4003">
      <c r="A4003" t="str">
        <f>IFERROR(__xludf.DUMMYFUNCTION("""COMPUTED_VALUE"""),"")</f>
        <v/>
      </c>
      <c r="B4003" s="451" t="str">
        <f>IFERROR(__xludf.DUMMYFUNCTION("""COMPUTED_VALUE"""),"")</f>
        <v/>
      </c>
    </row>
    <row r="4004">
      <c r="A4004" t="str">
        <f>IFERROR(__xludf.DUMMYFUNCTION("""COMPUTED_VALUE"""),"")</f>
        <v/>
      </c>
      <c r="B4004" s="451" t="str">
        <f>IFERROR(__xludf.DUMMYFUNCTION("""COMPUTED_VALUE"""),"")</f>
        <v/>
      </c>
    </row>
    <row r="4005">
      <c r="A4005" t="str">
        <f>IFERROR(__xludf.DUMMYFUNCTION("""COMPUTED_VALUE"""),"")</f>
        <v/>
      </c>
      <c r="B4005" s="451" t="str">
        <f>IFERROR(__xludf.DUMMYFUNCTION("""COMPUTED_VALUE"""),"")</f>
        <v/>
      </c>
    </row>
    <row r="4006">
      <c r="A4006" t="str">
        <f>IFERROR(__xludf.DUMMYFUNCTION("""COMPUTED_VALUE"""),"")</f>
        <v/>
      </c>
      <c r="B4006" s="451" t="str">
        <f>IFERROR(__xludf.DUMMYFUNCTION("""COMPUTED_VALUE"""),"")</f>
        <v/>
      </c>
    </row>
    <row r="4007">
      <c r="A4007" t="str">
        <f>IFERROR(__xludf.DUMMYFUNCTION("""COMPUTED_VALUE"""),"")</f>
        <v/>
      </c>
      <c r="B4007" s="451" t="str">
        <f>IFERROR(__xludf.DUMMYFUNCTION("""COMPUTED_VALUE"""),"")</f>
        <v/>
      </c>
    </row>
    <row r="4008">
      <c r="A4008" t="str">
        <f>IFERROR(__xludf.DUMMYFUNCTION("""COMPUTED_VALUE"""),"")</f>
        <v/>
      </c>
      <c r="B4008" s="451" t="str">
        <f>IFERROR(__xludf.DUMMYFUNCTION("""COMPUTED_VALUE"""),"")</f>
        <v/>
      </c>
    </row>
    <row r="4009">
      <c r="A4009" t="str">
        <f>IFERROR(__xludf.DUMMYFUNCTION("""COMPUTED_VALUE"""),"")</f>
        <v/>
      </c>
      <c r="B4009" s="451" t="str">
        <f>IFERROR(__xludf.DUMMYFUNCTION("""COMPUTED_VALUE"""),"")</f>
        <v/>
      </c>
    </row>
    <row r="4010">
      <c r="A4010" t="str">
        <f>IFERROR(__xludf.DUMMYFUNCTION("""COMPUTED_VALUE"""),"")</f>
        <v/>
      </c>
      <c r="B4010" s="451" t="str">
        <f>IFERROR(__xludf.DUMMYFUNCTION("""COMPUTED_VALUE"""),"")</f>
        <v/>
      </c>
    </row>
    <row r="4011">
      <c r="A4011" t="str">
        <f>IFERROR(__xludf.DUMMYFUNCTION("""COMPUTED_VALUE"""),"")</f>
        <v/>
      </c>
      <c r="B4011" s="451" t="str">
        <f>IFERROR(__xludf.DUMMYFUNCTION("""COMPUTED_VALUE"""),"")</f>
        <v/>
      </c>
    </row>
    <row r="4012">
      <c r="A4012" t="str">
        <f>IFERROR(__xludf.DUMMYFUNCTION("""COMPUTED_VALUE"""),"")</f>
        <v/>
      </c>
      <c r="B4012" s="451" t="str">
        <f>IFERROR(__xludf.DUMMYFUNCTION("""COMPUTED_VALUE"""),"")</f>
        <v/>
      </c>
    </row>
    <row r="4013">
      <c r="A4013" t="str">
        <f>IFERROR(__xludf.DUMMYFUNCTION("""COMPUTED_VALUE"""),"")</f>
        <v/>
      </c>
      <c r="B4013" s="451" t="str">
        <f>IFERROR(__xludf.DUMMYFUNCTION("""COMPUTED_VALUE"""),"")</f>
        <v/>
      </c>
    </row>
    <row r="4014">
      <c r="A4014" t="str">
        <f>IFERROR(__xludf.DUMMYFUNCTION("""COMPUTED_VALUE"""),"")</f>
        <v/>
      </c>
      <c r="B4014" s="451" t="str">
        <f>IFERROR(__xludf.DUMMYFUNCTION("""COMPUTED_VALUE"""),"")</f>
        <v/>
      </c>
    </row>
    <row r="4015">
      <c r="A4015" t="str">
        <f>IFERROR(__xludf.DUMMYFUNCTION("""COMPUTED_VALUE"""),"")</f>
        <v/>
      </c>
      <c r="B4015" s="451" t="str">
        <f>IFERROR(__xludf.DUMMYFUNCTION("""COMPUTED_VALUE"""),"")</f>
        <v/>
      </c>
    </row>
    <row r="4016">
      <c r="A4016" t="str">
        <f>IFERROR(__xludf.DUMMYFUNCTION("""COMPUTED_VALUE"""),"")</f>
        <v/>
      </c>
      <c r="B4016" s="451" t="str">
        <f>IFERROR(__xludf.DUMMYFUNCTION("""COMPUTED_VALUE"""),"")</f>
        <v/>
      </c>
    </row>
    <row r="4017">
      <c r="A4017" t="str">
        <f>IFERROR(__xludf.DUMMYFUNCTION("""COMPUTED_VALUE"""),"")</f>
        <v/>
      </c>
      <c r="B4017" s="451" t="str">
        <f>IFERROR(__xludf.DUMMYFUNCTION("""COMPUTED_VALUE"""),"")</f>
        <v/>
      </c>
    </row>
    <row r="4018">
      <c r="A4018" t="str">
        <f>IFERROR(__xludf.DUMMYFUNCTION("""COMPUTED_VALUE"""),"")</f>
        <v/>
      </c>
      <c r="B4018" s="451" t="str">
        <f>IFERROR(__xludf.DUMMYFUNCTION("""COMPUTED_VALUE"""),"")</f>
        <v/>
      </c>
    </row>
    <row r="4019">
      <c r="A4019" t="str">
        <f>IFERROR(__xludf.DUMMYFUNCTION("""COMPUTED_VALUE"""),"")</f>
        <v/>
      </c>
      <c r="B4019" s="451" t="str">
        <f>IFERROR(__xludf.DUMMYFUNCTION("""COMPUTED_VALUE"""),"")</f>
        <v/>
      </c>
    </row>
    <row r="4020">
      <c r="A4020" t="str">
        <f>IFERROR(__xludf.DUMMYFUNCTION("""COMPUTED_VALUE"""),"")</f>
        <v/>
      </c>
      <c r="B4020" s="451" t="str">
        <f>IFERROR(__xludf.DUMMYFUNCTION("""COMPUTED_VALUE"""),"")</f>
        <v/>
      </c>
    </row>
    <row r="4021">
      <c r="A4021" t="str">
        <f>IFERROR(__xludf.DUMMYFUNCTION("""COMPUTED_VALUE"""),"")</f>
        <v/>
      </c>
      <c r="B4021" s="451" t="str">
        <f>IFERROR(__xludf.DUMMYFUNCTION("""COMPUTED_VALUE"""),"")</f>
        <v/>
      </c>
    </row>
    <row r="4022">
      <c r="A4022" t="str">
        <f>IFERROR(__xludf.DUMMYFUNCTION("""COMPUTED_VALUE"""),"")</f>
        <v/>
      </c>
      <c r="B4022" s="451" t="str">
        <f>IFERROR(__xludf.DUMMYFUNCTION("""COMPUTED_VALUE"""),"")</f>
        <v/>
      </c>
    </row>
    <row r="4023">
      <c r="A4023" t="str">
        <f>IFERROR(__xludf.DUMMYFUNCTION("""COMPUTED_VALUE"""),"")</f>
        <v/>
      </c>
      <c r="B4023" s="451" t="str">
        <f>IFERROR(__xludf.DUMMYFUNCTION("""COMPUTED_VALUE"""),"")</f>
        <v/>
      </c>
    </row>
    <row r="4024">
      <c r="A4024" t="str">
        <f>IFERROR(__xludf.DUMMYFUNCTION("""COMPUTED_VALUE"""),"")</f>
        <v/>
      </c>
      <c r="B4024" s="451" t="str">
        <f>IFERROR(__xludf.DUMMYFUNCTION("""COMPUTED_VALUE"""),"")</f>
        <v/>
      </c>
    </row>
    <row r="4025">
      <c r="A4025" t="str">
        <f>IFERROR(__xludf.DUMMYFUNCTION("""COMPUTED_VALUE"""),"")</f>
        <v/>
      </c>
      <c r="B4025" s="451" t="str">
        <f>IFERROR(__xludf.DUMMYFUNCTION("""COMPUTED_VALUE"""),"")</f>
        <v/>
      </c>
    </row>
    <row r="4026">
      <c r="A4026" t="str">
        <f>IFERROR(__xludf.DUMMYFUNCTION("""COMPUTED_VALUE"""),"")</f>
        <v/>
      </c>
      <c r="B4026" s="451" t="str">
        <f>IFERROR(__xludf.DUMMYFUNCTION("""COMPUTED_VALUE"""),"")</f>
        <v/>
      </c>
    </row>
    <row r="4027">
      <c r="A4027" t="str">
        <f>IFERROR(__xludf.DUMMYFUNCTION("""COMPUTED_VALUE"""),"")</f>
        <v/>
      </c>
      <c r="B4027" s="451" t="str">
        <f>IFERROR(__xludf.DUMMYFUNCTION("""COMPUTED_VALUE"""),"")</f>
        <v/>
      </c>
    </row>
    <row r="4028">
      <c r="A4028" t="str">
        <f>IFERROR(__xludf.DUMMYFUNCTION("""COMPUTED_VALUE"""),"")</f>
        <v/>
      </c>
      <c r="B4028" s="451" t="str">
        <f>IFERROR(__xludf.DUMMYFUNCTION("""COMPUTED_VALUE"""),"")</f>
        <v/>
      </c>
    </row>
    <row r="4029">
      <c r="A4029" t="str">
        <f>IFERROR(__xludf.DUMMYFUNCTION("""COMPUTED_VALUE"""),"")</f>
        <v/>
      </c>
      <c r="B4029" s="451" t="str">
        <f>IFERROR(__xludf.DUMMYFUNCTION("""COMPUTED_VALUE"""),"")</f>
        <v/>
      </c>
    </row>
    <row r="4030">
      <c r="A4030" t="str">
        <f>IFERROR(__xludf.DUMMYFUNCTION("""COMPUTED_VALUE"""),"")</f>
        <v/>
      </c>
      <c r="B4030" s="451" t="str">
        <f>IFERROR(__xludf.DUMMYFUNCTION("""COMPUTED_VALUE"""),"")</f>
        <v/>
      </c>
    </row>
    <row r="4031">
      <c r="A4031" t="str">
        <f>IFERROR(__xludf.DUMMYFUNCTION("""COMPUTED_VALUE"""),"")</f>
        <v/>
      </c>
      <c r="B4031" s="451" t="str">
        <f>IFERROR(__xludf.DUMMYFUNCTION("""COMPUTED_VALUE"""),"")</f>
        <v/>
      </c>
    </row>
    <row r="4032">
      <c r="A4032" t="str">
        <f>IFERROR(__xludf.DUMMYFUNCTION("""COMPUTED_VALUE"""),"")</f>
        <v/>
      </c>
      <c r="B4032" s="451" t="str">
        <f>IFERROR(__xludf.DUMMYFUNCTION("""COMPUTED_VALUE"""),"")</f>
        <v/>
      </c>
    </row>
    <row r="4033">
      <c r="A4033" t="str">
        <f>IFERROR(__xludf.DUMMYFUNCTION("""COMPUTED_VALUE"""),"")</f>
        <v/>
      </c>
      <c r="B4033" s="451" t="str">
        <f>IFERROR(__xludf.DUMMYFUNCTION("""COMPUTED_VALUE"""),"")</f>
        <v/>
      </c>
    </row>
    <row r="4034">
      <c r="A4034" t="str">
        <f>IFERROR(__xludf.DUMMYFUNCTION("""COMPUTED_VALUE"""),"")</f>
        <v/>
      </c>
      <c r="B4034" s="451" t="str">
        <f>IFERROR(__xludf.DUMMYFUNCTION("""COMPUTED_VALUE"""),"")</f>
        <v/>
      </c>
    </row>
    <row r="4035">
      <c r="A4035" t="str">
        <f>IFERROR(__xludf.DUMMYFUNCTION("""COMPUTED_VALUE"""),"")</f>
        <v/>
      </c>
      <c r="B4035" s="451" t="str">
        <f>IFERROR(__xludf.DUMMYFUNCTION("""COMPUTED_VALUE"""),"")</f>
        <v/>
      </c>
    </row>
    <row r="4036">
      <c r="A4036" t="str">
        <f>IFERROR(__xludf.DUMMYFUNCTION("""COMPUTED_VALUE"""),"")</f>
        <v/>
      </c>
      <c r="B4036" s="451" t="str">
        <f>IFERROR(__xludf.DUMMYFUNCTION("""COMPUTED_VALUE"""),"")</f>
        <v/>
      </c>
    </row>
    <row r="4037">
      <c r="A4037" t="str">
        <f>IFERROR(__xludf.DUMMYFUNCTION("""COMPUTED_VALUE"""),"")</f>
        <v/>
      </c>
      <c r="B4037" s="451" t="str">
        <f>IFERROR(__xludf.DUMMYFUNCTION("""COMPUTED_VALUE"""),"")</f>
        <v/>
      </c>
    </row>
    <row r="4038">
      <c r="A4038" t="str">
        <f>IFERROR(__xludf.DUMMYFUNCTION("""COMPUTED_VALUE"""),"")</f>
        <v/>
      </c>
      <c r="B4038" s="451" t="str">
        <f>IFERROR(__xludf.DUMMYFUNCTION("""COMPUTED_VALUE"""),"")</f>
        <v/>
      </c>
    </row>
    <row r="4039">
      <c r="A4039" t="str">
        <f>IFERROR(__xludf.DUMMYFUNCTION("""COMPUTED_VALUE"""),"")</f>
        <v/>
      </c>
      <c r="B4039" s="451" t="str">
        <f>IFERROR(__xludf.DUMMYFUNCTION("""COMPUTED_VALUE"""),"")</f>
        <v/>
      </c>
    </row>
    <row r="4040">
      <c r="A4040" t="str">
        <f>IFERROR(__xludf.DUMMYFUNCTION("""COMPUTED_VALUE"""),"")</f>
        <v/>
      </c>
      <c r="B4040" s="451" t="str">
        <f>IFERROR(__xludf.DUMMYFUNCTION("""COMPUTED_VALUE"""),"")</f>
        <v/>
      </c>
    </row>
    <row r="4041">
      <c r="A4041" t="str">
        <f>IFERROR(__xludf.DUMMYFUNCTION("""COMPUTED_VALUE"""),"")</f>
        <v/>
      </c>
      <c r="B4041" s="451" t="str">
        <f>IFERROR(__xludf.DUMMYFUNCTION("""COMPUTED_VALUE"""),"")</f>
        <v/>
      </c>
    </row>
    <row r="4042">
      <c r="A4042" t="str">
        <f>IFERROR(__xludf.DUMMYFUNCTION("""COMPUTED_VALUE"""),"")</f>
        <v/>
      </c>
      <c r="B4042" s="451" t="str">
        <f>IFERROR(__xludf.DUMMYFUNCTION("""COMPUTED_VALUE"""),"")</f>
        <v/>
      </c>
    </row>
    <row r="4043">
      <c r="A4043" t="str">
        <f>IFERROR(__xludf.DUMMYFUNCTION("""COMPUTED_VALUE"""),"")</f>
        <v/>
      </c>
      <c r="B4043" s="451" t="str">
        <f>IFERROR(__xludf.DUMMYFUNCTION("""COMPUTED_VALUE"""),"")</f>
        <v/>
      </c>
    </row>
    <row r="4044">
      <c r="A4044" t="str">
        <f>IFERROR(__xludf.DUMMYFUNCTION("""COMPUTED_VALUE"""),"")</f>
        <v/>
      </c>
      <c r="B4044" s="451" t="str">
        <f>IFERROR(__xludf.DUMMYFUNCTION("""COMPUTED_VALUE"""),"")</f>
        <v/>
      </c>
    </row>
    <row r="4045">
      <c r="A4045" t="str">
        <f>IFERROR(__xludf.DUMMYFUNCTION("""COMPUTED_VALUE"""),"")</f>
        <v/>
      </c>
      <c r="B4045" s="451" t="str">
        <f>IFERROR(__xludf.DUMMYFUNCTION("""COMPUTED_VALUE"""),"")</f>
        <v/>
      </c>
    </row>
    <row r="4046">
      <c r="A4046" t="str">
        <f>IFERROR(__xludf.DUMMYFUNCTION("""COMPUTED_VALUE"""),"")</f>
        <v/>
      </c>
      <c r="B4046" s="451" t="str">
        <f>IFERROR(__xludf.DUMMYFUNCTION("""COMPUTED_VALUE"""),"")</f>
        <v/>
      </c>
    </row>
    <row r="4047">
      <c r="A4047" t="str">
        <f>IFERROR(__xludf.DUMMYFUNCTION("""COMPUTED_VALUE"""),"")</f>
        <v/>
      </c>
      <c r="B4047" s="451" t="str">
        <f>IFERROR(__xludf.DUMMYFUNCTION("""COMPUTED_VALUE"""),"")</f>
        <v/>
      </c>
    </row>
    <row r="4048">
      <c r="A4048" t="str">
        <f>IFERROR(__xludf.DUMMYFUNCTION("""COMPUTED_VALUE"""),"")</f>
        <v/>
      </c>
      <c r="B4048" s="451" t="str">
        <f>IFERROR(__xludf.DUMMYFUNCTION("""COMPUTED_VALUE"""),"")</f>
        <v/>
      </c>
    </row>
    <row r="4049">
      <c r="A4049" t="str">
        <f>IFERROR(__xludf.DUMMYFUNCTION("""COMPUTED_VALUE"""),"")</f>
        <v/>
      </c>
      <c r="B4049" s="451" t="str">
        <f>IFERROR(__xludf.DUMMYFUNCTION("""COMPUTED_VALUE"""),"")</f>
        <v/>
      </c>
    </row>
    <row r="4050">
      <c r="A4050" t="str">
        <f>IFERROR(__xludf.DUMMYFUNCTION("""COMPUTED_VALUE"""),"")</f>
        <v/>
      </c>
      <c r="B4050" s="451" t="str">
        <f>IFERROR(__xludf.DUMMYFUNCTION("""COMPUTED_VALUE"""),"")</f>
        <v/>
      </c>
    </row>
    <row r="4051">
      <c r="A4051" t="str">
        <f>IFERROR(__xludf.DUMMYFUNCTION("""COMPUTED_VALUE"""),"")</f>
        <v/>
      </c>
      <c r="B4051" s="451" t="str">
        <f>IFERROR(__xludf.DUMMYFUNCTION("""COMPUTED_VALUE"""),"")</f>
        <v/>
      </c>
    </row>
    <row r="4052">
      <c r="A4052" t="str">
        <f>IFERROR(__xludf.DUMMYFUNCTION("""COMPUTED_VALUE"""),"")</f>
        <v/>
      </c>
      <c r="B4052" s="451" t="str">
        <f>IFERROR(__xludf.DUMMYFUNCTION("""COMPUTED_VALUE"""),"")</f>
        <v/>
      </c>
    </row>
    <row r="4053">
      <c r="A4053" t="str">
        <f>IFERROR(__xludf.DUMMYFUNCTION("""COMPUTED_VALUE"""),"")</f>
        <v/>
      </c>
      <c r="B4053" s="451" t="str">
        <f>IFERROR(__xludf.DUMMYFUNCTION("""COMPUTED_VALUE"""),"")</f>
        <v/>
      </c>
    </row>
    <row r="4054">
      <c r="A4054" t="str">
        <f>IFERROR(__xludf.DUMMYFUNCTION("""COMPUTED_VALUE"""),"")</f>
        <v/>
      </c>
      <c r="B4054" s="451" t="str">
        <f>IFERROR(__xludf.DUMMYFUNCTION("""COMPUTED_VALUE"""),"")</f>
        <v/>
      </c>
    </row>
    <row r="4055">
      <c r="A4055" t="str">
        <f>IFERROR(__xludf.DUMMYFUNCTION("""COMPUTED_VALUE"""),"")</f>
        <v/>
      </c>
      <c r="B4055" s="451" t="str">
        <f>IFERROR(__xludf.DUMMYFUNCTION("""COMPUTED_VALUE"""),"")</f>
        <v/>
      </c>
    </row>
    <row r="4056">
      <c r="A4056" t="str">
        <f>IFERROR(__xludf.DUMMYFUNCTION("""COMPUTED_VALUE"""),"")</f>
        <v/>
      </c>
      <c r="B4056" s="451" t="str">
        <f>IFERROR(__xludf.DUMMYFUNCTION("""COMPUTED_VALUE"""),"")</f>
        <v/>
      </c>
    </row>
    <row r="4057">
      <c r="A4057" t="str">
        <f>IFERROR(__xludf.DUMMYFUNCTION("""COMPUTED_VALUE"""),"")</f>
        <v/>
      </c>
      <c r="B4057" s="451" t="str">
        <f>IFERROR(__xludf.DUMMYFUNCTION("""COMPUTED_VALUE"""),"")</f>
        <v/>
      </c>
    </row>
    <row r="4058">
      <c r="A4058" t="str">
        <f>IFERROR(__xludf.DUMMYFUNCTION("""COMPUTED_VALUE"""),"")</f>
        <v/>
      </c>
      <c r="B4058" s="451" t="str">
        <f>IFERROR(__xludf.DUMMYFUNCTION("""COMPUTED_VALUE"""),"")</f>
        <v/>
      </c>
    </row>
    <row r="4059">
      <c r="A4059" t="str">
        <f>IFERROR(__xludf.DUMMYFUNCTION("""COMPUTED_VALUE"""),"")</f>
        <v/>
      </c>
      <c r="B4059" s="451" t="str">
        <f>IFERROR(__xludf.DUMMYFUNCTION("""COMPUTED_VALUE"""),"")</f>
        <v/>
      </c>
    </row>
    <row r="4060">
      <c r="A4060" t="str">
        <f>IFERROR(__xludf.DUMMYFUNCTION("""COMPUTED_VALUE"""),"")</f>
        <v/>
      </c>
      <c r="B4060" s="451" t="str">
        <f>IFERROR(__xludf.DUMMYFUNCTION("""COMPUTED_VALUE"""),"")</f>
        <v/>
      </c>
    </row>
    <row r="4061">
      <c r="A4061" t="str">
        <f>IFERROR(__xludf.DUMMYFUNCTION("""COMPUTED_VALUE"""),"")</f>
        <v/>
      </c>
      <c r="B4061" s="451" t="str">
        <f>IFERROR(__xludf.DUMMYFUNCTION("""COMPUTED_VALUE"""),"")</f>
        <v/>
      </c>
    </row>
    <row r="4062">
      <c r="A4062" t="str">
        <f>IFERROR(__xludf.DUMMYFUNCTION("""COMPUTED_VALUE"""),"")</f>
        <v/>
      </c>
      <c r="B4062" s="451" t="str">
        <f>IFERROR(__xludf.DUMMYFUNCTION("""COMPUTED_VALUE"""),"")</f>
        <v/>
      </c>
    </row>
    <row r="4063">
      <c r="A4063" t="str">
        <f>IFERROR(__xludf.DUMMYFUNCTION("""COMPUTED_VALUE"""),"")</f>
        <v/>
      </c>
      <c r="B4063" s="451" t="str">
        <f>IFERROR(__xludf.DUMMYFUNCTION("""COMPUTED_VALUE"""),"")</f>
        <v/>
      </c>
    </row>
    <row r="4064">
      <c r="A4064" t="str">
        <f>IFERROR(__xludf.DUMMYFUNCTION("""COMPUTED_VALUE"""),"")</f>
        <v/>
      </c>
      <c r="B4064" s="451" t="str">
        <f>IFERROR(__xludf.DUMMYFUNCTION("""COMPUTED_VALUE"""),"")</f>
        <v/>
      </c>
    </row>
    <row r="4065">
      <c r="A4065" t="str">
        <f>IFERROR(__xludf.DUMMYFUNCTION("""COMPUTED_VALUE"""),"")</f>
        <v/>
      </c>
      <c r="B4065" s="451" t="str">
        <f>IFERROR(__xludf.DUMMYFUNCTION("""COMPUTED_VALUE"""),"")</f>
        <v/>
      </c>
    </row>
    <row r="4066">
      <c r="A4066" t="str">
        <f>IFERROR(__xludf.DUMMYFUNCTION("""COMPUTED_VALUE"""),"")</f>
        <v/>
      </c>
      <c r="B4066" s="451" t="str">
        <f>IFERROR(__xludf.DUMMYFUNCTION("""COMPUTED_VALUE"""),"")</f>
        <v/>
      </c>
    </row>
    <row r="4067">
      <c r="A4067" t="str">
        <f>IFERROR(__xludf.DUMMYFUNCTION("""COMPUTED_VALUE"""),"")</f>
        <v/>
      </c>
      <c r="B4067" s="451" t="str">
        <f>IFERROR(__xludf.DUMMYFUNCTION("""COMPUTED_VALUE"""),"")</f>
        <v/>
      </c>
    </row>
    <row r="4068">
      <c r="A4068" t="str">
        <f>IFERROR(__xludf.DUMMYFUNCTION("""COMPUTED_VALUE"""),"")</f>
        <v/>
      </c>
      <c r="B4068" s="451" t="str">
        <f>IFERROR(__xludf.DUMMYFUNCTION("""COMPUTED_VALUE"""),"")</f>
        <v/>
      </c>
    </row>
    <row r="4069">
      <c r="A4069" t="str">
        <f>IFERROR(__xludf.DUMMYFUNCTION("""COMPUTED_VALUE"""),"")</f>
        <v/>
      </c>
      <c r="B4069" s="451" t="str">
        <f>IFERROR(__xludf.DUMMYFUNCTION("""COMPUTED_VALUE"""),"")</f>
        <v/>
      </c>
    </row>
    <row r="4070">
      <c r="A4070" t="str">
        <f>IFERROR(__xludf.DUMMYFUNCTION("""COMPUTED_VALUE"""),"")</f>
        <v/>
      </c>
      <c r="B4070" s="451" t="str">
        <f>IFERROR(__xludf.DUMMYFUNCTION("""COMPUTED_VALUE"""),"")</f>
        <v/>
      </c>
    </row>
    <row r="4071">
      <c r="A4071" t="str">
        <f>IFERROR(__xludf.DUMMYFUNCTION("""COMPUTED_VALUE"""),"")</f>
        <v/>
      </c>
      <c r="B4071" s="451" t="str">
        <f>IFERROR(__xludf.DUMMYFUNCTION("""COMPUTED_VALUE"""),"")</f>
        <v/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7.29"/>
    <col customWidth="1" min="3" max="12" width="11.57"/>
  </cols>
  <sheetData>
    <row r="1">
      <c r="B1" s="1"/>
      <c r="C1" s="1" t="s">
        <v>1587</v>
      </c>
      <c r="D1" s="1" t="s">
        <v>1588</v>
      </c>
      <c r="E1" s="1" t="s">
        <v>1589</v>
      </c>
      <c r="F1" s="1" t="s">
        <v>1590</v>
      </c>
      <c r="G1" s="1" t="s">
        <v>1591</v>
      </c>
      <c r="H1" s="1" t="s">
        <v>1592</v>
      </c>
      <c r="I1" s="1" t="s">
        <v>1593</v>
      </c>
      <c r="J1" s="1" t="s">
        <v>1594</v>
      </c>
      <c r="K1" s="1" t="s">
        <v>1595</v>
      </c>
      <c r="L1" s="1" t="s">
        <v>1596</v>
      </c>
    </row>
    <row r="2">
      <c r="C2" t="str">
        <f t="array" ref="C2">IF(ISBLANK(C1),,INDEX(OSB!$A:$B,MATCH(C1,OSB!$A:$A,0),2))</f>
        <v>#N/A</v>
      </c>
      <c r="D2" t="str">
        <f t="array" ref="D2">IF(ISBLANK(D1),,INDEX(OSB!$A:$B,MATCH(D1,OSB!$A:$A,0),2))</f>
        <v>#N/A</v>
      </c>
      <c r="E2" t="str">
        <f t="array" ref="E2">IF(ISBLANK(E1),,INDEX(OSB!$A:$B,MATCH(E1,OSB!$A:$A,0),2))</f>
        <v>#N/A</v>
      </c>
      <c r="F2" t="str">
        <f t="array" ref="F2">IF(ISBLANK(F1),,INDEX(OSB!$A:$B,MATCH(F1,OSB!$A:$A,0),2))</f>
        <v>#N/A</v>
      </c>
      <c r="G2" t="str">
        <f t="array" ref="G2">IF(ISBLANK(G1),,INDEX(OSB!$A:$B,MATCH(G1,OSB!$A:$A,0),2))</f>
        <v>#N/A</v>
      </c>
      <c r="H2" t="str">
        <f t="array" ref="H2">IF(ISBLANK(H1),,INDEX(OSB!$A:$B,MATCH(H1,OSB!$A:$A,0),2))</f>
        <v>#N/A</v>
      </c>
      <c r="I2" t="str">
        <f t="array" ref="I2">IF(ISBLANK(I1),,INDEX(OSB!$A:$B,MATCH(I1,OSB!$A:$A,0),2))</f>
        <v>#N/A</v>
      </c>
      <c r="J2" t="str">
        <f t="array" ref="J2">IF(ISBLANK(J1),,INDEX(OSB!$A:$B,MATCH(J1,OSB!$A:$A,0),2))</f>
        <v>#N/A</v>
      </c>
      <c r="K2" t="str">
        <f t="array" ref="K2">IF(ISBLANK(K1),,INDEX(OSB!$A:$B,MATCH(K1,OSB!$A:$A,0),2))</f>
        <v>#N/A</v>
      </c>
      <c r="L2" t="str">
        <f t="array" ref="L2">IF(ISBLANK(L1),,INDEX(OSB!$A:$B,MATCH(L1,OSB!$A:$A,0),2))</f>
        <v>#N/A</v>
      </c>
    </row>
    <row r="3">
      <c r="A3" s="272" t="str">
        <f>'Dps p1'!C44</f>
        <v>Fire surge</v>
      </c>
      <c r="B3" t="str">
        <f>IF(A3=FALSE,IF('Dps p1'!B49,B5,IF('Dps p1'!B51,B6,IF('Dps p1'!B50,B7,))),SUM(C3:L3)*B70)</f>
        <v>#N/A</v>
      </c>
      <c r="C3" t="str">
        <f t="shared" ref="C3:H3" si="1">sumproduct(C$2,VLOOKUP($A3,$A$5:$L80,COLUMN(),))</f>
        <v>#N/A</v>
      </c>
      <c r="D3" t="str">
        <f t="shared" si="1"/>
        <v>#N/A</v>
      </c>
      <c r="E3" t="str">
        <f t="shared" si="1"/>
        <v>#N/A</v>
      </c>
      <c r="F3" t="str">
        <f t="shared" si="1"/>
        <v>#N/A</v>
      </c>
      <c r="G3" t="str">
        <f t="shared" si="1"/>
        <v>#N/A</v>
      </c>
      <c r="H3" t="str">
        <f t="shared" si="1"/>
        <v>#N/A</v>
      </c>
      <c r="I3" t="str">
        <f t="shared" ref="I3:L3" si="2">sumproduct(I$2,VLOOKUP($A3,$A$5:$L80,COLUMN(),)) * IF(C55,0,1)</f>
        <v>#N/A</v>
      </c>
      <c r="J3" t="str">
        <f t="shared" si="2"/>
        <v>#N/A</v>
      </c>
      <c r="K3" t="str">
        <f t="shared" si="2"/>
        <v>#N/A</v>
      </c>
      <c r="L3" t="str">
        <f t="shared" si="2"/>
        <v>#N/A</v>
      </c>
    </row>
    <row r="4">
      <c r="A4" s="272" t="b">
        <f>'Dps p2'!C44</f>
        <v>0</v>
      </c>
      <c r="B4" t="str">
        <f>IF(A4=FALSE,IF('Dps p2'!B49,B5,IF('Dps p2'!B51,B6,IF('Dps p2'!B50,B7,))),SUM(C4:L4)*H70)</f>
        <v/>
      </c>
      <c r="C4" t="str">
        <f t="shared" ref="C4:H4" si="3">sumproduct(C$2,VLOOKUP($A4,$A$5:$L80,COLUMN(),))</f>
        <v>#N/A</v>
      </c>
      <c r="D4" t="str">
        <f t="shared" si="3"/>
        <v>#N/A</v>
      </c>
      <c r="E4" t="str">
        <f t="shared" si="3"/>
        <v>#N/A</v>
      </c>
      <c r="F4" t="str">
        <f t="shared" si="3"/>
        <v>#N/A</v>
      </c>
      <c r="G4" t="str">
        <f t="shared" si="3"/>
        <v>#N/A</v>
      </c>
      <c r="H4" t="str">
        <f t="shared" si="3"/>
        <v>#N/A</v>
      </c>
      <c r="I4" t="str">
        <f t="shared" ref="I4:L4" si="4">sumproduct(I$2,VLOOKUP($A4,$A$5:$L80,COLUMN(),)) * IF(I55,0,1)</f>
        <v>#N/A</v>
      </c>
      <c r="J4" t="str">
        <f t="shared" si="4"/>
        <v>#N/A</v>
      </c>
      <c r="K4" t="str">
        <f t="shared" si="4"/>
        <v>#N/A</v>
      </c>
      <c r="L4" t="str">
        <f t="shared" si="4"/>
        <v>#N/A</v>
      </c>
    </row>
    <row r="5">
      <c r="A5" t="str">
        <f>Items!A172</f>
        <v>Trident of the seas</v>
      </c>
      <c r="B5" t="str">
        <f t="shared" ref="B5:B52" si="5">SUMPRODUCT(C$2:L$2,C5:L5)</f>
        <v>#N/A</v>
      </c>
      <c r="F5" s="1">
        <v>1.0</v>
      </c>
      <c r="G5" s="1">
        <v>1.0</v>
      </c>
      <c r="I5" s="1">
        <v>5.0</v>
      </c>
    </row>
    <row r="6">
      <c r="A6" t="str">
        <f>Items!A171</f>
        <v>Sanguinesti staff</v>
      </c>
      <c r="B6" t="str">
        <f t="shared" si="5"/>
        <v>#N/A</v>
      </c>
      <c r="E6" s="1">
        <v>3.0</v>
      </c>
      <c r="F6" s="1"/>
      <c r="G6" s="1"/>
      <c r="I6" s="1"/>
    </row>
    <row r="7">
      <c r="A7" t="str">
        <f>Items!A173</f>
        <v>Trident of the swamp</v>
      </c>
      <c r="B7" t="str">
        <f t="shared" si="5"/>
        <v>#N/A</v>
      </c>
      <c r="F7" s="1">
        <v>1.0</v>
      </c>
      <c r="G7" s="1">
        <v>1.0</v>
      </c>
      <c r="I7" s="1">
        <v>5.0</v>
      </c>
    </row>
    <row r="8">
      <c r="A8" t="str">
        <f>Items!A572</f>
        <v/>
      </c>
      <c r="B8" t="str">
        <f t="shared" si="5"/>
        <v>#N/A</v>
      </c>
    </row>
    <row r="9">
      <c r="A9" t="str">
        <f>Items!A573</f>
        <v>Wind strike</v>
      </c>
      <c r="B9" t="str">
        <f t="shared" si="5"/>
        <v>#N/A</v>
      </c>
      <c r="C9" s="452"/>
      <c r="D9" s="452"/>
      <c r="E9" s="452"/>
      <c r="F9" s="178"/>
      <c r="G9" s="178"/>
      <c r="H9" s="13">
        <v>1.0</v>
      </c>
      <c r="I9" s="178"/>
      <c r="J9" s="178"/>
      <c r="K9" s="178"/>
      <c r="L9" s="13">
        <v>1.0</v>
      </c>
    </row>
    <row r="10">
      <c r="A10" t="str">
        <f>Items!A574</f>
        <v>Wind bolt</v>
      </c>
      <c r="B10" t="str">
        <f t="shared" si="5"/>
        <v>#N/A</v>
      </c>
      <c r="C10" s="452"/>
      <c r="D10" s="452"/>
      <c r="E10" s="452"/>
      <c r="F10" s="178"/>
      <c r="G10" s="13">
        <v>1.0</v>
      </c>
      <c r="H10" s="178"/>
      <c r="I10" s="178"/>
      <c r="J10" s="178"/>
      <c r="K10" s="178"/>
      <c r="L10" s="13">
        <v>2.0</v>
      </c>
    </row>
    <row r="11">
      <c r="A11" t="str">
        <f>Items!A575</f>
        <v>Wind blast</v>
      </c>
      <c r="B11" t="str">
        <f t="shared" si="5"/>
        <v>#N/A</v>
      </c>
      <c r="C11" s="452"/>
      <c r="D11" s="452"/>
      <c r="E11" s="452"/>
      <c r="F11" s="13">
        <v>1.0</v>
      </c>
      <c r="G11" s="178"/>
      <c r="H11" s="178"/>
      <c r="I11" s="178"/>
      <c r="J11" s="178"/>
      <c r="K11" s="178"/>
      <c r="L11" s="13">
        <v>3.0</v>
      </c>
    </row>
    <row r="12">
      <c r="A12" t="str">
        <f>Items!A576</f>
        <v>Wind wave</v>
      </c>
      <c r="B12" t="str">
        <f t="shared" si="5"/>
        <v>#N/A</v>
      </c>
      <c r="C12" s="452"/>
      <c r="D12" s="452"/>
      <c r="E12" s="453">
        <v>1.0</v>
      </c>
      <c r="F12" s="178"/>
      <c r="G12" s="178"/>
      <c r="H12" s="178"/>
      <c r="I12" s="178"/>
      <c r="J12" s="178"/>
      <c r="K12" s="178"/>
      <c r="L12" s="13">
        <v>5.0</v>
      </c>
    </row>
    <row r="13">
      <c r="A13" t="str">
        <f>Items!A577</f>
        <v>Wind surge</v>
      </c>
      <c r="B13" t="str">
        <f t="shared" si="5"/>
        <v>#N/A</v>
      </c>
      <c r="C13" s="452"/>
      <c r="D13" s="453">
        <v>1.0</v>
      </c>
      <c r="E13" s="452"/>
      <c r="F13" s="178"/>
      <c r="G13" s="178"/>
      <c r="H13" s="178"/>
      <c r="I13" s="178"/>
      <c r="J13" s="178"/>
      <c r="K13" s="178"/>
      <c r="L13" s="13">
        <v>7.0</v>
      </c>
    </row>
    <row r="14">
      <c r="A14" t="str">
        <f>Items!A578</f>
        <v>Water strike</v>
      </c>
      <c r="B14" t="str">
        <f t="shared" si="5"/>
        <v>#N/A</v>
      </c>
      <c r="C14" s="452"/>
      <c r="D14" s="452"/>
      <c r="E14" s="452"/>
      <c r="F14" s="178"/>
      <c r="G14" s="178"/>
      <c r="H14" s="13">
        <v>1.0</v>
      </c>
      <c r="I14" s="178"/>
      <c r="J14" s="178"/>
      <c r="K14" s="13">
        <v>1.0</v>
      </c>
      <c r="L14" s="13">
        <v>1.0</v>
      </c>
    </row>
    <row r="15">
      <c r="A15" t="str">
        <f>Items!A579</f>
        <v>Water bolt</v>
      </c>
      <c r="B15" t="str">
        <f t="shared" si="5"/>
        <v>#N/A</v>
      </c>
      <c r="C15" s="452"/>
      <c r="D15" s="452"/>
      <c r="E15" s="452"/>
      <c r="F15" s="178"/>
      <c r="G15" s="13">
        <v>1.0</v>
      </c>
      <c r="H15" s="178"/>
      <c r="I15" s="178"/>
      <c r="J15" s="178"/>
      <c r="K15" s="13">
        <v>2.0</v>
      </c>
      <c r="L15" s="13">
        <v>2.0</v>
      </c>
    </row>
    <row r="16">
      <c r="A16" t="str">
        <f>Items!A580</f>
        <v>Water blast</v>
      </c>
      <c r="B16" t="str">
        <f t="shared" si="5"/>
        <v>#N/A</v>
      </c>
      <c r="C16" s="452"/>
      <c r="D16" s="452"/>
      <c r="E16" s="452"/>
      <c r="F16" s="13">
        <v>1.0</v>
      </c>
      <c r="G16" s="178"/>
      <c r="H16" s="178"/>
      <c r="I16" s="178"/>
      <c r="J16" s="178"/>
      <c r="K16" s="13">
        <v>3.0</v>
      </c>
      <c r="L16" s="13">
        <v>3.0</v>
      </c>
    </row>
    <row r="17">
      <c r="A17" t="str">
        <f>Items!A581</f>
        <v>Water wave</v>
      </c>
      <c r="B17" t="str">
        <f t="shared" si="5"/>
        <v>#N/A</v>
      </c>
      <c r="C17" s="452"/>
      <c r="D17" s="452"/>
      <c r="E17" s="453">
        <v>1.0</v>
      </c>
      <c r="F17" s="178"/>
      <c r="G17" s="178"/>
      <c r="H17" s="178"/>
      <c r="I17" s="178"/>
      <c r="J17" s="178"/>
      <c r="K17" s="13">
        <v>7.0</v>
      </c>
      <c r="L17" s="13">
        <v>5.0</v>
      </c>
    </row>
    <row r="18">
      <c r="A18" t="str">
        <f>Items!A582</f>
        <v>Water surge</v>
      </c>
      <c r="B18" t="str">
        <f t="shared" si="5"/>
        <v>#N/A</v>
      </c>
      <c r="C18" s="452"/>
      <c r="D18" s="453">
        <v>1.0</v>
      </c>
      <c r="E18" s="452"/>
      <c r="F18" s="178"/>
      <c r="G18" s="178"/>
      <c r="H18" s="178"/>
      <c r="I18" s="178"/>
      <c r="J18" s="178"/>
      <c r="K18" s="13">
        <v>10.0</v>
      </c>
      <c r="L18" s="13">
        <v>7.0</v>
      </c>
    </row>
    <row r="19">
      <c r="A19" t="str">
        <f>Items!A583</f>
        <v>Earth strike</v>
      </c>
      <c r="B19" t="str">
        <f t="shared" si="5"/>
        <v>#N/A</v>
      </c>
      <c r="C19" s="452"/>
      <c r="D19" s="452"/>
      <c r="E19" s="452"/>
      <c r="F19" s="178"/>
      <c r="G19" s="178"/>
      <c r="H19" s="13">
        <v>1.0</v>
      </c>
      <c r="I19" s="178"/>
      <c r="J19" s="13">
        <v>2.0</v>
      </c>
      <c r="K19" s="178"/>
      <c r="L19" s="13">
        <v>1.0</v>
      </c>
    </row>
    <row r="20">
      <c r="A20" t="str">
        <f>Items!A584</f>
        <v>Earth bolt</v>
      </c>
      <c r="B20" t="str">
        <f t="shared" si="5"/>
        <v>#N/A</v>
      </c>
      <c r="C20" s="452"/>
      <c r="D20" s="452"/>
      <c r="E20" s="452"/>
      <c r="F20" s="178"/>
      <c r="G20" s="13">
        <v>1.0</v>
      </c>
      <c r="H20" s="178"/>
      <c r="I20" s="178"/>
      <c r="J20" s="13">
        <v>3.0</v>
      </c>
      <c r="K20" s="178"/>
      <c r="L20" s="13">
        <v>2.0</v>
      </c>
    </row>
    <row r="21">
      <c r="A21" t="str">
        <f>Items!A585</f>
        <v>Earth blast</v>
      </c>
      <c r="B21" t="str">
        <f t="shared" si="5"/>
        <v>#N/A</v>
      </c>
      <c r="C21" s="452"/>
      <c r="D21" s="452"/>
      <c r="E21" s="452"/>
      <c r="F21" s="13">
        <v>1.0</v>
      </c>
      <c r="G21" s="178"/>
      <c r="H21" s="178"/>
      <c r="I21" s="178"/>
      <c r="J21" s="13">
        <v>4.0</v>
      </c>
      <c r="K21" s="178"/>
      <c r="L21" s="13">
        <v>3.0</v>
      </c>
    </row>
    <row r="22">
      <c r="A22" t="str">
        <f>Items!A586</f>
        <v>Earth wave</v>
      </c>
      <c r="B22" t="str">
        <f t="shared" si="5"/>
        <v>#N/A</v>
      </c>
      <c r="C22" s="452"/>
      <c r="D22" s="452"/>
      <c r="E22" s="453">
        <v>1.0</v>
      </c>
      <c r="F22" s="178"/>
      <c r="G22" s="178"/>
      <c r="H22" s="178"/>
      <c r="I22" s="178"/>
      <c r="J22" s="13">
        <v>7.0</v>
      </c>
      <c r="K22" s="178"/>
      <c r="L22" s="13">
        <v>5.0</v>
      </c>
    </row>
    <row r="23">
      <c r="A23" t="str">
        <f>Items!A587</f>
        <v>Earth surge</v>
      </c>
      <c r="B23" t="str">
        <f t="shared" si="5"/>
        <v>#N/A</v>
      </c>
      <c r="C23" s="452"/>
      <c r="D23" s="453">
        <v>1.0</v>
      </c>
      <c r="E23" s="452"/>
      <c r="F23" s="178"/>
      <c r="G23" s="178"/>
      <c r="H23" s="178"/>
      <c r="I23" s="178"/>
      <c r="J23" s="13">
        <v>10.0</v>
      </c>
      <c r="K23" s="178"/>
      <c r="L23" s="13">
        <v>7.0</v>
      </c>
    </row>
    <row r="24">
      <c r="A24" t="str">
        <f>Items!A588</f>
        <v>Fire strike</v>
      </c>
      <c r="B24" t="str">
        <f t="shared" si="5"/>
        <v>#N/A</v>
      </c>
      <c r="C24" s="452"/>
      <c r="D24" s="452"/>
      <c r="E24" s="452"/>
      <c r="F24" s="178"/>
      <c r="G24" s="178"/>
      <c r="H24" s="13">
        <v>1.0</v>
      </c>
      <c r="I24" s="13">
        <v>3.0</v>
      </c>
      <c r="J24" s="178"/>
      <c r="K24" s="178"/>
      <c r="L24" s="13">
        <v>2.0</v>
      </c>
    </row>
    <row r="25">
      <c r="A25" t="str">
        <f>Items!A589</f>
        <v>Fire bolt</v>
      </c>
      <c r="B25" t="str">
        <f t="shared" si="5"/>
        <v>#N/A</v>
      </c>
      <c r="C25" s="452"/>
      <c r="D25" s="452"/>
      <c r="E25" s="452"/>
      <c r="F25" s="178"/>
      <c r="G25" s="13">
        <v>1.0</v>
      </c>
      <c r="H25" s="178"/>
      <c r="I25" s="13">
        <v>4.0</v>
      </c>
      <c r="J25" s="178"/>
      <c r="K25" s="178"/>
      <c r="L25" s="13">
        <v>3.0</v>
      </c>
    </row>
    <row r="26">
      <c r="A26" t="str">
        <f>Items!A590</f>
        <v>Fire blast</v>
      </c>
      <c r="B26" t="str">
        <f t="shared" si="5"/>
        <v>#N/A</v>
      </c>
      <c r="C26" s="452"/>
      <c r="D26" s="452"/>
      <c r="E26" s="452"/>
      <c r="F26" s="13">
        <v>1.0</v>
      </c>
      <c r="G26" s="178"/>
      <c r="H26" s="178"/>
      <c r="I26" s="13">
        <v>5.0</v>
      </c>
      <c r="J26" s="178"/>
      <c r="K26" s="178"/>
      <c r="L26" s="13">
        <v>4.0</v>
      </c>
    </row>
    <row r="27">
      <c r="A27" t="str">
        <f>Items!A591</f>
        <v>Fire wave</v>
      </c>
      <c r="B27" t="str">
        <f t="shared" si="5"/>
        <v>#N/A</v>
      </c>
      <c r="C27" s="452"/>
      <c r="D27" s="452"/>
      <c r="E27" s="453">
        <v>1.0</v>
      </c>
      <c r="F27" s="178"/>
      <c r="G27" s="178"/>
      <c r="H27" s="178"/>
      <c r="I27" s="13">
        <v>7.0</v>
      </c>
      <c r="J27" s="178"/>
      <c r="K27" s="178"/>
      <c r="L27" s="13">
        <v>5.0</v>
      </c>
    </row>
    <row r="28">
      <c r="A28" t="str">
        <f>Items!A592</f>
        <v>Fire surge</v>
      </c>
      <c r="B28" t="str">
        <f t="shared" si="5"/>
        <v>#N/A</v>
      </c>
      <c r="C28" s="452"/>
      <c r="D28" s="453">
        <v>1.0</v>
      </c>
      <c r="E28" s="452"/>
      <c r="F28" s="178"/>
      <c r="G28" s="178"/>
      <c r="H28" s="178"/>
      <c r="I28" s="13">
        <v>10.0</v>
      </c>
      <c r="J28" s="178"/>
      <c r="K28" s="178"/>
      <c r="L28" s="13">
        <v>7.0</v>
      </c>
    </row>
    <row r="29">
      <c r="A29" t="str">
        <f>Items!A593</f>
        <v/>
      </c>
      <c r="B29" t="str">
        <f t="shared" si="5"/>
        <v>#N/A</v>
      </c>
    </row>
    <row r="30">
      <c r="A30" t="str">
        <f>Items!A594</f>
        <v>Smoke rush</v>
      </c>
      <c r="B30" t="str">
        <f t="shared" si="5"/>
        <v>#N/A</v>
      </c>
      <c r="C30" s="452"/>
      <c r="D30" s="452"/>
      <c r="E30" s="452"/>
      <c r="F30" s="13">
        <v>2.0</v>
      </c>
      <c r="G30" s="13">
        <v>1.0</v>
      </c>
      <c r="H30" s="178"/>
      <c r="I30" s="13">
        <v>1.0</v>
      </c>
      <c r="J30" s="178"/>
      <c r="K30" s="178"/>
      <c r="L30" s="13">
        <v>1.0</v>
      </c>
    </row>
    <row r="31">
      <c r="A31" t="str">
        <f>Items!A595</f>
        <v>Smoke burst</v>
      </c>
      <c r="B31" t="str">
        <f t="shared" si="5"/>
        <v>#N/A</v>
      </c>
      <c r="C31" s="452"/>
      <c r="D31" s="452"/>
      <c r="E31" s="452"/>
      <c r="F31" s="13">
        <v>2.0</v>
      </c>
      <c r="G31" s="13">
        <v>4.0</v>
      </c>
      <c r="H31" s="178"/>
      <c r="I31" s="13">
        <v>2.0</v>
      </c>
      <c r="J31" s="178"/>
      <c r="K31" s="178"/>
      <c r="L31" s="13">
        <v>2.0</v>
      </c>
    </row>
    <row r="32">
      <c r="A32" t="str">
        <f>Items!A596</f>
        <v>Smoke blitz</v>
      </c>
      <c r="B32" t="str">
        <f t="shared" si="5"/>
        <v>#N/A</v>
      </c>
      <c r="C32" s="452"/>
      <c r="D32" s="452"/>
      <c r="E32" s="453">
        <v>2.0</v>
      </c>
      <c r="F32" s="13">
        <v>2.0</v>
      </c>
      <c r="G32" s="178"/>
      <c r="H32" s="178"/>
      <c r="I32" s="13">
        <v>2.0</v>
      </c>
      <c r="J32" s="178"/>
      <c r="K32" s="178"/>
      <c r="L32" s="13">
        <v>2.0</v>
      </c>
    </row>
    <row r="33">
      <c r="A33" t="str">
        <f>Items!A597</f>
        <v>Smoke barrage</v>
      </c>
      <c r="B33" t="str">
        <f t="shared" si="5"/>
        <v>#N/A</v>
      </c>
      <c r="C33" s="452"/>
      <c r="D33" s="452"/>
      <c r="E33" s="453">
        <v>4.0</v>
      </c>
      <c r="F33" s="13">
        <v>4.0</v>
      </c>
      <c r="G33" s="178"/>
      <c r="H33" s="178"/>
      <c r="I33" s="13">
        <v>4.0</v>
      </c>
      <c r="J33" s="178"/>
      <c r="K33" s="178"/>
      <c r="L33" s="13">
        <v>4.0</v>
      </c>
    </row>
    <row r="34">
      <c r="A34" t="str">
        <f>Items!A598</f>
        <v>Shadow rush</v>
      </c>
      <c r="B34" t="str">
        <f t="shared" si="5"/>
        <v>#N/A</v>
      </c>
      <c r="C34" s="453">
        <v>1.0</v>
      </c>
      <c r="D34" s="452"/>
      <c r="E34" s="452"/>
      <c r="F34" s="13">
        <v>2.0</v>
      </c>
      <c r="G34" s="13">
        <v>2.0</v>
      </c>
      <c r="H34" s="178"/>
      <c r="I34" s="178"/>
      <c r="J34" s="178"/>
      <c r="K34" s="178"/>
      <c r="L34" s="13">
        <v>1.0</v>
      </c>
    </row>
    <row r="35">
      <c r="A35" t="str">
        <f>Items!A599</f>
        <v>Shadow burst</v>
      </c>
      <c r="B35" t="str">
        <f t="shared" si="5"/>
        <v>#N/A</v>
      </c>
      <c r="C35" s="453">
        <v>2.0</v>
      </c>
      <c r="D35" s="452"/>
      <c r="E35" s="452"/>
      <c r="F35" s="13">
        <v>2.0</v>
      </c>
      <c r="G35" s="13">
        <v>4.0</v>
      </c>
      <c r="H35" s="178"/>
      <c r="I35" s="178"/>
      <c r="J35" s="178"/>
      <c r="K35" s="178"/>
      <c r="L35" s="13">
        <v>1.0</v>
      </c>
    </row>
    <row r="36">
      <c r="A36" t="str">
        <f>Items!A600</f>
        <v>Shadow blitz</v>
      </c>
      <c r="B36" t="str">
        <f t="shared" si="5"/>
        <v>#N/A</v>
      </c>
      <c r="C36" s="453">
        <v>2.0</v>
      </c>
      <c r="D36" s="452"/>
      <c r="E36" s="453">
        <v>2.0</v>
      </c>
      <c r="F36" s="13">
        <v>2.0</v>
      </c>
      <c r="G36" s="178"/>
      <c r="H36" s="178"/>
      <c r="I36" s="178"/>
      <c r="J36" s="178"/>
      <c r="K36" s="178"/>
      <c r="L36" s="13">
        <v>2.0</v>
      </c>
    </row>
    <row r="37">
      <c r="A37" t="str">
        <f>Items!A601</f>
        <v>Shadow barrage</v>
      </c>
      <c r="B37" t="str">
        <f t="shared" si="5"/>
        <v>#N/A</v>
      </c>
      <c r="C37" s="453">
        <v>3.0</v>
      </c>
      <c r="D37" s="452"/>
      <c r="E37" s="453">
        <v>2.0</v>
      </c>
      <c r="F37" s="13">
        <v>4.0</v>
      </c>
      <c r="G37" s="178"/>
      <c r="H37" s="178"/>
      <c r="I37" s="178"/>
      <c r="J37" s="178"/>
      <c r="K37" s="178"/>
      <c r="L37" s="13">
        <v>4.0</v>
      </c>
    </row>
    <row r="38">
      <c r="A38" t="str">
        <f>Items!A602</f>
        <v>Blood rush</v>
      </c>
      <c r="B38" t="str">
        <f t="shared" si="5"/>
        <v>#N/A</v>
      </c>
      <c r="C38" s="452"/>
      <c r="D38" s="452"/>
      <c r="E38" s="453">
        <v>1.0</v>
      </c>
      <c r="F38" s="13">
        <v>2.0</v>
      </c>
      <c r="G38" s="13">
        <v>2.0</v>
      </c>
      <c r="H38" s="178"/>
      <c r="I38" s="178"/>
      <c r="J38" s="178"/>
      <c r="K38" s="178"/>
      <c r="L38" s="178"/>
    </row>
    <row r="39">
      <c r="A39" t="str">
        <f>Items!A603</f>
        <v>Blood burst</v>
      </c>
      <c r="B39" t="str">
        <f t="shared" si="5"/>
        <v>#N/A</v>
      </c>
      <c r="C39" s="452"/>
      <c r="D39" s="452"/>
      <c r="E39" s="453">
        <v>2.0</v>
      </c>
      <c r="F39" s="13">
        <v>2.0</v>
      </c>
      <c r="G39" s="13">
        <v>4.0</v>
      </c>
      <c r="H39" s="178"/>
      <c r="I39" s="178"/>
      <c r="J39" s="178"/>
      <c r="K39" s="178"/>
      <c r="L39" s="178"/>
    </row>
    <row r="40">
      <c r="A40" t="str">
        <f>Items!A604</f>
        <v>Blood blitz</v>
      </c>
      <c r="B40" t="str">
        <f t="shared" si="5"/>
        <v>#N/A</v>
      </c>
      <c r="C40" s="452"/>
      <c r="D40" s="452"/>
      <c r="E40" s="453">
        <v>4.0</v>
      </c>
      <c r="F40" s="13">
        <v>2.0</v>
      </c>
      <c r="G40" s="178"/>
      <c r="H40" s="178"/>
      <c r="I40" s="178"/>
      <c r="J40" s="178"/>
      <c r="K40" s="178"/>
      <c r="L40" s="178"/>
    </row>
    <row r="41">
      <c r="A41" t="str">
        <f>Items!A605</f>
        <v>Blood barrage</v>
      </c>
      <c r="B41" t="str">
        <f t="shared" si="5"/>
        <v>#N/A</v>
      </c>
      <c r="C41" s="453">
        <v>1.0</v>
      </c>
      <c r="D41" s="452"/>
      <c r="E41" s="453">
        <v>4.0</v>
      </c>
      <c r="F41" s="13">
        <v>4.0</v>
      </c>
      <c r="G41" s="178"/>
      <c r="H41" s="178"/>
      <c r="I41" s="178"/>
      <c r="J41" s="178"/>
      <c r="K41" s="178"/>
      <c r="L41" s="178"/>
    </row>
    <row r="42">
      <c r="A42" t="str">
        <f>Items!A606</f>
        <v>Ice rush</v>
      </c>
      <c r="B42" t="str">
        <f t="shared" si="5"/>
        <v>#N/A</v>
      </c>
      <c r="C42" s="452"/>
      <c r="D42" s="452"/>
      <c r="E42" s="452"/>
      <c r="F42" s="13">
        <v>2.0</v>
      </c>
      <c r="G42" s="13">
        <v>2.0</v>
      </c>
      <c r="H42" s="178"/>
      <c r="I42" s="178"/>
      <c r="J42" s="178"/>
      <c r="K42" s="13">
        <v>2.0</v>
      </c>
      <c r="L42" s="178"/>
    </row>
    <row r="43">
      <c r="A43" t="str">
        <f>Items!A607</f>
        <v>Ice burst</v>
      </c>
      <c r="B43" t="str">
        <f t="shared" si="5"/>
        <v>#N/A</v>
      </c>
      <c r="C43" s="452"/>
      <c r="D43" s="452"/>
      <c r="E43" s="452"/>
      <c r="F43" s="13">
        <v>2.0</v>
      </c>
      <c r="G43" s="13">
        <v>4.0</v>
      </c>
      <c r="H43" s="178"/>
      <c r="I43" s="178"/>
      <c r="J43" s="178"/>
      <c r="K43" s="13">
        <v>4.0</v>
      </c>
      <c r="L43" s="178"/>
    </row>
    <row r="44">
      <c r="A44" t="str">
        <f>Items!A608</f>
        <v>Ice blitz</v>
      </c>
      <c r="B44" t="str">
        <f t="shared" si="5"/>
        <v>#N/A</v>
      </c>
      <c r="C44" s="452"/>
      <c r="D44" s="452"/>
      <c r="E44" s="453">
        <v>2.0</v>
      </c>
      <c r="F44" s="13">
        <v>2.0</v>
      </c>
      <c r="G44" s="178"/>
      <c r="H44" s="178"/>
      <c r="I44" s="178"/>
      <c r="J44" s="178"/>
      <c r="K44" s="13">
        <v>3.0</v>
      </c>
      <c r="L44" s="178"/>
    </row>
    <row r="45">
      <c r="A45" t="str">
        <f>Items!A609</f>
        <v>Ice barrage</v>
      </c>
      <c r="B45" t="str">
        <f t="shared" si="5"/>
        <v>#N/A</v>
      </c>
      <c r="C45" s="452"/>
      <c r="D45" s="452"/>
      <c r="E45" s="453">
        <v>2.0</v>
      </c>
      <c r="F45" s="13">
        <v>4.0</v>
      </c>
      <c r="G45" s="178"/>
      <c r="H45" s="178"/>
      <c r="I45" s="178"/>
      <c r="J45" s="178"/>
      <c r="K45" s="13">
        <v>6.0</v>
      </c>
      <c r="L45" s="178"/>
    </row>
    <row r="46">
      <c r="A46" t="str">
        <f>Items!A610</f>
        <v/>
      </c>
      <c r="B46" t="str">
        <f t="shared" si="5"/>
        <v>#N/A</v>
      </c>
    </row>
    <row r="47">
      <c r="A47" t="str">
        <f>Items!A611</f>
        <v>Claws of Guthix</v>
      </c>
      <c r="B47" t="str">
        <f t="shared" si="5"/>
        <v>#N/A</v>
      </c>
      <c r="C47" s="452"/>
      <c r="D47" s="452"/>
      <c r="E47" s="453">
        <v>2.0</v>
      </c>
      <c r="F47" s="178"/>
      <c r="G47" s="178"/>
      <c r="H47" s="178"/>
      <c r="I47" s="13">
        <v>1.0</v>
      </c>
      <c r="J47" s="178"/>
      <c r="K47" s="178"/>
      <c r="L47" s="13">
        <v>4.0</v>
      </c>
    </row>
    <row r="48">
      <c r="A48" t="str">
        <f>Items!A612</f>
        <v>Saradomin Strike</v>
      </c>
      <c r="B48" t="str">
        <f t="shared" si="5"/>
        <v>#N/A</v>
      </c>
      <c r="C48" s="452"/>
      <c r="D48" s="452"/>
      <c r="E48" s="453">
        <v>2.0</v>
      </c>
      <c r="F48" s="178"/>
      <c r="G48" s="178"/>
      <c r="H48" s="178"/>
      <c r="I48" s="13">
        <v>2.0</v>
      </c>
      <c r="J48" s="178"/>
      <c r="K48" s="178"/>
      <c r="L48" s="13">
        <v>4.0</v>
      </c>
    </row>
    <row r="49">
      <c r="A49" t="str">
        <f>Items!A613</f>
        <v>Flames of Zamorak</v>
      </c>
      <c r="B49" t="str">
        <f t="shared" si="5"/>
        <v>#N/A</v>
      </c>
      <c r="C49" s="452"/>
      <c r="D49" s="452"/>
      <c r="E49" s="453">
        <v>2.0</v>
      </c>
      <c r="F49" s="178"/>
      <c r="G49" s="178"/>
      <c r="H49" s="178"/>
      <c r="I49" s="13">
        <v>4.0</v>
      </c>
      <c r="J49" s="178"/>
      <c r="K49" s="178"/>
      <c r="L49" s="13">
        <v>1.0</v>
      </c>
    </row>
    <row r="50">
      <c r="A50" t="str">
        <f>Items!A614</f>
        <v>Magic dart</v>
      </c>
      <c r="B50" t="str">
        <f t="shared" si="5"/>
        <v>#N/A</v>
      </c>
      <c r="C50" s="452"/>
      <c r="D50" s="452"/>
      <c r="E50" s="452"/>
      <c r="F50" s="13">
        <v>1.0</v>
      </c>
      <c r="G50" s="178"/>
      <c r="H50" s="13">
        <v>4.0</v>
      </c>
      <c r="I50" s="178"/>
      <c r="J50" s="178"/>
      <c r="K50" s="178"/>
      <c r="L50" s="178"/>
    </row>
    <row r="51">
      <c r="A51" t="str">
        <f>Items!A615</f>
        <v>Iban Blast</v>
      </c>
      <c r="B51" t="str">
        <f t="shared" si="5"/>
        <v>#N/A</v>
      </c>
      <c r="C51" s="452"/>
      <c r="D51" s="452"/>
      <c r="E51" s="452"/>
      <c r="F51" s="13">
        <v>1.0</v>
      </c>
      <c r="G51" s="178"/>
      <c r="H51" s="178"/>
      <c r="I51" s="13">
        <v>5.0</v>
      </c>
      <c r="J51" s="178"/>
      <c r="K51" s="178"/>
      <c r="L51" s="178"/>
    </row>
    <row r="52">
      <c r="A52" t="str">
        <f>Items!A616</f>
        <v>Crumble Undead</v>
      </c>
      <c r="B52" t="str">
        <f t="shared" si="5"/>
        <v>#N/A</v>
      </c>
      <c r="C52" s="452"/>
      <c r="D52" s="452"/>
      <c r="E52" s="452"/>
      <c r="F52" s="178"/>
      <c r="G52" s="13">
        <v>1.0</v>
      </c>
      <c r="H52" s="178"/>
      <c r="I52" s="178"/>
      <c r="J52" s="13">
        <v>2.0</v>
      </c>
      <c r="K52" s="178"/>
      <c r="L52" s="13">
        <v>2.0</v>
      </c>
    </row>
    <row r="53">
      <c r="C53" s="274"/>
      <c r="D53" s="274"/>
      <c r="E53" s="274"/>
      <c r="F53" s="274"/>
      <c r="I53" s="274"/>
      <c r="J53" s="274"/>
      <c r="K53" s="274"/>
      <c r="L53" s="274"/>
    </row>
    <row r="54">
      <c r="C54" s="454" t="s">
        <v>1107</v>
      </c>
      <c r="D54" s="454" t="s">
        <v>1597</v>
      </c>
      <c r="E54" s="454" t="s">
        <v>1598</v>
      </c>
      <c r="F54" s="454" t="s">
        <v>1599</v>
      </c>
      <c r="I54" s="454" t="s">
        <v>1107</v>
      </c>
      <c r="J54" s="454" t="s">
        <v>1597</v>
      </c>
      <c r="K54" s="454" t="s">
        <v>1598</v>
      </c>
      <c r="L54" s="454" t="s">
        <v>1599</v>
      </c>
    </row>
    <row r="55">
      <c r="A55" t="str">
        <f>Items!A617</f>
        <v/>
      </c>
      <c r="B55" s="271" t="s">
        <v>66</v>
      </c>
      <c r="C55" s="274" t="b">
        <f t="shared" ref="C55:F55" si="6">OR(C56:C68)</f>
        <v>1</v>
      </c>
      <c r="D55" s="274" t="b">
        <f t="shared" si="6"/>
        <v>0</v>
      </c>
      <c r="E55" s="274" t="b">
        <f t="shared" si="6"/>
        <v>0</v>
      </c>
      <c r="F55" s="274" t="b">
        <f t="shared" si="6"/>
        <v>0</v>
      </c>
      <c r="H55" s="271" t="s">
        <v>61</v>
      </c>
      <c r="I55" s="274" t="b">
        <f t="shared" ref="I55:L55" si="7">OR(I56:I68)</f>
        <v>0</v>
      </c>
      <c r="J55" s="274" t="b">
        <f t="shared" si="7"/>
        <v>0</v>
      </c>
      <c r="K55" s="274" t="b">
        <f t="shared" si="7"/>
        <v>0</v>
      </c>
      <c r="L55" s="274" t="b">
        <f t="shared" si="7"/>
        <v>0</v>
      </c>
    </row>
    <row r="56">
      <c r="A56" t="str">
        <f>Items!A407</f>
        <v>Tome of fire</v>
      </c>
      <c r="B56" t="b">
        <f>'Sheet 1'!$B$46=$A56</f>
        <v>1</v>
      </c>
      <c r="C56" s="274" t="b">
        <f>IF($B56,TRUE,FALSE)</f>
        <v>1</v>
      </c>
      <c r="D56" s="178"/>
      <c r="E56" s="178"/>
      <c r="F56" s="178"/>
      <c r="H56" t="b">
        <f>'Sheet 1'!$B$66=$A56</f>
        <v>0</v>
      </c>
      <c r="I56" s="274" t="b">
        <f>IF($H56,TRUE,FALSE)</f>
        <v>0</v>
      </c>
      <c r="J56" s="178"/>
      <c r="K56" s="178"/>
      <c r="L56" s="178"/>
    </row>
    <row r="57">
      <c r="A57" t="str">
        <f>Items!A164</f>
        <v>Kodai wand</v>
      </c>
      <c r="B57" t="b">
        <f>'Sheet 1'!$B$38=$A57</f>
        <v>0</v>
      </c>
      <c r="C57" s="178"/>
      <c r="D57" s="178"/>
      <c r="E57" s="274" t="b">
        <f>IF($B57,TRUE,FALSE)</f>
        <v>0</v>
      </c>
      <c r="F57" s="178"/>
      <c r="H57" s="274" t="b">
        <f>'Sheet 1'!$B$58=$A57</f>
        <v>0</v>
      </c>
      <c r="I57" s="178"/>
      <c r="J57" s="178"/>
      <c r="K57" s="274" t="b">
        <f>IF($H57,TRUE,FALSE)</f>
        <v>0</v>
      </c>
      <c r="L57" s="178"/>
    </row>
    <row r="58">
      <c r="A58" s="1" t="str">
        <f>Items!A177</f>
        <v>Mystic smoke staff</v>
      </c>
      <c r="B58" t="b">
        <f>'Sheet 1'!$B$38=$A58</f>
        <v>0</v>
      </c>
      <c r="C58" s="274" t="b">
        <f t="shared" ref="C58:C60" si="8">IF($B58,TRUE,FALSE)</f>
        <v>0</v>
      </c>
      <c r="D58" s="178"/>
      <c r="E58" s="178"/>
      <c r="F58" s="274" t="b">
        <f t="shared" ref="F58:F59" si="9">IF($B58,TRUE,FALSE)</f>
        <v>0</v>
      </c>
      <c r="H58" s="274" t="b">
        <f>'Sheet 1'!$B$58=$A58</f>
        <v>0</v>
      </c>
      <c r="I58" s="274" t="b">
        <f t="shared" ref="I58:I60" si="10">IF($H58,TRUE,FALSE)</f>
        <v>0</v>
      </c>
      <c r="J58" s="178"/>
      <c r="K58" s="178"/>
      <c r="L58" s="274" t="b">
        <f t="shared" ref="L58:L59" si="11">IF($H58,TRUE,FALSE)</f>
        <v>0</v>
      </c>
    </row>
    <row r="59">
      <c r="A59" s="1" t="str">
        <f>Items!A178</f>
        <v>Smoke battlestaff</v>
      </c>
      <c r="B59" t="b">
        <f>'Sheet 1'!$B$38=$A59</f>
        <v>0</v>
      </c>
      <c r="C59" s="274" t="b">
        <f t="shared" si="8"/>
        <v>0</v>
      </c>
      <c r="D59" s="178"/>
      <c r="E59" s="178"/>
      <c r="F59" s="274" t="b">
        <f t="shared" si="9"/>
        <v>0</v>
      </c>
      <c r="H59" s="274" t="b">
        <f>'Sheet 1'!$B$58=$A59</f>
        <v>0</v>
      </c>
      <c r="I59" s="274" t="b">
        <f t="shared" si="10"/>
        <v>0</v>
      </c>
      <c r="J59" s="178"/>
      <c r="K59" s="178"/>
      <c r="L59" s="274" t="b">
        <f t="shared" si="11"/>
        <v>0</v>
      </c>
    </row>
    <row r="60">
      <c r="A60" s="1" t="str">
        <f>Items!A179</f>
        <v>Mystic lava staff</v>
      </c>
      <c r="B60" t="b">
        <f>'Sheet 1'!$B$38=$A60</f>
        <v>0</v>
      </c>
      <c r="C60" s="274" t="b">
        <f t="shared" si="8"/>
        <v>0</v>
      </c>
      <c r="D60" s="274" t="b">
        <f t="shared" ref="D60:D62" si="12">IF($B60,TRUE,FALSE)</f>
        <v>0</v>
      </c>
      <c r="E60" s="178"/>
      <c r="F60" s="178"/>
      <c r="H60" s="274" t="b">
        <f>'Sheet 1'!$B$58=$A60</f>
        <v>0</v>
      </c>
      <c r="I60" s="274" t="b">
        <f t="shared" si="10"/>
        <v>0</v>
      </c>
      <c r="J60" s="274" t="b">
        <f t="shared" ref="J60:J62" si="13">IF($H60,TRUE,FALSE)</f>
        <v>0</v>
      </c>
      <c r="K60" s="178"/>
      <c r="L60" s="178"/>
    </row>
    <row r="61">
      <c r="A61" s="1" t="str">
        <f>Items!A180</f>
        <v>Mystic mud staff</v>
      </c>
      <c r="B61" t="b">
        <f>'Sheet 1'!$B$38=$A61</f>
        <v>0</v>
      </c>
      <c r="C61" s="178"/>
      <c r="D61" s="274" t="b">
        <f t="shared" si="12"/>
        <v>0</v>
      </c>
      <c r="E61" s="274" t="b">
        <f>IF($B61,TRUE,FALSE)</f>
        <v>0</v>
      </c>
      <c r="F61" s="178"/>
      <c r="H61" s="274" t="b">
        <f>'Sheet 1'!$B$58=$A61</f>
        <v>0</v>
      </c>
      <c r="I61" s="178"/>
      <c r="J61" s="274" t="b">
        <f t="shared" si="13"/>
        <v>0</v>
      </c>
      <c r="K61" s="274" t="b">
        <f>IF($H61,TRUE,FALSE)</f>
        <v>0</v>
      </c>
      <c r="L61" s="178"/>
    </row>
    <row r="62">
      <c r="A62" s="1" t="str">
        <f>Items!A181</f>
        <v>Mystic dust staff</v>
      </c>
      <c r="B62" t="b">
        <f>'Sheet 1'!$B$38=$A62</f>
        <v>0</v>
      </c>
      <c r="C62" s="178"/>
      <c r="D62" s="274" t="b">
        <f t="shared" si="12"/>
        <v>0</v>
      </c>
      <c r="E62" s="178"/>
      <c r="F62" s="274" t="b">
        <f>IF($B62,TRUE,FALSE)</f>
        <v>0</v>
      </c>
      <c r="H62" s="274" t="b">
        <f>'Sheet 1'!$B$58=$A62</f>
        <v>0</v>
      </c>
      <c r="I62" s="178"/>
      <c r="J62" s="274" t="b">
        <f t="shared" si="13"/>
        <v>0</v>
      </c>
      <c r="K62" s="178"/>
      <c r="L62" s="274" t="b">
        <f>IF($H62,TRUE,FALSE)</f>
        <v>0</v>
      </c>
    </row>
    <row r="63">
      <c r="A63" s="1" t="str">
        <f>Items!A182</f>
        <v>Mystic mist staff</v>
      </c>
      <c r="B63" t="b">
        <f>'Sheet 1'!$B$38=$A63</f>
        <v>0</v>
      </c>
      <c r="C63" s="178"/>
      <c r="D63" s="178"/>
      <c r="E63" s="274" t="b">
        <f t="shared" ref="E63:F63" si="14">IF($B63,TRUE,FALSE)</f>
        <v>0</v>
      </c>
      <c r="F63" s="274" t="b">
        <f t="shared" si="14"/>
        <v>0</v>
      </c>
      <c r="H63" s="274" t="b">
        <f>'Sheet 1'!$B$58=$A63</f>
        <v>0</v>
      </c>
      <c r="I63" s="178"/>
      <c r="J63" s="178"/>
      <c r="K63" s="274" t="b">
        <f t="shared" ref="K63:L63" si="15">IF($H63,TRUE,FALSE)</f>
        <v>0</v>
      </c>
      <c r="L63" s="274" t="b">
        <f t="shared" si="15"/>
        <v>0</v>
      </c>
    </row>
    <row r="64">
      <c r="A64" s="1" t="str">
        <f>Items!A183</f>
        <v>Mystic steam staff</v>
      </c>
      <c r="B64" t="b">
        <f>'Sheet 1'!$B$38=$A64</f>
        <v>0</v>
      </c>
      <c r="C64" s="274" t="b">
        <f>IF($B64,TRUE,FALSE)</f>
        <v>0</v>
      </c>
      <c r="D64" s="178"/>
      <c r="E64" s="274" t="b">
        <f>IF($B64,TRUE,FALSE)</f>
        <v>0</v>
      </c>
      <c r="F64" s="178"/>
      <c r="H64" s="274" t="b">
        <f>'Sheet 1'!$B$58=$A64</f>
        <v>0</v>
      </c>
      <c r="I64" s="274" t="b">
        <f>IF($H64,TRUE,FALSE)</f>
        <v>0</v>
      </c>
      <c r="J64" s="178"/>
      <c r="K64" s="274" t="b">
        <f>IF($H64,TRUE,FALSE)</f>
        <v>0</v>
      </c>
      <c r="L64" s="178"/>
    </row>
    <row r="65">
      <c r="A65" s="1" t="str">
        <f>Items!A184</f>
        <v>Air battlestaff</v>
      </c>
      <c r="B65" t="b">
        <f>'Sheet 1'!$B$38=$A65</f>
        <v>0</v>
      </c>
      <c r="C65" s="178"/>
      <c r="D65" s="178"/>
      <c r="E65" s="178"/>
      <c r="F65" s="274" t="b">
        <f>IF($B65,TRUE,FALSE)</f>
        <v>0</v>
      </c>
      <c r="H65" s="274" t="b">
        <f>'Sheet 1'!$B$58=$A65</f>
        <v>0</v>
      </c>
      <c r="I65" s="178"/>
      <c r="J65" s="178"/>
      <c r="K65" s="178"/>
      <c r="L65" s="274" t="b">
        <f>IF($H65,TRUE,FALSE)</f>
        <v>0</v>
      </c>
    </row>
    <row r="66">
      <c r="A66" s="1" t="str">
        <f>Items!A185</f>
        <v>Water battlestaff</v>
      </c>
      <c r="B66" t="b">
        <f>'Sheet 1'!$B$38=$A66</f>
        <v>0</v>
      </c>
      <c r="C66" s="178"/>
      <c r="D66" s="178"/>
      <c r="E66" s="274" t="b">
        <f>IF($B66,TRUE,FALSE)</f>
        <v>0</v>
      </c>
      <c r="F66" s="178"/>
      <c r="H66" s="274" t="b">
        <f>'Sheet 1'!$B$58=$A66</f>
        <v>0</v>
      </c>
      <c r="I66" s="178"/>
      <c r="J66" s="178"/>
      <c r="K66" s="274" t="b">
        <f>IF($H66,TRUE,FALSE)</f>
        <v>0</v>
      </c>
      <c r="L66" s="178"/>
    </row>
    <row r="67">
      <c r="A67" s="1" t="str">
        <f>Items!A186</f>
        <v>Earth battlestaff</v>
      </c>
      <c r="B67" t="b">
        <f>'Sheet 1'!$B$38=$A67</f>
        <v>0</v>
      </c>
      <c r="C67" s="178"/>
      <c r="D67" s="274" t="b">
        <f>IF($B67,TRUE,FALSE)</f>
        <v>0</v>
      </c>
      <c r="E67" s="178"/>
      <c r="F67" s="178"/>
      <c r="H67" s="274" t="b">
        <f>'Sheet 1'!$B$58=$A67</f>
        <v>0</v>
      </c>
      <c r="I67" s="178"/>
      <c r="J67" s="274" t="b">
        <f>IF($H67,TRUE,FALSE)</f>
        <v>0</v>
      </c>
      <c r="K67" s="178"/>
      <c r="L67" s="178"/>
    </row>
    <row r="68">
      <c r="A68" s="1" t="str">
        <f>Items!A187</f>
        <v>Fire battlestaff</v>
      </c>
      <c r="B68" t="b">
        <f>'Sheet 1'!$B$38=$A68</f>
        <v>0</v>
      </c>
      <c r="C68" s="274" t="b">
        <f>IF($B68,TRUE,FALSE)</f>
        <v>0</v>
      </c>
      <c r="D68" s="178"/>
      <c r="E68" s="178"/>
      <c r="F68" s="178"/>
      <c r="H68" s="274" t="b">
        <f>'Sheet 1'!$B$58=$A68</f>
        <v>0</v>
      </c>
      <c r="I68" s="274" t="b">
        <f>IF($H68,TRUE,FALSE)</f>
        <v>0</v>
      </c>
      <c r="J68" s="178"/>
      <c r="K68" s="178"/>
      <c r="L68" s="178"/>
    </row>
    <row r="69">
      <c r="A69" s="1"/>
    </row>
    <row r="70">
      <c r="A70" s="1" t="s">
        <v>1600</v>
      </c>
      <c r="B70">
        <f>IF(OR(B71:B74),6/7,1)</f>
        <v>1</v>
      </c>
      <c r="H70">
        <f>IF(OR(H71:H74),6/7,1)</f>
        <v>1</v>
      </c>
    </row>
    <row r="71">
      <c r="A71" t="str">
        <f>A57</f>
        <v>Kodai wand</v>
      </c>
      <c r="B71" t="b">
        <f>'Sheet 1'!$B$38=$A71</f>
        <v>0</v>
      </c>
      <c r="H71" s="274" t="b">
        <f>'Sheet 1'!$B$58=$A71</f>
        <v>0</v>
      </c>
    </row>
    <row r="72">
      <c r="A72" t="str">
        <f>Items!A96</f>
        <v>Staff of the dead</v>
      </c>
      <c r="B72" t="b">
        <f>'Sheet 1'!$B$38=$A72</f>
        <v>0</v>
      </c>
      <c r="H72" s="274" t="b">
        <f>'Sheet 1'!$B$58=$A72</f>
        <v>0</v>
      </c>
    </row>
    <row r="73">
      <c r="A73" t="str">
        <f>Items!A91</f>
        <v>Staff of light</v>
      </c>
      <c r="B73" t="b">
        <f>'Sheet 1'!$B$38=$A73</f>
        <v>0</v>
      </c>
      <c r="H73" s="274" t="b">
        <f>'Sheet 1'!$B$58=$A73</f>
        <v>0</v>
      </c>
    </row>
    <row r="74">
      <c r="A74" t="str">
        <f>Items!A174</f>
        <v>Toxic staff of the dead</v>
      </c>
      <c r="B74" t="b">
        <f>'Sheet 1'!$B$38=$A74</f>
        <v>0</v>
      </c>
      <c r="H74" s="274" t="b">
        <f>'Sheet 1'!$B$58=$A74</f>
        <v>0</v>
      </c>
    </row>
    <row r="75">
      <c r="A75" t="str">
        <f>Items!A172</f>
        <v>Trident of the seas</v>
      </c>
      <c r="B75" t="b">
        <f>'Sheet 1'!$B$38=$A75</f>
        <v>0</v>
      </c>
      <c r="H75" s="274" t="b">
        <f>'Sheet 1'!$B$58=$A75</f>
        <v>0</v>
      </c>
    </row>
    <row r="76">
      <c r="A76" t="str">
        <f>Items!A173</f>
        <v>Trident of the swamp</v>
      </c>
      <c r="B76" t="b">
        <f>'Sheet 1'!$B$38=$A76</f>
        <v>0</v>
      </c>
      <c r="H76" s="274" t="b">
        <f>'Sheet 1'!$B$58=$A76</f>
        <v>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4" width="11.57"/>
  </cols>
  <sheetData>
    <row r="1">
      <c r="A1" s="455"/>
      <c r="B1" s="1"/>
      <c r="C1" s="271" t="s">
        <v>66</v>
      </c>
      <c r="D1" s="271" t="s">
        <v>61</v>
      </c>
    </row>
    <row r="2">
      <c r="A2" s="456" t="s">
        <v>1601</v>
      </c>
      <c r="B2" s="272"/>
      <c r="C2" s="457" t="str">
        <f>ROUND(IF('Dps p1'!C1="magic",C11,IF('Dps p1'!C1="ranged",C21,C28))+C36,0)</f>
        <v>#N/A</v>
      </c>
      <c r="D2" s="457">
        <f>ROUND(IF('Dps p2'!C1="magic",D11,IF('Dps p2'!C1="ranged",D21,D28))+D36,0)</f>
        <v>0</v>
      </c>
    </row>
    <row r="3">
      <c r="A3" s="455"/>
    </row>
    <row r="4">
      <c r="A4" s="456" t="s">
        <v>35</v>
      </c>
      <c r="C4" t="str">
        <f>'Spell runes'!A3</f>
        <v>Fire surge</v>
      </c>
      <c r="D4" t="b">
        <f>'Spell runes'!A4</f>
        <v>0</v>
      </c>
    </row>
    <row r="5">
      <c r="A5" s="458" t="s">
        <v>1602</v>
      </c>
      <c r="C5" t="str">
        <f>'Spell runes'!B3</f>
        <v>#N/A</v>
      </c>
      <c r="D5" t="str">
        <f>'Spell runes'!B4</f>
        <v/>
      </c>
    </row>
    <row r="6">
      <c r="A6" s="458" t="s">
        <v>1603</v>
      </c>
      <c r="B6" s="1">
        <v>1.0</v>
      </c>
      <c r="C6" t="str">
        <f>IF('Spell runes'!B75,10*$B6,)</f>
        <v/>
      </c>
      <c r="D6" t="str">
        <f>IF('Spell runes'!H75,10*$B6,)</f>
        <v/>
      </c>
    </row>
    <row r="7">
      <c r="A7" s="458" t="s">
        <v>1604</v>
      </c>
      <c r="B7" t="str">
        <f t="array" ref="B7">IF(ISBLANK(A7),,INDEX(OSB!$A:$B,MATCH(A7,OSB!$A:$A,0),2))</f>
        <v>#N/A</v>
      </c>
      <c r="C7" t="str">
        <f>IF(OR('Spell runes'!B74,'Spell runes'!B76),$B7,)</f>
        <v/>
      </c>
      <c r="D7" t="str">
        <f>IF(OR('Spell runes'!H74,'Spell runes'!H76),$B7,)</f>
        <v/>
      </c>
    </row>
    <row r="8">
      <c r="A8" s="458" t="s">
        <v>1605</v>
      </c>
      <c r="B8" t="str">
        <f t="array" ref="B8">IF(ISBLANK(A8),,INDEX(OSB!$A:$B,MATCH(A8,OSB!$A:$A,0),2))</f>
        <v>#N/A</v>
      </c>
      <c r="C8" t="str">
        <f>IF('Spell runes'!B56,$B8/20,)</f>
        <v>#N/A</v>
      </c>
      <c r="D8" t="str">
        <f>IF('Spell runes'!H56,$B8/20,)</f>
        <v/>
      </c>
    </row>
    <row r="9">
      <c r="A9" s="458" t="s">
        <v>1606</v>
      </c>
      <c r="C9" t="str">
        <f t="shared" ref="C9:D9" si="1">sum(C5:C8)</f>
        <v>#N/A</v>
      </c>
      <c r="D9">
        <f t="shared" si="1"/>
        <v>0</v>
      </c>
    </row>
    <row r="10">
      <c r="A10" s="458" t="s">
        <v>343</v>
      </c>
      <c r="C10">
        <f>'Dps p1'!C133</f>
        <v>2.4</v>
      </c>
      <c r="D10">
        <f>'Dps p2'!C133</f>
        <v>2.4</v>
      </c>
    </row>
    <row r="11">
      <c r="A11" s="458" t="s">
        <v>1607</v>
      </c>
      <c r="C11" s="451" t="str">
        <f t="shared" ref="C11:D11" si="2">3600/C10*C9</f>
        <v>#N/A</v>
      </c>
      <c r="D11" s="451">
        <f t="shared" si="2"/>
        <v>0</v>
      </c>
    </row>
    <row r="12">
      <c r="A12" s="455"/>
    </row>
    <row r="13">
      <c r="A13" s="456" t="s">
        <v>39</v>
      </c>
      <c r="C13" s="178" t="str">
        <f>IF(C16,'Sheet 1'!B38,IF(C17,'Sheet 1'!B40,'Sheet 1'!B40))</f>
        <v/>
      </c>
      <c r="D13" s="178" t="str">
        <f>IF(D16,'Sheet 1'!B58,IF(D17,'Sheet 1'!B60,'Sheet 1'!B60))</f>
        <v/>
      </c>
    </row>
    <row r="14">
      <c r="A14" s="458" t="s">
        <v>1608</v>
      </c>
      <c r="C14" t="str">
        <f t="array" ref="C14">IF(ISBLANK(C13),,INDEX(OSB!$A:$B,MATCH(C13,OSB!$A:$A,0),2))</f>
        <v/>
      </c>
      <c r="D14" t="str">
        <f t="array" ref="D14">IF(ISBLANK(D13),,INDEX(OSB!$A:$B,MATCH(D13,OSB!$A:$A,0),2))</f>
        <v/>
      </c>
    </row>
    <row r="15">
      <c r="A15" s="455" t="str">
        <f t="shared" ref="A15:B15" si="3">A7</f>
        <v>Zulrah's scales</v>
      </c>
      <c r="B15" t="str">
        <f t="shared" si="3"/>
        <v>#N/A</v>
      </c>
      <c r="C15" t="str">
        <f>IF('Sheet 1'!B38=Items!A152,$B15*2/3,)</f>
        <v/>
      </c>
      <c r="D15" t="str">
        <f>IF('Sheet 1'!B58=Items!A152,$B15*2/3,)</f>
        <v/>
      </c>
    </row>
    <row r="16">
      <c r="A16" s="459" t="s">
        <v>1609</v>
      </c>
      <c r="B16" s="178"/>
      <c r="C16" s="274" t="b">
        <f>OR('Sheet 1'!B38=Items!A115,'Sheet 1'!B38=Items!A116,'Sheet 1'!B38=Items!A150,'Sheet 1'!B38=Items!A127)</f>
        <v>0</v>
      </c>
      <c r="D16" s="274" t="b">
        <f>OR('Sheet 1'!B58=Items!A115,'Sheet 1'!B58=Items!A116,'Sheet 1'!B58=Items!A150,'Sheet 1'!B58=Items!A127)</f>
        <v>0</v>
      </c>
    </row>
    <row r="17">
      <c r="A17" s="459" t="s">
        <v>1610</v>
      </c>
      <c r="B17" s="178"/>
      <c r="C17" s="274" t="b">
        <f>OR('Sheet 1'!B38=Items!A138,'Sheet 1'!B38=Items!A140,'Sheet 1'!B38=Items!A137)</f>
        <v>0</v>
      </c>
      <c r="D17" s="274" t="b">
        <f>OR('Sheet 1'!B58=Items!A138,'Sheet 1'!B58=Items!A140,'Sheet 1'!B58=Items!A137)</f>
        <v>0</v>
      </c>
    </row>
    <row r="18">
      <c r="A18" s="458" t="s">
        <v>1611</v>
      </c>
      <c r="C18">
        <f>1- IF(OR(C16,C17),0,IF(OR('Sheet 1'!B42=Items!A253,'Sheet 1'!B42=Items!A254,'Sheet 1'!B42=Items!A250),0.72,IF(OR('Sheet 1'!B42=Items!A249,'Sheet 1'!B42=Items!A255),0.8,0)))</f>
        <v>1</v>
      </c>
      <c r="D18">
        <f>1- IF(OR(D16,D17),0,IF(OR('Sheet 1'!B62=Items!A253,'Sheet 1'!B62=Items!A254,'Sheet 1'!B62=Items!A250),0.72,IF(OR('Sheet 1'!B62=Items!A249,'Sheet 1'!B62=Items!A255),0.8,0)))</f>
        <v>1</v>
      </c>
    </row>
    <row r="19">
      <c r="A19" s="458" t="s">
        <v>1612</v>
      </c>
      <c r="C19">
        <f t="shared" ref="C19:D19" si="4">C14 * C18 + C15</f>
        <v>0</v>
      </c>
      <c r="D19">
        <f t="shared" si="4"/>
        <v>0</v>
      </c>
    </row>
    <row r="20">
      <c r="A20" s="458" t="s">
        <v>343</v>
      </c>
      <c r="C20">
        <f>'Dps p1'!C133</f>
        <v>2.4</v>
      </c>
      <c r="D20">
        <f>'Dps p2'!C133</f>
        <v>2.4</v>
      </c>
    </row>
    <row r="21">
      <c r="A21" s="458" t="s">
        <v>1607</v>
      </c>
      <c r="C21">
        <f t="shared" ref="C21:D21" si="5">3600/C20*C19</f>
        <v>0</v>
      </c>
      <c r="D21">
        <f t="shared" si="5"/>
        <v>0</v>
      </c>
    </row>
    <row r="22">
      <c r="A22" s="455"/>
    </row>
    <row r="23">
      <c r="A23" s="456" t="s">
        <v>20</v>
      </c>
      <c r="C23" t="str">
        <f>'Sheet 1'!B38</f>
        <v>Harmonised nightmare staff</v>
      </c>
      <c r="D23" t="str">
        <f>'Sheet 1'!B58</f>
        <v>None</v>
      </c>
    </row>
    <row r="24">
      <c r="A24" s="458" t="s">
        <v>351</v>
      </c>
      <c r="B24" t="str">
        <f t="array" ref="B24">IF(ISBLANK(A24),,INDEX(OSB!$A:$B,MATCH(A24,OSB!$A:$A,0),2))</f>
        <v>#N/A</v>
      </c>
      <c r="C24" t="str">
        <f>IF(C23=Items!A8,B24/10000,)</f>
        <v/>
      </c>
      <c r="D24" t="str">
        <f>IF(D23=Items!A8,B24/10000,)</f>
        <v/>
      </c>
    </row>
    <row r="25">
      <c r="A25" s="458" t="s">
        <v>425</v>
      </c>
      <c r="B25" t="str">
        <f t="array" ref="B25">IF(ISBLANK(A25),,INDEX(OSB!$A:$B,MATCH(A25,OSB!$A:$A,0),2))</f>
        <v>#N/A</v>
      </c>
      <c r="C25" t="str">
        <f>IF(C23=Items!A85,B25/10000,)</f>
        <v/>
      </c>
      <c r="D25" t="str">
        <f>IF(D23=Items!A85,B25/10000,)</f>
        <v/>
      </c>
    </row>
    <row r="26">
      <c r="A26" s="458" t="s">
        <v>1613</v>
      </c>
      <c r="C26">
        <f t="shared" ref="C26:D26" si="6">SUM(C24:C25)</f>
        <v>0</v>
      </c>
      <c r="D26">
        <f t="shared" si="6"/>
        <v>0</v>
      </c>
    </row>
    <row r="27">
      <c r="A27" s="458" t="s">
        <v>343</v>
      </c>
      <c r="C27">
        <f>'Dps p1'!C133</f>
        <v>2.4</v>
      </c>
      <c r="D27">
        <f>'Dps p2'!C133</f>
        <v>2.4</v>
      </c>
    </row>
    <row r="28">
      <c r="A28" s="458" t="s">
        <v>1607</v>
      </c>
      <c r="C28" s="451">
        <f t="shared" ref="C28:D28" si="7">3600/C27*C26</f>
        <v>0</v>
      </c>
      <c r="D28" s="451">
        <f t="shared" si="7"/>
        <v>0</v>
      </c>
    </row>
    <row r="29">
      <c r="A29" s="455"/>
    </row>
    <row r="30">
      <c r="A30" s="456" t="s">
        <v>1614</v>
      </c>
    </row>
    <row r="31">
      <c r="A31" s="458" t="s">
        <v>1615</v>
      </c>
      <c r="C31" t="str">
        <f>IF(OR('Sheet 1'!B41=Items!A194,'Sheet 1'!B41=Items!A197,'Sheet 1'!B41=Items!A206,'Sheet 1'!B41=Items!A207,'Sheet 1'!B41=Items!A215,'Sheet 1'!B41=Items!A227),(60000-B35*300)/15,)</f>
        <v/>
      </c>
      <c r="D31" t="str">
        <f>IF(OR('Sheet 1'!B61=Items!A194,'Sheet 1'!B61=Items!A197,'Sheet 1'!B61=Items!A206,'Sheet 1'!B61=Items!A207,'Sheet 1'!B61=Items!A215,'Sheet 1'!B61=Items!A227),(60000-B35*300)/15,)</f>
        <v/>
      </c>
    </row>
    <row r="32">
      <c r="A32" s="458" t="s">
        <v>1616</v>
      </c>
      <c r="C32" t="str">
        <f>IF(OR('Sheet 1'!B44=Items!A292,'Sheet 1'!B44=Items!A293,'Sheet 1'!B44=Items!A294,'Sheet 1'!B44=Items!A304,'Sheet 1'!B44=Items!A291,'Sheet 1'!B44=Items!A319),(90000-B35*450)/15,)</f>
        <v/>
      </c>
      <c r="D32" t="str">
        <f>IF(OR('Sheet 1'!B64=Items!A292,'Sheet 1'!B64=Items!A293,'Sheet 1'!B64=Items!A294,'Sheet 1'!B64=Items!A304,'Sheet 1'!B64=Items!A291,'Sheet 1'!B64=Items!A319),(90000-B35*450)/15,)</f>
        <v/>
      </c>
    </row>
    <row r="33">
      <c r="A33" s="458" t="s">
        <v>1617</v>
      </c>
      <c r="C33" t="str">
        <f>IF(OR('Sheet 1'!B45=Items!A336,'Sheet 1'!B45=Items!A335,'Sheet 1'!B45=Items!A337,'Sheet 1'!B45=Items!A338,'Sheet 1'!B45=Items!A347,'Sheet 1'!B45=Items!A361),(80000-B35*400)/15,)</f>
        <v/>
      </c>
      <c r="D33" t="str">
        <f>IF(OR('Sheet 1'!B65=Items!A336,'Sheet 1'!B65=Items!A335,'Sheet 1'!B65=Items!A337,'Sheet 1'!B65=Items!A338,'Sheet 1'!B65=Items!A347,'Sheet 1'!B65=Items!A361),(80000-B35*400)/15,)</f>
        <v/>
      </c>
    </row>
    <row r="34">
      <c r="A34" s="458" t="s">
        <v>1618</v>
      </c>
      <c r="C34" t="str">
        <f>IF(OR('Sheet 1'!B38=Items!A25,'Sheet 1'!B38=Items!A49,'Sheet 1'!B38=Items!A97,'Sheet 1'!B38=Items!A99,'Sheet 1'!B38=Items!A138,'Sheet 1'!B38=Items!A155),(100000-B35*500)/15,)</f>
        <v/>
      </c>
      <c r="D34" t="str">
        <f>IF(OR('Sheet 1'!B58=Items!A25,'Sheet 1'!B58=Items!A49,'Sheet 1'!B58=Items!A97,'Sheet 1'!B58=Items!A99,'Sheet 1'!B58=Items!A138,'Sheet 1'!B58=Items!A155),(100000-B35*500)/15,)</f>
        <v/>
      </c>
    </row>
    <row r="35">
      <c r="A35" s="458" t="s">
        <v>1619</v>
      </c>
      <c r="B35">
        <f t="array" ref="B35">IF(ISBLANK('Sheet 1'!B2),0,INDEX(Hiscores!C$4:F$29,match(A35,Hiscores!C$4:C$29,0),match("*Level*",Hiscores!C4:F4,0)))</f>
        <v>0</v>
      </c>
    </row>
    <row r="36">
      <c r="A36" s="458" t="s">
        <v>1607</v>
      </c>
      <c r="C36" s="451">
        <f t="shared" ref="C36:D36" si="8">sum(C31:C34)</f>
        <v>0</v>
      </c>
      <c r="D36" s="451">
        <f t="shared" si="8"/>
        <v>0</v>
      </c>
    </row>
    <row r="37">
      <c r="A37" s="455"/>
    </row>
    <row r="38">
      <c r="A38" s="456" t="s">
        <v>49</v>
      </c>
    </row>
    <row r="39" hidden="1">
      <c r="A39" s="458" t="s">
        <v>1620</v>
      </c>
      <c r="B39" t="str">
        <f t="array" ref="B39">IF(ISBLANK(A39),,INDEX(OSB!$A:$B,MATCH(A39,OSB!$A:$A,0),2))</f>
        <v>#N/A</v>
      </c>
    </row>
    <row r="40" hidden="1">
      <c r="A40" s="458" t="s">
        <v>1621</v>
      </c>
      <c r="B40" t="str">
        <f t="array" ref="B40">IF(ISBLANK(A40),,INDEX(OSB!$A:$B,MATCH(A40,OSB!$A:$A,0),2))</f>
        <v>#N/A</v>
      </c>
    </row>
    <row r="41" hidden="1">
      <c r="A41" s="458" t="s">
        <v>1622</v>
      </c>
      <c r="B41" t="str">
        <f t="array" ref="B41">IF(ISBLANK(A41),,INDEX(OSB!$A:$B,MATCH(A41,OSB!$A:$A,0),2))</f>
        <v>#N/A</v>
      </c>
    </row>
    <row r="42" hidden="1">
      <c r="A42" s="458" t="s">
        <v>1623</v>
      </c>
      <c r="C42" t="b">
        <f>OR('Sheet 1'!B49=Items!A487,'Sheet 1'!B49=Items!A488)</f>
        <v>0</v>
      </c>
      <c r="D42" t="b">
        <f>OR('Sheet 1'!B69=Items!A487,'Sheet 1'!B69=Items!A488)</f>
        <v>0</v>
      </c>
    </row>
    <row r="43" hidden="1">
      <c r="A43" s="455" t="str">
        <f>Items!A279</f>
        <v>Dragonbone necklace</v>
      </c>
      <c r="C43" t="b">
        <f>A43='Sheet 1'!B43</f>
        <v>0</v>
      </c>
      <c r="D43" t="b">
        <f>A43='Sheet 1'!B63</f>
        <v>0</v>
      </c>
    </row>
    <row r="44">
      <c r="A44" s="455"/>
    </row>
    <row r="45">
      <c r="A45" s="455"/>
    </row>
    <row r="46">
      <c r="A46" s="455"/>
    </row>
    <row r="47">
      <c r="A47" s="455"/>
    </row>
    <row r="48">
      <c r="A48" s="455"/>
    </row>
    <row r="49">
      <c r="A49" s="455"/>
    </row>
    <row r="50">
      <c r="A50" s="455"/>
    </row>
    <row r="51">
      <c r="A51" s="455"/>
    </row>
  </sheetData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14.43"/>
    <col hidden="1" min="3" max="8" width="14.43"/>
    <col hidden="1" min="11" max="11" width="14.43"/>
  </cols>
  <sheetData>
    <row r="1">
      <c r="A1" s="460" t="s">
        <v>66</v>
      </c>
      <c r="B1" s="25"/>
      <c r="C1" s="25"/>
      <c r="D1" s="25"/>
      <c r="E1" s="25"/>
      <c r="F1" s="25"/>
      <c r="G1" s="25"/>
      <c r="H1" s="25"/>
      <c r="I1" s="25"/>
      <c r="J1" s="25"/>
      <c r="K1" s="461" t="b">
        <f>Input!AC3</f>
        <v>1</v>
      </c>
    </row>
    <row r="2">
      <c r="A2" s="462" t="s">
        <v>1624</v>
      </c>
      <c r="B2" s="289" t="str">
        <f>'Sheet 1'!B38</f>
        <v>Harmonised nightmare staff</v>
      </c>
      <c r="C2" s="455"/>
      <c r="D2" s="455"/>
      <c r="E2" s="455"/>
      <c r="F2" s="455"/>
      <c r="G2" s="455"/>
      <c r="H2" s="455"/>
      <c r="I2" s="463"/>
      <c r="J2" s="463"/>
      <c r="K2" s="463"/>
    </row>
    <row r="3">
      <c r="A3" s="462" t="s">
        <v>1625</v>
      </c>
      <c r="B3" s="289" t="str">
        <f>'Sheet 1'!E18</f>
        <v>magic</v>
      </c>
      <c r="C3" s="455"/>
      <c r="D3" s="455"/>
      <c r="E3" s="455"/>
      <c r="F3" s="455"/>
      <c r="G3" s="455"/>
      <c r="H3" s="455"/>
      <c r="I3" s="463"/>
      <c r="J3" s="463"/>
      <c r="K3" s="463"/>
    </row>
    <row r="4">
      <c r="A4" s="462" t="s">
        <v>29</v>
      </c>
      <c r="B4" s="464">
        <f>Input!M9</f>
        <v>49</v>
      </c>
      <c r="C4" s="455"/>
      <c r="D4" s="455"/>
      <c r="E4" s="455"/>
      <c r="F4" s="455"/>
      <c r="G4" s="455"/>
      <c r="H4" s="455"/>
      <c r="I4" s="463"/>
      <c r="J4" s="463"/>
      <c r="K4" s="463"/>
    </row>
    <row r="5">
      <c r="A5" s="462" t="s">
        <v>1626</v>
      </c>
      <c r="B5" s="465">
        <f>'Dps p1'!D131</f>
        <v>24.5</v>
      </c>
      <c r="C5" s="455"/>
      <c r="D5" s="455"/>
      <c r="E5" s="455"/>
      <c r="F5" s="455"/>
      <c r="G5" s="455"/>
      <c r="H5" s="455"/>
      <c r="I5" s="463"/>
      <c r="J5" s="463"/>
      <c r="K5" s="463"/>
    </row>
    <row r="6">
      <c r="A6" s="462" t="s">
        <v>1627</v>
      </c>
      <c r="B6" s="466">
        <f>'Dps p1'!D22</f>
        <v>30816</v>
      </c>
      <c r="C6" s="455"/>
      <c r="D6" s="455"/>
      <c r="E6" s="455"/>
      <c r="F6" s="455"/>
      <c r="G6" s="455"/>
      <c r="H6" s="455"/>
      <c r="I6" s="463"/>
      <c r="J6" s="463"/>
      <c r="K6" s="463"/>
    </row>
    <row r="7">
      <c r="A7" s="462" t="s">
        <v>1628</v>
      </c>
      <c r="B7" s="464">
        <f>'Dps p1'!D133</f>
        <v>2.4</v>
      </c>
      <c r="C7" s="455"/>
      <c r="D7" s="455"/>
      <c r="E7" s="455"/>
      <c r="F7" s="455"/>
      <c r="G7" s="455"/>
      <c r="H7" s="455"/>
      <c r="I7" s="463"/>
      <c r="J7" s="463"/>
      <c r="K7" s="463"/>
    </row>
    <row r="8">
      <c r="A8" s="462"/>
      <c r="B8" s="458"/>
      <c r="C8" s="455"/>
      <c r="D8" s="455"/>
      <c r="E8" s="455"/>
      <c r="F8" s="455"/>
      <c r="G8" s="455"/>
      <c r="H8" s="455"/>
      <c r="I8" s="463"/>
      <c r="J8" s="463"/>
      <c r="K8" s="463"/>
    </row>
    <row r="9">
      <c r="A9" s="467" t="s">
        <v>1629</v>
      </c>
      <c r="B9" s="468" t="s">
        <v>1630</v>
      </c>
      <c r="C9" s="468" t="s">
        <v>136</v>
      </c>
      <c r="D9" s="468" t="s">
        <v>45</v>
      </c>
      <c r="E9" s="468" t="s">
        <v>1631</v>
      </c>
      <c r="F9" s="468" t="s">
        <v>170</v>
      </c>
      <c r="G9" s="468" t="s">
        <v>1632</v>
      </c>
      <c r="H9" s="469">
        <f>SUM(H10:H37)</f>
        <v>86.31841403</v>
      </c>
      <c r="I9" s="470" t="s">
        <v>1633</v>
      </c>
      <c r="J9" s="471">
        <f>INT(SUM(J10:J37))</f>
        <v>122448</v>
      </c>
      <c r="K9" s="472"/>
    </row>
    <row r="10">
      <c r="A10" s="473" t="str">
        <f>'NPC stats'!A98</f>
        <v>Count Draynor (hard)</v>
      </c>
      <c r="B10" s="474" t="s">
        <v>1634</v>
      </c>
      <c r="C10" s="455">
        <f t="array" ref="C10">(9+INDEX('NPC stats'!$A$2:$Z37,MATCH(A10,'NPC stats'!$A$2:$A37,0),MATCH('NPC stats'!$H$2,'NPC stats'!$A$2:K$2,0))) * (64+INDEX('NPC stats'!$A$2:$Z37,MATCH(A10,'NPC stats'!$A$2:$A37,0),MATCH('Sheet 1'!$E$18&amp;" defence",'NPC stats'!$A$2:K$2,0)))</f>
        <v>2496</v>
      </c>
      <c r="D10" s="455">
        <f t="array" ref="D10">INDEX('NPC stats'!$A$2:$Z37,MATCH(A10,'NPC stats'!$A$2:$A37,0),MATCH('NPC stats'!E$2,'NPC stats'!$A$2:K$2,0))</f>
        <v>210</v>
      </c>
      <c r="E10" s="455">
        <f t="shared" ref="E10:E37" si="1">MIN(B$4,D10)*(MIN(B$4,D10)+1)*(((D10+B$4+1)/(D10*(B$4+1)*2))-(2/(D10*(B$4+1)*6))*(2*MIN(B$4,D10)+1))</f>
        <v>22.63333333</v>
      </c>
      <c r="F10" s="455">
        <f t="shared" ref="F10:F37" si="2">IF(B$6&gt;C10,1-(C10+2)/(2*(B$6+1)),(B$6)/(2*(C10+1)))</f>
        <v>0.9594704222</v>
      </c>
      <c r="G10" s="455">
        <f t="shared" ref="G10:G37" si="3">D10/B$5/F10*B$7</f>
        <v>21.44039889</v>
      </c>
      <c r="H10" s="455">
        <f t="shared" ref="H10:H12" si="4">IF(B10="IN",G10,)</f>
        <v>21.44039889</v>
      </c>
      <c r="I10" s="475">
        <f t="array" ref="I10">F10*E10/B$7*4*3600*(1+INDEX('NPC stats'!$A$2:$Z37,MATCH(A10,'NPC stats'!$A$2:$A37,0),MATCH('NPC stats'!C$2,'NPC stats'!$A$2:K$2,0)))</f>
        <v>130296.0833</v>
      </c>
      <c r="J10" s="476">
        <f t="shared" ref="J10:J13" si="5">H10/H$9*I10</f>
        <v>32363.89398</v>
      </c>
      <c r="K10" s="463"/>
    </row>
    <row r="11">
      <c r="A11" s="473" t="str">
        <f>'NPC stats'!A329</f>
        <v>Sand Snake (hard)</v>
      </c>
      <c r="B11" s="474" t="s">
        <v>1635</v>
      </c>
      <c r="C11" s="455">
        <f t="array" ref="C11">(9+INDEX('NPC stats'!$A$2:$Z37,MATCH(A11,'NPC stats'!$A$2:$A37,0),MATCH('NPC stats'!$H$2,'NPC stats'!$A$2:K$2,0))) * (64+INDEX('NPC stats'!$A$2:$Z37,MATCH(A11,'NPC stats'!$A$2:$A37,0),MATCH('Sheet 1'!$E$18&amp;" defence",'NPC stats'!$A$2:K$2,0)))</f>
        <v>1856</v>
      </c>
      <c r="D11" s="455">
        <f t="array" ref="D11">INDEX('NPC stats'!$A$2:$Z37,MATCH(A11,'NPC stats'!$A$2:$A37,0),MATCH('NPC stats'!E$2,'NPC stats'!$A$2:K$2,0))</f>
        <v>180</v>
      </c>
      <c r="E11" s="455">
        <f t="shared" si="1"/>
        <v>22.32222222</v>
      </c>
      <c r="F11" s="455">
        <f t="shared" si="2"/>
        <v>0.9698543012</v>
      </c>
      <c r="G11" s="455">
        <f t="shared" si="3"/>
        <v>18.18072368</v>
      </c>
      <c r="H11" s="455" t="str">
        <f t="shared" si="4"/>
        <v/>
      </c>
      <c r="I11" s="475">
        <f t="array" ref="I11">F11*E11/B$7*4*3600*(1+INDEX('NPC stats'!$A$2:$Z37,MATCH(A11,'NPC stats'!$A$2:$A37,0),MATCH('NPC stats'!C$2,'NPC stats'!$A$2:K$2,0)))</f>
        <v>129895.8194</v>
      </c>
      <c r="J11" s="476">
        <f t="shared" si="5"/>
        <v>0</v>
      </c>
      <c r="K11" s="463"/>
    </row>
    <row r="12">
      <c r="A12" s="473" t="str">
        <f>'NPC stats'!A242</f>
        <v>King Roald (hard)</v>
      </c>
      <c r="B12" s="474" t="s">
        <v>1635</v>
      </c>
      <c r="C12" s="455">
        <f t="array" ref="C12">(9+INDEX('NPC stats'!$A$2:$Z37,MATCH(A12,'NPC stats'!$A$2:$A37,0),MATCH('NPC stats'!$H$2,'NPC stats'!$A$2:K$2,0))) * (64+INDEX('NPC stats'!$A$2:$Z37,MATCH(A12,'NPC stats'!$A$2:$A37,0),MATCH('Sheet 1'!$E$18&amp;" defence",'NPC stats'!$A$2:K$2,0)))</f>
        <v>2496</v>
      </c>
      <c r="D12" s="455">
        <f t="array" ref="D12">INDEX('NPC stats'!$A$2:$Z37,MATCH(A12,'NPC stats'!$A$2:$A37,0),MATCH('NPC stats'!E$2,'NPC stats'!$A$2:K$2,0))</f>
        <v>150</v>
      </c>
      <c r="E12" s="455">
        <f t="shared" si="1"/>
        <v>21.88666667</v>
      </c>
      <c r="F12" s="455">
        <f t="shared" si="2"/>
        <v>0.9594704222</v>
      </c>
      <c r="G12" s="455">
        <f t="shared" si="3"/>
        <v>15.31457063</v>
      </c>
      <c r="H12" s="455" t="str">
        <f t="shared" si="4"/>
        <v/>
      </c>
      <c r="I12" s="475">
        <f t="array" ref="I12">F12*E12/B$7*4*3600*(1+INDEX('NPC stats'!$A$2:$Z37,MATCH(A12,'NPC stats'!$A$2:$A37,0),MATCH('NPC stats'!C$2,'NPC stats'!$A$2:K$2,0)))</f>
        <v>125997.6558</v>
      </c>
      <c r="J12" s="476">
        <f t="shared" si="5"/>
        <v>0</v>
      </c>
      <c r="K12" s="463"/>
    </row>
    <row r="13">
      <c r="A13" s="473" t="s">
        <v>1636</v>
      </c>
      <c r="B13" s="474" t="s">
        <v>1635</v>
      </c>
      <c r="C13" s="455" t="str">
        <f t="array" ref="C13">(9+INDEX('NPC stats'!$A$2:$Z37,MATCH(A13,'NPC stats'!$A$2:$A37,0),MATCH('NPC stats'!$H$2,'NPC stats'!$A$2:K$2,0))) * (64+INDEX('NPC stats'!$A$2:$Z37,MATCH(A13,'NPC stats'!$A$2:$A37,0),MATCH('Sheet 1'!$E$18&amp;" defence",'NPC stats'!$A$2:K$2,0)))</f>
        <v>#N/A</v>
      </c>
      <c r="D13" s="455" t="str">
        <f t="array" ref="D13">INDEX('NPC stats'!$A$2:$Z37,MATCH(A13,'NPC stats'!$A$2:$A37,0),MATCH('NPC stats'!E$2,'NPC stats'!$A$2:K$2,0))</f>
        <v>#N/A</v>
      </c>
      <c r="E13" s="455" t="str">
        <f t="shared" si="1"/>
        <v>#N/A</v>
      </c>
      <c r="F13" s="455" t="str">
        <f t="shared" si="2"/>
        <v>#N/A</v>
      </c>
      <c r="G13" s="455" t="str">
        <f t="shared" si="3"/>
        <v>#N/A</v>
      </c>
      <c r="H13" s="455" t="str">
        <f>IF(B13="IN",SUM(G14:G17),)</f>
        <v/>
      </c>
      <c r="I13" s="475">
        <f>AVERAGE(I14:I17)</f>
        <v>114983.0263</v>
      </c>
      <c r="J13" s="476">
        <f t="shared" si="5"/>
        <v>0</v>
      </c>
      <c r="K13" s="463"/>
    </row>
    <row r="14" hidden="1">
      <c r="A14" s="473" t="str">
        <f>'NPC stats'!A435</f>
        <v>Witch's experiment 1st (hard)</v>
      </c>
      <c r="B14" s="474"/>
      <c r="C14" s="455">
        <f t="array" ref="C14">(9+INDEX('NPC stats'!$A$2:$Z37,MATCH(A14,'NPC stats'!$A$2:$A37,0),MATCH('NPC stats'!$H$2,'NPC stats'!$A$2:K$2,0))) * (64+INDEX('NPC stats'!$A$2:$Z37,MATCH(A14,'NPC stats'!$A$2:$A37,0),MATCH('Sheet 1'!$E$18&amp;" defence",'NPC stats'!$A$2:K$2,0)))</f>
        <v>1792</v>
      </c>
      <c r="D14" s="455">
        <f t="array" ref="D14">INDEX('NPC stats'!$A$2:$Z37,MATCH(A14,'NPC stats'!$A$2:$A37,0),MATCH('NPC stats'!E$2,'NPC stats'!$A$2:K$2,0))</f>
        <v>63</v>
      </c>
      <c r="E14" s="455">
        <f t="shared" si="1"/>
        <v>18.27777778</v>
      </c>
      <c r="F14" s="455">
        <f t="shared" si="2"/>
        <v>0.9708926891</v>
      </c>
      <c r="G14" s="455">
        <f t="shared" si="3"/>
        <v>6.35644767</v>
      </c>
      <c r="H14" s="455"/>
      <c r="I14" s="475">
        <f t="array" ref="I14">F14*E14/B$7*4*3600*(1+INDEX('NPC stats'!$A$2:$Z37,MATCH(A14,'NPC stats'!$A$2:$A37,0),MATCH('NPC stats'!C$2,'NPC stats'!$A$2:K$2,0)))</f>
        <v>106474.5649</v>
      </c>
      <c r="J14" s="476"/>
      <c r="K14" s="463"/>
    </row>
    <row r="15" hidden="1">
      <c r="A15" s="473" t="str">
        <f>'NPC stats'!A436</f>
        <v>Witch's experiment 2nd (hard)</v>
      </c>
      <c r="B15" s="474"/>
      <c r="C15" s="455">
        <f t="array" ref="C15">(9+INDEX('NPC stats'!$A$2:$Z37,MATCH(A15,'NPC stats'!$A$2:$A37,0),MATCH('NPC stats'!$H$2,'NPC stats'!$A$2:K$2,0))) * (64+INDEX('NPC stats'!$A$2:$Z37,MATCH(A15,'NPC stats'!$A$2:$A37,0),MATCH('Sheet 1'!$E$18&amp;" defence",'NPC stats'!$A$2:K$2,0)))</f>
        <v>2432</v>
      </c>
      <c r="D15" s="455">
        <f t="array" ref="D15">INDEX('NPC stats'!$A$2:$Z37,MATCH(A15,'NPC stats'!$A$2:$A37,0),MATCH('NPC stats'!E$2,'NPC stats'!$A$2:K$2,0))</f>
        <v>93</v>
      </c>
      <c r="E15" s="455">
        <f t="shared" si="1"/>
        <v>20.28494624</v>
      </c>
      <c r="F15" s="455">
        <f t="shared" si="2"/>
        <v>0.9605088101</v>
      </c>
      <c r="G15" s="455">
        <f t="shared" si="3"/>
        <v>9.484768891</v>
      </c>
      <c r="H15" s="455"/>
      <c r="I15" s="475">
        <f t="array" ref="I15">F15*E15/B$7*4*3600*(1+INDEX('NPC stats'!$A$2:$Z37,MATCH(A15,'NPC stats'!$A$2:$A37,0),MATCH('NPC stats'!C$2,'NPC stats'!$A$2:K$2,0)))</f>
        <v>116903.2174</v>
      </c>
      <c r="J15" s="476"/>
      <c r="K15" s="463"/>
    </row>
    <row r="16" hidden="1">
      <c r="A16" s="473" t="str">
        <f>'NPC stats'!A437</f>
        <v>Witch's experiment 3rd (hard)</v>
      </c>
      <c r="B16" s="474"/>
      <c r="C16" s="455">
        <f t="array" ref="C16">(9+INDEX('NPC stats'!$A$2:$Z37,MATCH(A16,'NPC stats'!$A$2:$A37,0),MATCH('NPC stats'!$H$2,'NPC stats'!$A$2:K$2,0))) * (64+INDEX('NPC stats'!$A$2:$Z37,MATCH(A16,'NPC stats'!$A$2:$A37,0),MATCH('Sheet 1'!$E$18&amp;" defence",'NPC stats'!$A$2:K$2,0)))</f>
        <v>3072</v>
      </c>
      <c r="D16" s="455">
        <f t="array" ref="D16">INDEX('NPC stats'!$A$2:$Z37,MATCH(A16,'NPC stats'!$A$2:$A37,0),MATCH('NPC stats'!E$2,'NPC stats'!$A$2:K$2,0))</f>
        <v>103</v>
      </c>
      <c r="E16" s="455">
        <f t="shared" si="1"/>
        <v>20.69417476</v>
      </c>
      <c r="F16" s="455">
        <f t="shared" si="2"/>
        <v>0.950124931</v>
      </c>
      <c r="G16" s="455">
        <f t="shared" si="3"/>
        <v>10.61944128</v>
      </c>
      <c r="H16" s="455"/>
      <c r="I16" s="475">
        <f t="array" ref="I16">F16*E16/B$7*4*3600*(1+INDEX('NPC stats'!$A$2:$Z37,MATCH(A16,'NPC stats'!$A$2:$A37,0),MATCH('NPC stats'!C$2,'NPC stats'!$A$2:K$2,0)))</f>
        <v>117972.3082</v>
      </c>
      <c r="J16" s="476"/>
      <c r="K16" s="463"/>
    </row>
    <row r="17" hidden="1">
      <c r="A17" s="473" t="str">
        <f>'NPC stats'!A438</f>
        <v>Witch's experiment 4th (hard)</v>
      </c>
      <c r="B17" s="474"/>
      <c r="C17" s="455">
        <f t="array" ref="C17">(9+INDEX('NPC stats'!$A$2:$Z37,MATCH(A17,'NPC stats'!$A$2:$A37,0),MATCH('NPC stats'!$H$2,'NPC stats'!$A$2:K$2,0))) * (64+INDEX('NPC stats'!$A$2:$Z37,MATCH(A17,'NPC stats'!$A$2:$A37,0),MATCH('Sheet 1'!$E$18&amp;" defence",'NPC stats'!$A$2:K$2,0)))</f>
        <v>3712</v>
      </c>
      <c r="D17" s="455">
        <f t="array" ref="D17">INDEX('NPC stats'!$A$2:$Z37,MATCH(A17,'NPC stats'!$A$2:$A37,0),MATCH('NPC stats'!E$2,'NPC stats'!$A$2:K$2,0))</f>
        <v>113</v>
      </c>
      <c r="E17" s="455">
        <f t="shared" si="1"/>
        <v>21.03097345</v>
      </c>
      <c r="F17" s="455">
        <f t="shared" si="2"/>
        <v>0.939741052</v>
      </c>
      <c r="G17" s="455">
        <f t="shared" si="3"/>
        <v>11.77918931</v>
      </c>
      <c r="H17" s="455"/>
      <c r="I17" s="475">
        <f t="array" ref="I17">F17*E17/B$7*4*3600*(1+INDEX('NPC stats'!$A$2:$Z37,MATCH(A17,'NPC stats'!$A$2:$A37,0),MATCH('NPC stats'!C$2,'NPC stats'!$A$2:K$2,0)))</f>
        <v>118582.0147</v>
      </c>
      <c r="J17" s="476"/>
      <c r="K17" s="463"/>
    </row>
    <row r="18">
      <c r="A18" s="473" t="str">
        <f>'NPC stats'!A392</f>
        <v>The Kendal (hard)</v>
      </c>
      <c r="B18" s="474" t="s">
        <v>1634</v>
      </c>
      <c r="C18" s="455">
        <f t="array" ref="C18">(9+INDEX('NPC stats'!$A$2:$Z37,MATCH(A18,'NPC stats'!$A$2:$A37,0),MATCH('NPC stats'!$H$2,'NPC stats'!$A$2:K$2,0))) * (64+INDEX('NPC stats'!$A$2:$Z37,MATCH(A18,'NPC stats'!$A$2:$A37,0),MATCH('Sheet 1'!$E$18&amp;" defence",'NPC stats'!$A$2:K$2,0)))</f>
        <v>3726</v>
      </c>
      <c r="D18" s="455">
        <f t="array" ref="D18">INDEX('NPC stats'!$A$2:$Z37,MATCH(A18,'NPC stats'!$A$2:$A37,0),MATCH('NPC stats'!E$2,'NPC stats'!$A$2:K$2,0))</f>
        <v>150</v>
      </c>
      <c r="E18" s="455">
        <f t="shared" si="1"/>
        <v>21.88666667</v>
      </c>
      <c r="F18" s="455">
        <f t="shared" si="2"/>
        <v>0.9395139047</v>
      </c>
      <c r="G18" s="455">
        <f t="shared" si="3"/>
        <v>15.63987236</v>
      </c>
      <c r="H18" s="455">
        <f t="shared" ref="H18:H21" si="6">IF(B18="IN",G18,)</f>
        <v>15.63987236</v>
      </c>
      <c r="I18" s="475">
        <f t="array" ref="I18">F18*E18/B$7*4*3600*(1+INDEX('NPC stats'!$A$2:$Z37,MATCH(A18,'NPC stats'!$A$2:$A37,0),MATCH('NPC stats'!C$2,'NPC stats'!$A$2:K$2,0)))</f>
        <v>123376.966</v>
      </c>
      <c r="J18" s="476">
        <f t="shared" ref="J18:J22" si="7">H18/H$9*I18</f>
        <v>22354.44223</v>
      </c>
      <c r="K18" s="463"/>
    </row>
    <row r="19">
      <c r="A19" s="473" t="str">
        <f>'NPC stats'!A270</f>
        <v>Me (hard)</v>
      </c>
      <c r="B19" s="474" t="s">
        <v>1634</v>
      </c>
      <c r="C19" s="455">
        <f t="array" ref="C19">(9+INDEX('NPC stats'!$A$2:$Z37,MATCH(A19,'NPC stats'!$A$2:$A37,0),MATCH('NPC stats'!$H$2,'NPC stats'!$A$2:K$2,0))) * (64+INDEX('NPC stats'!$A$2:$Z37,MATCH(A19,'NPC stats'!$A$2:$A37,0),MATCH('Sheet 1'!$E$18&amp;" defence",'NPC stats'!$A$2:K$2,0)))</f>
        <v>5312</v>
      </c>
      <c r="D19" s="455">
        <f t="array" ref="D19">INDEX('NPC stats'!$A$2:$Z37,MATCH(A19,'NPC stats'!$A$2:$A37,0),MATCH('NPC stats'!E$2,'NPC stats'!$A$2:K$2,0))</f>
        <v>135</v>
      </c>
      <c r="E19" s="455">
        <f t="shared" si="1"/>
        <v>21.5962963</v>
      </c>
      <c r="F19" s="455">
        <f t="shared" si="2"/>
        <v>0.9137813544</v>
      </c>
      <c r="G19" s="455">
        <f t="shared" si="3"/>
        <v>14.47226925</v>
      </c>
      <c r="H19" s="455">
        <f t="shared" si="6"/>
        <v>14.47226925</v>
      </c>
      <c r="I19" s="475">
        <f t="array" ref="I19">F19*E19/B$7*4*3600*(1+INDEX('NPC stats'!$A$2:$Z37,MATCH(A19,'NPC stats'!$A$2:$A37,0),MATCH('NPC stats'!C$2,'NPC stats'!$A$2:K$2,0)))</f>
        <v>118405.7573</v>
      </c>
      <c r="J19" s="476">
        <f t="shared" si="7"/>
        <v>19852.07929</v>
      </c>
      <c r="K19" s="463"/>
    </row>
    <row r="20">
      <c r="A20" s="473" t="str">
        <f>'NPC stats'!A282</f>
        <v>Moss giant (hard)</v>
      </c>
      <c r="B20" s="474" t="s">
        <v>1635</v>
      </c>
      <c r="C20" s="455">
        <f t="array" ref="C20">(9+INDEX('NPC stats'!$A$2:$Z37,MATCH(A20,'NPC stats'!$A$2:$A37,0),MATCH('NPC stats'!$H$2,'NPC stats'!$A$2:K$2,0))) * (64+INDEX('NPC stats'!$A$2:$Z37,MATCH(A20,'NPC stats'!$A$2:$A37,0),MATCH('Sheet 1'!$E$18&amp;" defence",'NPC stats'!$A$2:K$2,0)))</f>
        <v>4416</v>
      </c>
      <c r="D20" s="455">
        <f t="array" ref="D20">INDEX('NPC stats'!$A$2:$Z37,MATCH(A20,'NPC stats'!$A$2:$A37,0),MATCH('NPC stats'!E$2,'NPC stats'!$A$2:K$2,0))</f>
        <v>240</v>
      </c>
      <c r="E20" s="455">
        <f t="shared" si="1"/>
        <v>22.86666667</v>
      </c>
      <c r="F20" s="455">
        <f t="shared" si="2"/>
        <v>0.9283187851</v>
      </c>
      <c r="G20" s="455">
        <f t="shared" si="3"/>
        <v>25.32557184</v>
      </c>
      <c r="H20" s="455" t="str">
        <f t="shared" si="6"/>
        <v/>
      </c>
      <c r="I20" s="475">
        <f t="array" ref="I20">F20*E20/B$7*4*3600*(1+INDEX('NPC stats'!$A$2:$Z37,MATCH(A20,'NPC stats'!$A$2:$A37,0),MATCH('NPC stats'!C$2,'NPC stats'!$A$2:K$2,0)))</f>
        <v>136917.7376</v>
      </c>
      <c r="J20" s="476">
        <f t="shared" si="7"/>
        <v>0</v>
      </c>
      <c r="K20" s="463"/>
    </row>
    <row r="21">
      <c r="A21" s="473" t="str">
        <f>'NPC stats'!A356</f>
        <v>Slagilith (hard)</v>
      </c>
      <c r="B21" s="474" t="s">
        <v>1635</v>
      </c>
      <c r="C21" s="455">
        <f t="array" ref="C21">(9+INDEX('NPC stats'!$A$2:$Z37,MATCH(A21,'NPC stats'!$A$2:$A37,0),MATCH('NPC stats'!$H$2,'NPC stats'!$A$2:K$2,0))) * (64+INDEX('NPC stats'!$A$2:$Z37,MATCH(A21,'NPC stats'!$A$2:$A37,0),MATCH('Sheet 1'!$E$18&amp;" defence",'NPC stats'!$A$2:K$2,0)))</f>
        <v>5796</v>
      </c>
      <c r="D21" s="455">
        <f t="array" ref="D21">INDEX('NPC stats'!$A$2:$Z37,MATCH(A21,'NPC stats'!$A$2:$A37,0),MATCH('NPC stats'!E$2,'NPC stats'!$A$2:K$2,0))</f>
        <v>150</v>
      </c>
      <c r="E21" s="455">
        <f t="shared" si="1"/>
        <v>21.88666667</v>
      </c>
      <c r="F21" s="455">
        <f t="shared" si="2"/>
        <v>0.9059285459</v>
      </c>
      <c r="G21" s="455">
        <f t="shared" si="3"/>
        <v>16.2196871</v>
      </c>
      <c r="H21" s="455" t="str">
        <f t="shared" si="6"/>
        <v/>
      </c>
      <c r="I21" s="475">
        <f t="array" ref="I21">F21*E21/B$7*4*3600*(1+INDEX('NPC stats'!$A$2:$Z37,MATCH(A21,'NPC stats'!$A$2:$A37,0),MATCH('NPC stats'!C$2,'NPC stats'!$A$2:K$2,0)))</f>
        <v>121940.7001</v>
      </c>
      <c r="J21" s="476">
        <f t="shared" si="7"/>
        <v>0</v>
      </c>
      <c r="K21" s="463"/>
    </row>
    <row r="22">
      <c r="A22" s="473" t="s">
        <v>1637</v>
      </c>
      <c r="B22" s="474" t="s">
        <v>1635</v>
      </c>
      <c r="C22" s="455" t="str">
        <f t="array" ref="C22">(9+INDEX('NPC stats'!$A$2:$Z37,MATCH(A22,'NPC stats'!$A$2:$A37,0),MATCH('NPC stats'!$H$2,'NPC stats'!$A$2:K$2,0))) * (64+INDEX('NPC stats'!$A$2:$Z37,MATCH(A22,'NPC stats'!$A$2:$A37,0),MATCH('Sheet 1'!$E$18&amp;" defence",'NPC stats'!$A$2:K$2,0)))</f>
        <v>#N/A</v>
      </c>
      <c r="D22" s="455" t="str">
        <f t="array" ref="D22">INDEX('NPC stats'!$A$2:$Z37,MATCH(A22,'NPC stats'!$A$2:$A37,0),MATCH('NPC stats'!E$2,'NPC stats'!$A$2:K$2,0))</f>
        <v>#N/A</v>
      </c>
      <c r="E22" s="455" t="str">
        <f t="shared" si="1"/>
        <v>#N/A</v>
      </c>
      <c r="F22" s="455" t="str">
        <f t="shared" si="2"/>
        <v>#N/A</v>
      </c>
      <c r="G22" s="455" t="str">
        <f t="shared" si="3"/>
        <v>#N/A</v>
      </c>
      <c r="H22" s="455" t="str">
        <f>IF(B22="IN",SUM(G23:G25),)</f>
        <v/>
      </c>
      <c r="I22" s="475">
        <f>AVERAGE(I23:I25)</f>
        <v>121571.35</v>
      </c>
      <c r="J22" s="476">
        <f t="shared" si="7"/>
        <v>0</v>
      </c>
      <c r="K22" s="463"/>
    </row>
    <row r="23" hidden="1">
      <c r="A23" s="473" t="str">
        <f>'NPC stats'!A294</f>
        <v>Nazastarool zombie (hard)</v>
      </c>
      <c r="B23" s="474"/>
      <c r="C23" s="455">
        <f t="array" ref="C23">(9+INDEX('NPC stats'!$A$2:$Z37,MATCH(A23,'NPC stats'!$A$2:$A37,0),MATCH('NPC stats'!$H$2,'NPC stats'!$A$2:K$2,0))) * (64+INDEX('NPC stats'!$A$2:$Z37,MATCH(A23,'NPC stats'!$A$2:$A37,0),MATCH('Sheet 1'!$E$18&amp;" defence",'NPC stats'!$A$2:K$2,0)))</f>
        <v>5696</v>
      </c>
      <c r="D23" s="455">
        <f t="array" ref="D23">INDEX('NPC stats'!$A$2:$Z37,MATCH(A23,'NPC stats'!$A$2:$A37,0),MATCH('NPC stats'!E$2,'NPC stats'!$A$2:K$2,0))</f>
        <v>154</v>
      </c>
      <c r="E23" s="455">
        <f t="shared" si="1"/>
        <v>21.95454545</v>
      </c>
      <c r="F23" s="455">
        <f t="shared" si="2"/>
        <v>0.907551027</v>
      </c>
      <c r="G23" s="455">
        <f t="shared" si="3"/>
        <v>16.62244197</v>
      </c>
      <c r="H23" s="455"/>
      <c r="I23" s="475">
        <f t="array" ref="I23">F23*E23/B$7*4*3600*(1+INDEX('NPC stats'!$A$2:$Z37,MATCH(A23,'NPC stats'!$A$2:$A37,0),MATCH('NPC stats'!C$2,'NPC stats'!$A$2:K$2,0)))</f>
        <v>119549.2217</v>
      </c>
      <c r="J23" s="476"/>
      <c r="K23" s="463"/>
    </row>
    <row r="24" hidden="1">
      <c r="A24" s="473" t="str">
        <f>'NPC stats'!A295</f>
        <v>Nazastarool skeleton (hard)</v>
      </c>
      <c r="B24" s="474"/>
      <c r="C24" s="455">
        <f t="array" ref="C24">(9+INDEX('NPC stats'!$A$2:$Z37,MATCH(A24,'NPC stats'!$A$2:$A37,0),MATCH('NPC stats'!$H$2,'NPC stats'!$A$2:K$2,0))) * (64+INDEX('NPC stats'!$A$2:$Z37,MATCH(A24,'NPC stats'!$A$2:$A37,0),MATCH('Sheet 1'!$E$18&amp;" defence",'NPC stats'!$A$2:K$2,0)))</f>
        <v>4623</v>
      </c>
      <c r="D24" s="455">
        <f t="array" ref="D24">INDEX('NPC stats'!$A$2:$Z37,MATCH(A24,'NPC stats'!$A$2:$A37,0),MATCH('NPC stats'!E$2,'NPC stats'!$A$2:K$2,0))</f>
        <v>180</v>
      </c>
      <c r="E24" s="455">
        <f t="shared" si="1"/>
        <v>22.32222222</v>
      </c>
      <c r="F24" s="455">
        <f t="shared" si="2"/>
        <v>0.9249602492</v>
      </c>
      <c r="G24" s="455">
        <f t="shared" si="3"/>
        <v>19.06314685</v>
      </c>
      <c r="H24" s="455"/>
      <c r="I24" s="475">
        <f t="array" ref="I24">F24*E24/B$7*4*3600*(1+INDEX('NPC stats'!$A$2:$Z37,MATCH(A24,'NPC stats'!$A$2:$A37,0),MATCH('NPC stats'!C$2,'NPC stats'!$A$2:K$2,0)))</f>
        <v>123883.0094</v>
      </c>
      <c r="J24" s="476"/>
      <c r="K24" s="463"/>
    </row>
    <row r="25" hidden="1">
      <c r="A25" s="473" t="str">
        <f>'NPC stats'!A296</f>
        <v>Nazastarool ghost (hard)</v>
      </c>
      <c r="B25" s="474"/>
      <c r="C25" s="455">
        <f t="array" ref="C25">(9+INDEX('NPC stats'!$A$2:$Z37,MATCH(A25,'NPC stats'!$A$2:$A37,0),MATCH('NPC stats'!$H$2,'NPC stats'!$A$2:K$2,0))) * (64+INDEX('NPC stats'!$A$2:$Z37,MATCH(A25,'NPC stats'!$A$2:$A37,0),MATCH('Sheet 1'!$E$18&amp;" defence",'NPC stats'!$A$2:K$2,0)))</f>
        <v>5696</v>
      </c>
      <c r="D25" s="455">
        <f t="array" ref="D25">INDEX('NPC stats'!$A$2:$Z37,MATCH(A25,'NPC stats'!$A$2:$A37,0),MATCH('NPC stats'!E$2,'NPC stats'!$A$2:K$2,0))</f>
        <v>176</v>
      </c>
      <c r="E25" s="455">
        <f t="shared" si="1"/>
        <v>22.27272727</v>
      </c>
      <c r="F25" s="455">
        <f t="shared" si="2"/>
        <v>0.907551027</v>
      </c>
      <c r="G25" s="455">
        <f t="shared" si="3"/>
        <v>18.99707654</v>
      </c>
      <c r="H25" s="455"/>
      <c r="I25" s="475">
        <f t="array" ref="I25">F25*E25/B$7*4*3600*(1+INDEX('NPC stats'!$A$2:$Z37,MATCH(A25,'NPC stats'!$A$2:$A37,0),MATCH('NPC stats'!C$2,'NPC stats'!$A$2:K$2,0)))</f>
        <v>121281.8191</v>
      </c>
      <c r="J25" s="476"/>
      <c r="K25" s="463"/>
    </row>
    <row r="26">
      <c r="A26" s="473" t="str">
        <f>'NPC stats'!A404</f>
        <v>Treus dayth (hard)</v>
      </c>
      <c r="B26" s="474" t="s">
        <v>1635</v>
      </c>
      <c r="C26" s="455">
        <f t="array" ref="C26">(9+INDEX('NPC stats'!$A$2:$Z37,MATCH(A26,'NPC stats'!$A$2:$A37,0),MATCH('NPC stats'!$H$2,'NPC stats'!$A$2:K$2,0))) * (64+INDEX('NPC stats'!$A$2:$Z37,MATCH(A26,'NPC stats'!$A$2:$A37,0),MATCH('Sheet 1'!$E$18&amp;" defence",'NPC stats'!$A$2:K$2,0)))</f>
        <v>6431</v>
      </c>
      <c r="D26" s="455">
        <f t="array" ref="D26">INDEX('NPC stats'!$A$2:$Z37,MATCH(A26,'NPC stats'!$A$2:$A37,0),MATCH('NPC stats'!E$2,'NPC stats'!$A$2:K$2,0))</f>
        <v>240</v>
      </c>
      <c r="E26" s="455">
        <f t="shared" si="1"/>
        <v>22.86666667</v>
      </c>
      <c r="F26" s="455">
        <f t="shared" si="2"/>
        <v>0.895625791</v>
      </c>
      <c r="G26" s="455">
        <f t="shared" si="3"/>
        <v>26.25003022</v>
      </c>
      <c r="H26" s="455" t="str">
        <f t="shared" ref="H26:H37" si="8">IF(B26="IN",G26,)</f>
        <v/>
      </c>
      <c r="I26" s="475">
        <f t="array" ref="I26">F26*E26/B$7*4*3600*(1+INDEX('NPC stats'!$A$2:$Z37,MATCH(A26,'NPC stats'!$A$2:$A37,0),MATCH('NPC stats'!C$2,'NPC stats'!$A$2:K$2,0)))</f>
        <v>122879.8585</v>
      </c>
      <c r="J26" s="476">
        <f t="shared" ref="J26:J37" si="9">H26/H$9*I26</f>
        <v>0</v>
      </c>
      <c r="K26" s="463"/>
    </row>
    <row r="27">
      <c r="A27" s="473" t="str">
        <f>'NPC stats'!A353</f>
        <v>Skeleton hellhound (hard)</v>
      </c>
      <c r="B27" s="474" t="s">
        <v>1634</v>
      </c>
      <c r="C27" s="455">
        <f t="array" ref="C27">(9+INDEX('NPC stats'!$A$2:$Z37,MATCH(A27,'NPC stats'!$A$2:$A37,0),MATCH('NPC stats'!$H$2,'NPC stats'!$A$2:K$2,0))) * (64+INDEX('NPC stats'!$A$2:$Z37,MATCH(A27,'NPC stats'!$A$2:$A37,0),MATCH('Sheet 1'!$E$18&amp;" defence",'NPC stats'!$A$2:K$2,0)))</f>
        <v>6976</v>
      </c>
      <c r="D27" s="455">
        <f t="array" ref="D27">INDEX('NPC stats'!$A$2:$Z37,MATCH(A27,'NPC stats'!$A$2:$A37,0),MATCH('NPC stats'!E$2,'NPC stats'!$A$2:K$2,0))</f>
        <v>132</v>
      </c>
      <c r="E27" s="455">
        <f t="shared" si="1"/>
        <v>21.53030303</v>
      </c>
      <c r="F27" s="455">
        <f t="shared" si="2"/>
        <v>0.886783269</v>
      </c>
      <c r="G27" s="455">
        <f t="shared" si="3"/>
        <v>14.58147971</v>
      </c>
      <c r="H27" s="455">
        <f t="shared" si="8"/>
        <v>14.58147971</v>
      </c>
      <c r="I27" s="475">
        <f t="array" ref="I27">F27*E27/B$7*4*3600*(1+INDEX('NPC stats'!$A$2:$Z37,MATCH(A27,'NPC stats'!$A$2:$A37,0),MATCH('NPC stats'!C$2,'NPC stats'!$A$2:K$2,0)))</f>
        <v>114556.275</v>
      </c>
      <c r="J27" s="476">
        <f t="shared" si="9"/>
        <v>19351.60671</v>
      </c>
      <c r="K27" s="463"/>
    </row>
    <row r="28">
      <c r="A28" s="473" t="str">
        <f>'NPC stats'!A402</f>
        <v>Tree spirit (hard)</v>
      </c>
      <c r="B28" s="474" t="s">
        <v>1634</v>
      </c>
      <c r="C28" s="455">
        <f t="array" ref="C28">(9+INDEX('NPC stats'!$A$2:$Z37,MATCH(A28,'NPC stats'!$A$2:$A37,0),MATCH('NPC stats'!$H$2,'NPC stats'!$A$2:K$2,0))) * (64+INDEX('NPC stats'!$A$2:$Z37,MATCH(A28,'NPC stats'!$A$2:$A37,0),MATCH('Sheet 1'!$E$18&amp;" defence",'NPC stats'!$A$2:K$2,0)))</f>
        <v>5696</v>
      </c>
      <c r="D28" s="455">
        <f t="array" ref="D28">INDEX('NPC stats'!$A$2:$Z37,MATCH(A28,'NPC stats'!$A$2:$A37,0),MATCH('NPC stats'!E$2,'NPC stats'!$A$2:K$2,0))</f>
        <v>187</v>
      </c>
      <c r="E28" s="455">
        <f t="shared" si="1"/>
        <v>22.40374332</v>
      </c>
      <c r="F28" s="455">
        <f t="shared" si="2"/>
        <v>0.907551027</v>
      </c>
      <c r="G28" s="455">
        <f t="shared" si="3"/>
        <v>20.18439383</v>
      </c>
      <c r="H28" s="455">
        <f t="shared" si="8"/>
        <v>20.18439383</v>
      </c>
      <c r="I28" s="475">
        <f t="array" ref="I28">F28*E28/B$7*4*3600*(1+INDEX('NPC stats'!$A$2:$Z37,MATCH(A28,'NPC stats'!$A$2:$A37,0),MATCH('NPC stats'!C$2,'NPC stats'!$A$2:K$2,0)))</f>
        <v>121995.2415</v>
      </c>
      <c r="J28" s="476">
        <f t="shared" si="9"/>
        <v>28526.93747</v>
      </c>
      <c r="K28" s="463"/>
    </row>
    <row r="29">
      <c r="A29" s="473" t="str">
        <f>'NPC stats'!A109</f>
        <v>Dad (hard)</v>
      </c>
      <c r="B29" s="474" t="s">
        <v>1635</v>
      </c>
      <c r="C29" s="455">
        <f t="array" ref="C29">(9+INDEX('NPC stats'!$A$2:$Z37,MATCH(A29,'NPC stats'!$A$2:$A37,0),MATCH('NPC stats'!$H$2,'NPC stats'!$A$2:K$2,0))) * (64+INDEX('NPC stats'!$A$2:$Z37,MATCH(A29,'NPC stats'!$A$2:$A37,0),MATCH('Sheet 1'!$E$18&amp;" defence",'NPC stats'!$A$2:K$2,0)))</f>
        <v>15576</v>
      </c>
      <c r="D29" s="455">
        <f t="array" ref="D29">INDEX('NPC stats'!$A$2:$Z37,MATCH(A29,'NPC stats'!$A$2:$A37,0),MATCH('NPC stats'!E$2,'NPC stats'!$A$2:K$2,0))</f>
        <v>240</v>
      </c>
      <c r="E29" s="455">
        <f t="shared" si="1"/>
        <v>22.86666667</v>
      </c>
      <c r="F29" s="455">
        <f t="shared" si="2"/>
        <v>0.7472498945</v>
      </c>
      <c r="G29" s="455">
        <f t="shared" si="3"/>
        <v>31.46230498</v>
      </c>
      <c r="H29" s="455" t="str">
        <f t="shared" si="8"/>
        <v/>
      </c>
      <c r="I29" s="475">
        <f t="array" ref="I29">F29*E29/B$7*4*3600*(1+INDEX('NPC stats'!$A$2:$Z37,MATCH(A29,'NPC stats'!$A$2:$A37,0),MATCH('NPC stats'!C$2,'NPC stats'!$A$2:K$2,0)))</f>
        <v>112774.9541</v>
      </c>
      <c r="J29" s="476">
        <f t="shared" si="9"/>
        <v>0</v>
      </c>
      <c r="K29" s="463"/>
    </row>
    <row r="30">
      <c r="A30" s="473" t="str">
        <f>'NPC stats'!A239</f>
        <v>Khazard warlord (hard)</v>
      </c>
      <c r="B30" s="474" t="s">
        <v>1635</v>
      </c>
      <c r="C30" s="455">
        <f t="array" ref="C30">(9+INDEX('NPC stats'!$A$2:$Z37,MATCH(A30,'NPC stats'!$A$2:$A37,0),MATCH('NPC stats'!$H$2,'NPC stats'!$A$2:K$2,0))) * (64+INDEX('NPC stats'!$A$2:$Z37,MATCH(A30,'NPC stats'!$A$2:$A37,0),MATCH('Sheet 1'!$E$18&amp;" defence",'NPC stats'!$A$2:K$2,0)))</f>
        <v>5696</v>
      </c>
      <c r="D30" s="455">
        <f t="array" ref="D30">INDEX('NPC stats'!$A$2:$Z37,MATCH(A30,'NPC stats'!$A$2:$A37,0),MATCH('NPC stats'!E$2,'NPC stats'!$A$2:K$2,0))</f>
        <v>255</v>
      </c>
      <c r="E30" s="455">
        <f t="shared" si="1"/>
        <v>22.9627451</v>
      </c>
      <c r="F30" s="455">
        <f t="shared" si="2"/>
        <v>0.907551027</v>
      </c>
      <c r="G30" s="455">
        <f t="shared" si="3"/>
        <v>27.5241734</v>
      </c>
      <c r="H30" s="455" t="str">
        <f t="shared" si="8"/>
        <v/>
      </c>
      <c r="I30" s="475">
        <f t="array" ref="I30">F30*E30/B$7*4*3600*(1+INDEX('NPC stats'!$A$2:$Z37,MATCH(A30,'NPC stats'!$A$2:$A37,0),MATCH('NPC stats'!C$2,'NPC stats'!$A$2:K$2,0)))</f>
        <v>125039.1774</v>
      </c>
      <c r="J30" s="476">
        <f t="shared" si="9"/>
        <v>0</v>
      </c>
      <c r="K30" s="463"/>
    </row>
    <row r="31">
      <c r="A31" s="473" t="str">
        <f>'NPC stats'!A25</f>
        <v>Arrg (hard)</v>
      </c>
      <c r="B31" s="474" t="s">
        <v>1635</v>
      </c>
      <c r="C31" s="455">
        <f t="array" ref="C31">(9+INDEX('NPC stats'!$A$2:$Z37,MATCH(A31,'NPC stats'!$A$2:$A37,0),MATCH('NPC stats'!$H$2,'NPC stats'!$A$2:K$2,0))) * (64+INDEX('NPC stats'!$A$2:$Z37,MATCH(A31,'NPC stats'!$A$2:$A37,0),MATCH('Sheet 1'!$E$18&amp;" defence",'NPC stats'!$A$2:K$2,0)))</f>
        <v>12936</v>
      </c>
      <c r="D31" s="455">
        <f t="array" ref="D31">INDEX('NPC stats'!$A$2:$Z37,MATCH(A31,'NPC stats'!$A$2:$A37,0),MATCH('NPC stats'!E$2,'NPC stats'!$A$2:K$2,0))</f>
        <v>255</v>
      </c>
      <c r="E31" s="455">
        <f t="shared" si="1"/>
        <v>22.9627451</v>
      </c>
      <c r="F31" s="455">
        <f t="shared" si="2"/>
        <v>0.7900833955</v>
      </c>
      <c r="G31" s="455">
        <f t="shared" si="3"/>
        <v>31.61639895</v>
      </c>
      <c r="H31" s="455" t="str">
        <f t="shared" si="8"/>
        <v/>
      </c>
      <c r="I31" s="475">
        <f t="array" ref="I31">F31*E31/B$7*4*3600*(1+INDEX('NPC stats'!$A$2:$Z37,MATCH(A31,'NPC stats'!$A$2:$A37,0),MATCH('NPC stats'!C$2,'NPC stats'!$A$2:K$2,0)))</f>
        <v>127904.5095</v>
      </c>
      <c r="J31" s="476">
        <f t="shared" si="9"/>
        <v>0</v>
      </c>
      <c r="K31" s="463"/>
    </row>
    <row r="32">
      <c r="A32" s="473" t="str">
        <f>'NPC stats'!A64</f>
        <v>Black knight titan (hard)</v>
      </c>
      <c r="B32" s="474" t="s">
        <v>1635</v>
      </c>
      <c r="C32" s="455">
        <f t="array" ref="C32">(9+INDEX('NPC stats'!$A$2:$Z37,MATCH(A32,'NPC stats'!$A$2:$A37,0),MATCH('NPC stats'!$H$2,'NPC stats'!$A$2:K$2,0))) * (64+INDEX('NPC stats'!$A$2:$Z37,MATCH(A32,'NPC stats'!$A$2:$A37,0),MATCH('Sheet 1'!$E$18&amp;" defence",'NPC stats'!$A$2:K$2,0)))</f>
        <v>106400</v>
      </c>
      <c r="D32" s="455">
        <f t="array" ref="D32">INDEX('NPC stats'!$A$2:$Z37,MATCH(A32,'NPC stats'!$A$2:$A37,0),MATCH('NPC stats'!E$2,'NPC stats'!$A$2:K$2,0))</f>
        <v>255</v>
      </c>
      <c r="E32" s="455">
        <f t="shared" si="1"/>
        <v>22.9627451</v>
      </c>
      <c r="F32" s="455">
        <f t="shared" si="2"/>
        <v>0.1448106691</v>
      </c>
      <c r="G32" s="455">
        <f t="shared" si="3"/>
        <v>172.4982834</v>
      </c>
      <c r="H32" s="455" t="str">
        <f t="shared" si="8"/>
        <v/>
      </c>
      <c r="I32" s="475">
        <f t="array" ref="I32">F32*E32/B$7*4*3600*(1+INDEX('NPC stats'!$A$2:$Z37,MATCH(A32,'NPC stats'!$A$2:$A37,0),MATCH('NPC stats'!C$2,'NPC stats'!$A$2:K$2,0)))</f>
        <v>20949.07803</v>
      </c>
      <c r="J32" s="476">
        <f t="shared" si="9"/>
        <v>0</v>
      </c>
      <c r="K32" s="463"/>
    </row>
    <row r="33">
      <c r="A33" s="473" t="str">
        <f>'NPC stats'!A204</f>
        <v>Ice Troll King (hard)</v>
      </c>
      <c r="B33" s="474" t="s">
        <v>1635</v>
      </c>
      <c r="C33" s="455">
        <f t="array" ref="C33">(9+INDEX('NPC stats'!$A$2:$Z37,MATCH(A33,'NPC stats'!$A$2:$A37,0),MATCH('NPC stats'!$H$2,'NPC stats'!$A$2:K$2,0))) * (64+INDEX('NPC stats'!$A$2:$Z37,MATCH(A33,'NPC stats'!$A$2:$A37,0),MATCH('Sheet 1'!$E$18&amp;" defence",'NPC stats'!$A$2:K$2,0)))</f>
        <v>183696</v>
      </c>
      <c r="D33" s="455">
        <f t="array" ref="D33">INDEX('NPC stats'!$A$2:$Z37,MATCH(A33,'NPC stats'!$A$2:$A37,0),MATCH('NPC stats'!E$2,'NPC stats'!$A$2:K$2,0))</f>
        <v>255</v>
      </c>
      <c r="E33" s="455">
        <f t="shared" si="1"/>
        <v>22.9627451</v>
      </c>
      <c r="F33" s="455">
        <f t="shared" si="2"/>
        <v>0.08387725439</v>
      </c>
      <c r="G33" s="455">
        <f t="shared" si="3"/>
        <v>297.8112722</v>
      </c>
      <c r="H33" s="455" t="str">
        <f t="shared" si="8"/>
        <v/>
      </c>
      <c r="I33" s="475">
        <f t="array" ref="I33">F33*E33/B$7*4*3600*(1+INDEX('NPC stats'!$A$2:$Z37,MATCH(A33,'NPC stats'!$A$2:$A37,0),MATCH('NPC stats'!C$2,'NPC stats'!$A$2:K$2,0)))</f>
        <v>13000.85108</v>
      </c>
      <c r="J33" s="476">
        <f t="shared" si="9"/>
        <v>0</v>
      </c>
      <c r="K33" s="463"/>
    </row>
    <row r="34">
      <c r="A34" s="473" t="str">
        <f>'NPC stats'!A70</f>
        <v>Bouncer (hard)</v>
      </c>
      <c r="B34" s="474" t="s">
        <v>1635</v>
      </c>
      <c r="C34" s="455">
        <f t="array" ref="C34">(9+INDEX('NPC stats'!$A$2:$Z37,MATCH(A34,'NPC stats'!$A$2:$A37,0),MATCH('NPC stats'!$H$2,'NPC stats'!$A$2:K$2,0))) * (64+INDEX('NPC stats'!$A$2:$Z37,MATCH(A34,'NPC stats'!$A$2:$A37,0),MATCH('Sheet 1'!$E$18&amp;" defence",'NPC stats'!$A$2:K$2,0)))</f>
        <v>8256</v>
      </c>
      <c r="D34" s="455">
        <f t="array" ref="D34">INDEX('NPC stats'!$A$2:$Z37,MATCH(A34,'NPC stats'!$A$2:$A37,0),MATCH('NPC stats'!E$2,'NPC stats'!$A$2:K$2,0))</f>
        <v>232</v>
      </c>
      <c r="E34" s="455">
        <f t="shared" si="1"/>
        <v>22.81034483</v>
      </c>
      <c r="F34" s="455">
        <f t="shared" si="2"/>
        <v>0.8660155109</v>
      </c>
      <c r="G34" s="455">
        <f t="shared" si="3"/>
        <v>26.24263691</v>
      </c>
      <c r="H34" s="455" t="str">
        <f t="shared" si="8"/>
        <v/>
      </c>
      <c r="I34" s="475">
        <f t="array" ref="I34">F34*E34/B$7*4*3600*(1+INDEX('NPC stats'!$A$2:$Z37,MATCH(A34,'NPC stats'!$A$2:$A37,0),MATCH('NPC stats'!C$2,'NPC stats'!$A$2:K$2,0)))</f>
        <v>118524.6746</v>
      </c>
      <c r="J34" s="476">
        <f t="shared" si="9"/>
        <v>0</v>
      </c>
      <c r="K34" s="463"/>
    </row>
    <row r="35">
      <c r="A35" s="473" t="str">
        <f>'NPC stats'!A58</f>
        <v>Black demon (hard)</v>
      </c>
      <c r="B35" s="474" t="s">
        <v>1635</v>
      </c>
      <c r="C35" s="455">
        <f t="array" ref="C35">(9+INDEX('NPC stats'!$A$2:$Z37,MATCH(A35,'NPC stats'!$A$2:$A37,0),MATCH('NPC stats'!$H$2,'NPC stats'!$A$2:K$2,0))) * (64+INDEX('NPC stats'!$A$2:$Z37,MATCH(A35,'NPC stats'!$A$2:$A37,0),MATCH('Sheet 1'!$E$18&amp;" defence",'NPC stats'!$A$2:K$2,0)))</f>
        <v>8694</v>
      </c>
      <c r="D35" s="455">
        <f t="array" ref="D35">INDEX('NPC stats'!$A$2:$Z37,MATCH(A35,'NPC stats'!$A$2:$A37,0),MATCH('NPC stats'!E$2,'NPC stats'!$A$2:K$2,0))</f>
        <v>157</v>
      </c>
      <c r="E35" s="455">
        <f t="shared" si="1"/>
        <v>22.00318471</v>
      </c>
      <c r="F35" s="455">
        <f t="shared" si="2"/>
        <v>0.8589090437</v>
      </c>
      <c r="G35" s="455">
        <f t="shared" si="3"/>
        <v>17.905961</v>
      </c>
      <c r="H35" s="455" t="str">
        <f t="shared" si="8"/>
        <v/>
      </c>
      <c r="I35" s="475">
        <f t="array" ref="I35">F35*E35/B$7*4*3600*(1+INDEX('NPC stats'!$A$2:$Z37,MATCH(A35,'NPC stats'!$A$2:$A37,0),MATCH('NPC stats'!C$2,'NPC stats'!$A$2:K$2,0)))</f>
        <v>113392.406</v>
      </c>
      <c r="J35" s="476">
        <f t="shared" si="9"/>
        <v>0</v>
      </c>
      <c r="K35" s="463"/>
    </row>
    <row r="36">
      <c r="A36" s="473" t="str">
        <f>'NPC stats'!A95</f>
        <v>Corsair Traitor (hard)</v>
      </c>
      <c r="B36" s="474" t="s">
        <v>1635</v>
      </c>
      <c r="C36" s="455">
        <f t="array" ref="C36">(9+INDEX('NPC stats'!$A$2:$Z37,MATCH(A36,'NPC stats'!$A$2:$A37,0),MATCH('NPC stats'!$H$2,'NPC stats'!$A$2:K$2,0))) * (64+INDEX('NPC stats'!$A$2:$Z37,MATCH(A36,'NPC stats'!$A$2:$A37,0),MATCH('Sheet 1'!$E$18&amp;" defence",'NPC stats'!$A$2:K$2,0)))</f>
        <v>5696</v>
      </c>
      <c r="D36" s="455">
        <f t="array" ref="D36">INDEX('NPC stats'!$A$2:$Z37,MATCH(A36,'NPC stats'!$A$2:$A37,0),MATCH('NPC stats'!E$2,'NPC stats'!$A$2:K$2,0))</f>
        <v>160</v>
      </c>
      <c r="E36" s="455">
        <f t="shared" si="1"/>
        <v>22.05</v>
      </c>
      <c r="F36" s="455">
        <f t="shared" si="2"/>
        <v>0.907551027</v>
      </c>
      <c r="G36" s="455">
        <f t="shared" si="3"/>
        <v>17.27006958</v>
      </c>
      <c r="H36" s="455" t="str">
        <f t="shared" si="8"/>
        <v/>
      </c>
      <c r="I36" s="475">
        <f t="array" ref="I36">F36*E36/B$7*4*3600*(1+INDEX('NPC stats'!$A$2:$Z37,MATCH(A36,'NPC stats'!$A$2:$A37,0),MATCH('NPC stats'!C$2,'NPC stats'!$A$2:K$2,0)))</f>
        <v>120069.0009</v>
      </c>
      <c r="J36" s="476">
        <f t="shared" si="9"/>
        <v>0</v>
      </c>
      <c r="K36" s="463"/>
    </row>
    <row r="37">
      <c r="A37" s="477" t="str">
        <f>'NPC stats'!A230</f>
        <v>Jungle demon (hard)</v>
      </c>
      <c r="B37" s="478" t="s">
        <v>1635</v>
      </c>
      <c r="C37" s="479">
        <f t="array" ref="C37">(9+INDEX('NPC stats'!$A$2:$Z37,MATCH(A37,'NPC stats'!$A$2:$A37,0),MATCH('NPC stats'!$H$2,'NPC stats'!$A$2:K$2,0))) * (64+INDEX('NPC stats'!$A$2:$Z37,MATCH(A37,'NPC stats'!$A$2:$A37,0),MATCH('Sheet 1'!$E$18&amp;" defence",'NPC stats'!$A$2:K$2,0)))</f>
        <v>20406</v>
      </c>
      <c r="D37" s="479">
        <f t="array" ref="D37">INDEX('NPC stats'!$A$2:$Z37,MATCH(A37,'NPC stats'!$A$2:$A37,0),MATCH('NPC stats'!E$2,'NPC stats'!$A$2:K$2,0))</f>
        <v>255</v>
      </c>
      <c r="E37" s="479">
        <f t="shared" si="1"/>
        <v>22.9627451</v>
      </c>
      <c r="F37" s="479">
        <f t="shared" si="2"/>
        <v>0.6688840575</v>
      </c>
      <c r="G37" s="479">
        <f t="shared" si="3"/>
        <v>37.34517448</v>
      </c>
      <c r="H37" s="479" t="str">
        <f t="shared" si="8"/>
        <v/>
      </c>
      <c r="I37" s="480">
        <f t="array" ref="I37">F37*E37/B$7*4*3600*(1+INDEX('NPC stats'!$A$2:$Z37,MATCH(A37,'NPC stats'!$A$2:$A37,0),MATCH('NPC stats'!C$2,'NPC stats'!$A$2:K$2,0)))</f>
        <v>105979.9574</v>
      </c>
      <c r="J37" s="481">
        <f t="shared" si="9"/>
        <v>0</v>
      </c>
      <c r="K37" s="463"/>
    </row>
  </sheetData>
  <mergeCells count="1">
    <mergeCell ref="A1:J1"/>
  </mergeCells>
  <conditionalFormatting sqref="B10:B37">
    <cfRule type="expression" dxfId="5" priority="1">
      <formula>$K$1=true</formula>
    </cfRule>
  </conditionalFormatting>
  <conditionalFormatting sqref="I10:I37">
    <cfRule type="expression" dxfId="8" priority="2">
      <formula>or(Rank($I10,$I:$I)=1,Rank($I10,$I:$I)=2,Rank($I10,$I:$I)=3,Rank($I10,$I:$I)=4,Rank($I10,$I:$I)=5)</formula>
    </cfRule>
  </conditionalFormatting>
  <conditionalFormatting sqref="A1:J37">
    <cfRule type="expression" dxfId="7" priority="3">
      <formula>$K$1=true</formula>
    </cfRule>
  </conditionalFormatting>
  <dataValidations>
    <dataValidation type="list" allowBlank="1" showErrorMessage="1" sqref="B10:B13 B18:B22 B26:B37">
      <formula1>"In,Out"</formula1>
    </dataValidation>
  </dataValidation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0"/>
    <col customWidth="1" min="2" max="2" width="17.0"/>
    <col customWidth="1" min="5" max="5" width="5.43"/>
    <col customWidth="1" min="6" max="6" width="4.86"/>
    <col customWidth="1" min="7" max="7" width="9.29"/>
  </cols>
  <sheetData>
    <row r="1" ht="7.5" customHeight="1">
      <c r="A1" s="482"/>
      <c r="B1" s="482"/>
      <c r="C1" s="483"/>
      <c r="D1" s="483"/>
      <c r="E1" s="484"/>
      <c r="F1" s="485"/>
      <c r="G1" s="485"/>
      <c r="H1" s="485"/>
      <c r="I1" s="485"/>
      <c r="J1" s="485"/>
      <c r="K1" s="485"/>
      <c r="L1" s="485"/>
      <c r="M1" s="485"/>
      <c r="N1" s="485"/>
      <c r="O1" s="485"/>
      <c r="P1" s="485"/>
      <c r="Q1" s="485"/>
      <c r="R1" s="485"/>
      <c r="S1" s="485"/>
      <c r="T1" s="485"/>
    </row>
    <row r="2">
      <c r="A2" s="482"/>
      <c r="B2" s="482"/>
      <c r="C2" s="485"/>
      <c r="D2" s="485"/>
      <c r="E2" s="484"/>
      <c r="F2" s="485"/>
      <c r="G2" s="485"/>
      <c r="H2" s="485"/>
      <c r="I2" s="485"/>
      <c r="J2" s="485"/>
      <c r="K2" s="485"/>
      <c r="L2" s="485"/>
      <c r="M2" s="485"/>
      <c r="N2" s="485"/>
      <c r="O2" s="485"/>
      <c r="P2" s="485"/>
      <c r="Q2" s="486" t="s">
        <v>66</v>
      </c>
      <c r="R2" s="486" t="s">
        <v>61</v>
      </c>
      <c r="S2" s="483"/>
      <c r="T2" s="483"/>
    </row>
    <row r="3">
      <c r="A3" s="482"/>
      <c r="B3" s="487" t="s">
        <v>1638</v>
      </c>
      <c r="C3" s="485"/>
      <c r="D3" s="485"/>
      <c r="E3" s="484"/>
      <c r="F3" s="485"/>
      <c r="G3" s="485"/>
      <c r="H3" s="485"/>
      <c r="I3" s="485"/>
      <c r="J3" s="485"/>
      <c r="K3" s="485"/>
      <c r="L3" s="485"/>
      <c r="M3" s="485"/>
      <c r="N3" s="485"/>
      <c r="O3" s="485"/>
      <c r="P3" s="485"/>
      <c r="Q3" s="486" t="str">
        <f>Input!AN7</f>
        <v>Melee</v>
      </c>
      <c r="R3" s="486" t="str">
        <f>Input!AQ7</f>
        <v>Melee</v>
      </c>
      <c r="S3" s="483"/>
      <c r="T3" s="483"/>
    </row>
    <row r="4">
      <c r="A4" s="482"/>
      <c r="B4" s="488" t="s">
        <v>1639</v>
      </c>
      <c r="C4" s="485"/>
      <c r="D4" s="485"/>
      <c r="E4" s="484"/>
      <c r="F4" s="485"/>
      <c r="G4" s="485"/>
      <c r="H4" s="485"/>
      <c r="I4" s="485"/>
      <c r="J4" s="485"/>
      <c r="K4" s="485"/>
      <c r="L4" s="485"/>
      <c r="M4" s="485"/>
      <c r="N4" s="485"/>
      <c r="O4" s="485"/>
      <c r="P4" s="485"/>
      <c r="Q4" s="489" t="b">
        <f>OR('Sheet 1'!B38=Items!A96,'Sheet 1'!B38=Items!A174)  </f>
        <v>0</v>
      </c>
      <c r="R4" s="489" t="b">
        <f>OR('Sheet 1'!B58=Items!A96,'Sheet 1'!B58=Items!A174)  </f>
        <v>0</v>
      </c>
      <c r="S4" s="485"/>
      <c r="T4" s="485"/>
    </row>
    <row r="5">
      <c r="A5" s="482"/>
      <c r="B5" s="488" t="str">
        <f>Items!A389</f>
        <v>Elysian spirit shield</v>
      </c>
      <c r="C5" s="485"/>
      <c r="D5" s="485"/>
      <c r="E5" s="484"/>
      <c r="F5" s="485"/>
      <c r="G5" s="485"/>
      <c r="H5" s="485"/>
      <c r="I5" s="485"/>
      <c r="J5" s="485"/>
      <c r="K5" s="485"/>
      <c r="L5" s="485"/>
      <c r="M5" s="485"/>
      <c r="N5" s="485"/>
      <c r="O5" s="485"/>
      <c r="P5" s="485"/>
      <c r="Q5" s="489" t="b">
        <f>'Sheet 1'!B46=$B5</f>
        <v>0</v>
      </c>
      <c r="R5" s="489" t="b">
        <f>'Sheet 1'!B66=$B5</f>
        <v>0</v>
      </c>
      <c r="S5" s="485"/>
      <c r="T5" s="485"/>
    </row>
    <row r="6">
      <c r="A6" s="482"/>
      <c r="B6" s="488" t="s">
        <v>1640</v>
      </c>
      <c r="C6" s="485"/>
      <c r="D6" s="485"/>
      <c r="E6" s="484"/>
      <c r="F6" s="485"/>
      <c r="G6" s="485"/>
      <c r="H6" s="485"/>
      <c r="I6" s="485"/>
      <c r="J6" s="485"/>
      <c r="K6" s="485"/>
      <c r="L6" s="485"/>
      <c r="M6" s="485"/>
      <c r="N6" s="485"/>
      <c r="O6" s="485"/>
      <c r="P6" s="485"/>
      <c r="Q6" s="489" t="b">
        <f>and('Sheet 1'!B41=Items!A199,'Sheet 1'!B44=Items!A297,'Sheet 1'!B45=Items!A341)</f>
        <v>0</v>
      </c>
      <c r="R6" s="489" t="b">
        <f>and('Sheet 1'!B61=Items!A199,'Sheet 1'!B64=Items!A297,'Sheet 1'!B65=Items!A341)</f>
        <v>0</v>
      </c>
      <c r="S6" s="485"/>
      <c r="T6" s="485"/>
    </row>
    <row r="7">
      <c r="A7" s="482"/>
      <c r="B7" s="490" t="str">
        <f>Items!A26</f>
        <v>Dinh's Bulwark</v>
      </c>
      <c r="C7" s="485"/>
      <c r="D7" s="485"/>
      <c r="E7" s="484"/>
      <c r="F7" s="485"/>
      <c r="G7" s="485"/>
      <c r="H7" s="485"/>
      <c r="I7" s="485"/>
      <c r="J7" s="485"/>
      <c r="K7" s="485"/>
      <c r="L7" s="485"/>
      <c r="M7" s="485"/>
      <c r="N7" s="485"/>
      <c r="O7" s="485"/>
      <c r="P7" s="485"/>
      <c r="Q7" s="491" t="b">
        <f>'Sheet 1'!B38=$B7</f>
        <v>0</v>
      </c>
      <c r="R7" s="491" t="b">
        <f>'Sheet 1'!B58=$B7</f>
        <v>0</v>
      </c>
      <c r="S7" s="485"/>
      <c r="T7" s="485"/>
    </row>
    <row r="8">
      <c r="A8" s="482"/>
      <c r="B8" s="482"/>
      <c r="C8" s="485"/>
      <c r="D8" s="485"/>
      <c r="E8" s="484"/>
      <c r="F8" s="485"/>
      <c r="G8" s="485"/>
      <c r="H8" s="485"/>
      <c r="I8" s="485"/>
      <c r="J8" s="485"/>
      <c r="K8" s="485"/>
      <c r="L8" s="485"/>
      <c r="M8" s="485"/>
      <c r="N8" s="485"/>
      <c r="O8" s="485"/>
      <c r="P8" s="485"/>
      <c r="Q8" s="485"/>
      <c r="R8" s="485"/>
      <c r="S8" s="485"/>
      <c r="T8" s="485"/>
    </row>
    <row r="9">
      <c r="A9" s="485"/>
      <c r="B9" s="492" t="str">
        <f t="array" ref="B9:M16">IF('Sheet 1'!B75=B24,B22:M32,IF('Sheet 1'!B75=B35,B33:M43,IF('Sheet 1'!B75=B46,B44:M53,IF('Sheet 1'!B75=B56,B54:M63,B66:M73))))</f>
        <v>NORMAL NPC YES :)</v>
      </c>
      <c r="C9" s="485"/>
      <c r="D9" s="485"/>
      <c r="E9" s="484"/>
      <c r="F9" s="485"/>
      <c r="G9" s="485"/>
      <c r="H9" s="485"/>
      <c r="I9" s="485"/>
      <c r="J9" s="485"/>
      <c r="K9" s="485"/>
      <c r="L9" s="485"/>
      <c r="M9" s="485"/>
      <c r="N9" s="485" t="str">
        <f t="array" ref="N9:R16">IF('Sheet 1'!B75=B24,N22:R32,IF('Sheet 1'!B75=B35,N33:R43,IF('Sheet 1'!B75=B46,N44:R53,IF('Sheet 1'!B75=B56,N54:R63,N66:R73))))</f>
        <v/>
      </c>
      <c r="O9" s="485"/>
      <c r="P9" s="485"/>
      <c r="Q9" s="485"/>
      <c r="R9" s="485"/>
      <c r="S9" s="485"/>
      <c r="T9" s="485"/>
    </row>
    <row r="10">
      <c r="A10" s="485"/>
      <c r="B10" s="493" t="s">
        <v>15</v>
      </c>
      <c r="C10" s="493" t="s">
        <v>1641</v>
      </c>
      <c r="D10" s="494"/>
      <c r="E10" s="495"/>
      <c r="F10" s="496"/>
      <c r="G10" s="496" t="s">
        <v>139</v>
      </c>
      <c r="H10" s="496" t="s">
        <v>1642</v>
      </c>
      <c r="I10" s="496" t="s">
        <v>1643</v>
      </c>
      <c r="J10" s="496" t="s">
        <v>1644</v>
      </c>
      <c r="K10" s="496" t="s">
        <v>1645</v>
      </c>
      <c r="L10" s="496" t="s">
        <v>1646</v>
      </c>
      <c r="M10" s="496" t="s">
        <v>5</v>
      </c>
      <c r="N10" s="496" t="s">
        <v>1647</v>
      </c>
      <c r="O10" s="496" t="s">
        <v>1648</v>
      </c>
      <c r="P10" s="496" t="s">
        <v>1649</v>
      </c>
      <c r="Q10" s="492" t="s">
        <v>1650</v>
      </c>
      <c r="R10" s="492" t="s">
        <v>1651</v>
      </c>
      <c r="S10" s="485"/>
      <c r="T10" s="485"/>
    </row>
    <row r="11">
      <c r="A11" s="485"/>
      <c r="B11" s="497" t="s">
        <v>63</v>
      </c>
      <c r="C11" s="497" t="s">
        <v>20</v>
      </c>
      <c r="D11" s="498" t="s">
        <v>142</v>
      </c>
      <c r="E11" s="484"/>
      <c r="F11" s="485"/>
      <c r="G11" s="485">
        <v>37506.0</v>
      </c>
      <c r="H11" s="485">
        <v>23715.0</v>
      </c>
      <c r="I11" s="485">
        <v>9920.0</v>
      </c>
      <c r="J11" s="485">
        <v>0.6838323512944251</v>
      </c>
      <c r="K11" s="485">
        <v>0.8677313568133949</v>
      </c>
      <c r="L11" s="485">
        <v>0.0</v>
      </c>
      <c r="M11" s="485">
        <v>33.0</v>
      </c>
      <c r="N11" s="485">
        <v>16.5</v>
      </c>
      <c r="O11" s="485">
        <v>16.5</v>
      </c>
      <c r="P11" s="485">
        <v>0.0</v>
      </c>
      <c r="Q11" s="489">
        <v>0.0</v>
      </c>
      <c r="R11" s="489">
        <v>0.0</v>
      </c>
      <c r="S11" s="485"/>
      <c r="T11" s="485"/>
    </row>
    <row r="12">
      <c r="A12" s="485"/>
      <c r="B12" s="497" t="s">
        <v>67</v>
      </c>
      <c r="C12" s="497" t="s">
        <v>20</v>
      </c>
      <c r="D12" s="498" t="s">
        <v>143</v>
      </c>
      <c r="E12" s="484"/>
      <c r="F12" s="485"/>
      <c r="G12" s="485">
        <v>37506.0</v>
      </c>
      <c r="H12" s="485">
        <v>21390.0</v>
      </c>
      <c r="I12" s="485">
        <v>9920.0</v>
      </c>
      <c r="J12" s="485">
        <v>0.7148265657077346</v>
      </c>
      <c r="K12" s="485">
        <v>0.8677313568133949</v>
      </c>
      <c r="L12" s="485">
        <v>0.0</v>
      </c>
      <c r="M12" s="485">
        <v>33.0</v>
      </c>
      <c r="N12" s="485">
        <v>16.5</v>
      </c>
      <c r="O12" s="485">
        <v>16.5</v>
      </c>
      <c r="P12" s="485">
        <v>0.0</v>
      </c>
      <c r="Q12" s="489">
        <v>0.0</v>
      </c>
      <c r="R12" s="489">
        <v>0.0</v>
      </c>
      <c r="S12" s="485"/>
      <c r="T12" s="485"/>
    </row>
    <row r="13">
      <c r="A13" s="485"/>
      <c r="B13" s="497" t="s">
        <v>70</v>
      </c>
      <c r="C13" s="497" t="s">
        <v>20</v>
      </c>
      <c r="D13" s="498" t="s">
        <v>144</v>
      </c>
      <c r="E13" s="484"/>
      <c r="F13" s="485"/>
      <c r="G13" s="485">
        <v>37506.0</v>
      </c>
      <c r="H13" s="485">
        <v>25730.0</v>
      </c>
      <c r="I13" s="485">
        <v>9920.0</v>
      </c>
      <c r="J13" s="485">
        <v>0.65697069880289</v>
      </c>
      <c r="K13" s="485">
        <v>0.8677313568133949</v>
      </c>
      <c r="L13" s="485">
        <v>0.0</v>
      </c>
      <c r="M13" s="485">
        <v>33.0</v>
      </c>
      <c r="N13" s="485">
        <v>16.5</v>
      </c>
      <c r="O13" s="485">
        <v>16.5</v>
      </c>
      <c r="P13" s="485">
        <v>0.0</v>
      </c>
      <c r="Q13" s="489">
        <v>0.0</v>
      </c>
      <c r="R13" s="489">
        <v>0.0</v>
      </c>
      <c r="S13" s="485"/>
      <c r="T13" s="485"/>
    </row>
    <row r="14">
      <c r="A14" s="485"/>
      <c r="B14" s="497"/>
      <c r="C14" s="497"/>
      <c r="D14" s="498"/>
      <c r="E14" s="484"/>
      <c r="F14" s="485"/>
      <c r="G14" s="485"/>
      <c r="H14" s="485"/>
      <c r="I14" s="485"/>
      <c r="J14" s="485"/>
      <c r="K14" s="485"/>
      <c r="L14" s="485"/>
      <c r="M14" s="485"/>
      <c r="N14" s="485"/>
      <c r="O14" s="485"/>
      <c r="P14" s="485"/>
      <c r="Q14" s="489"/>
      <c r="R14" s="489"/>
      <c r="S14" s="485"/>
      <c r="T14" s="485"/>
    </row>
    <row r="15">
      <c r="A15" s="485"/>
      <c r="B15" s="497" t="s">
        <v>35</v>
      </c>
      <c r="C15" s="497" t="s">
        <v>35</v>
      </c>
      <c r="D15" s="498" t="s">
        <v>35</v>
      </c>
      <c r="E15" s="484"/>
      <c r="F15" s="485"/>
      <c r="G15" s="485">
        <v>22976.0</v>
      </c>
      <c r="H15" s="485">
        <v>25662.0</v>
      </c>
      <c r="I15" s="485">
        <v>9024.0</v>
      </c>
      <c r="J15" s="485">
        <v>0.4476483653508943</v>
      </c>
      <c r="K15" s="485">
        <v>0.8035861948905427</v>
      </c>
      <c r="L15" s="485">
        <v>0.0</v>
      </c>
      <c r="M15" s="485">
        <v>36.0</v>
      </c>
      <c r="N15" s="485">
        <v>18.0</v>
      </c>
      <c r="O15" s="485">
        <v>18.0</v>
      </c>
      <c r="P15" s="485">
        <v>0.0</v>
      </c>
      <c r="Q15" s="489">
        <v>0.0</v>
      </c>
      <c r="R15" s="489">
        <v>0.0</v>
      </c>
      <c r="S15" s="485"/>
      <c r="T15" s="485"/>
    </row>
    <row r="16">
      <c r="A16" s="485"/>
      <c r="B16" s="497" t="s">
        <v>39</v>
      </c>
      <c r="C16" s="497" t="s">
        <v>39</v>
      </c>
      <c r="D16" s="498" t="s">
        <v>39</v>
      </c>
      <c r="E16" s="484"/>
      <c r="F16" s="485"/>
      <c r="G16" s="485">
        <v>10176.0</v>
      </c>
      <c r="H16" s="485">
        <v>10695.0</v>
      </c>
      <c r="I16" s="485">
        <v>9920.0</v>
      </c>
      <c r="J16" s="485">
        <v>0.47569184741959614</v>
      </c>
      <c r="K16" s="485">
        <v>0.5125282499754348</v>
      </c>
      <c r="L16" s="485">
        <v>0.0</v>
      </c>
      <c r="M16" s="485">
        <v>16.0</v>
      </c>
      <c r="N16" s="485">
        <v>8.0</v>
      </c>
      <c r="O16" s="485">
        <v>8.0</v>
      </c>
      <c r="P16" s="485">
        <v>0.0</v>
      </c>
      <c r="Q16" s="489">
        <v>0.0</v>
      </c>
      <c r="R16" s="489">
        <v>0.0</v>
      </c>
      <c r="S16" s="485"/>
      <c r="T16" s="485"/>
    </row>
    <row r="17">
      <c r="A17" s="485"/>
      <c r="B17" s="497"/>
      <c r="C17" s="499"/>
      <c r="D17" s="500"/>
      <c r="E17" s="484"/>
      <c r="F17" s="485"/>
      <c r="G17" s="485"/>
      <c r="H17" s="485"/>
      <c r="I17" s="485"/>
      <c r="J17" s="485"/>
      <c r="K17" s="485"/>
      <c r="L17" s="485"/>
      <c r="M17" s="485"/>
      <c r="N17" s="485"/>
      <c r="O17" s="485"/>
      <c r="P17" s="485"/>
      <c r="Q17" s="489"/>
      <c r="R17" s="489"/>
      <c r="S17" s="485"/>
      <c r="T17" s="485"/>
    </row>
    <row r="18">
      <c r="A18" s="501"/>
      <c r="B18" s="502"/>
      <c r="C18" s="502"/>
      <c r="D18" s="503"/>
      <c r="E18" s="504"/>
      <c r="F18" s="505"/>
      <c r="G18" s="505"/>
      <c r="H18" s="505"/>
      <c r="I18" s="505"/>
      <c r="J18" s="505"/>
      <c r="K18" s="505"/>
      <c r="L18" s="505"/>
      <c r="M18" s="505"/>
      <c r="N18" s="505"/>
      <c r="O18" s="505"/>
      <c r="P18" s="505"/>
      <c r="Q18" s="506"/>
      <c r="R18" s="506"/>
      <c r="S18" s="501"/>
      <c r="T18" s="501"/>
    </row>
    <row r="19">
      <c r="A19" s="485"/>
      <c r="B19" s="485"/>
      <c r="C19" s="485"/>
      <c r="D19" s="485"/>
      <c r="E19" s="484"/>
      <c r="F19" s="485"/>
      <c r="G19" s="485"/>
      <c r="H19" s="485"/>
      <c r="I19" s="485"/>
      <c r="J19" s="485"/>
      <c r="K19" s="485"/>
      <c r="L19" s="485"/>
      <c r="M19" s="485"/>
      <c r="N19" s="485"/>
      <c r="O19" s="485"/>
      <c r="P19" s="485"/>
      <c r="Q19" s="485"/>
      <c r="R19" s="485"/>
      <c r="S19" s="485"/>
      <c r="T19" s="485"/>
    </row>
    <row r="20">
      <c r="A20" s="485"/>
      <c r="B20" s="485"/>
      <c r="C20" s="485"/>
      <c r="D20" s="485"/>
      <c r="E20" s="484"/>
      <c r="F20" s="485"/>
      <c r="G20" s="485"/>
      <c r="H20" s="485"/>
      <c r="I20" s="485"/>
      <c r="J20" s="485"/>
      <c r="K20" s="485"/>
      <c r="L20" s="485"/>
      <c r="M20" s="485"/>
      <c r="N20" s="485"/>
      <c r="O20" s="485"/>
      <c r="P20" s="485"/>
      <c r="Q20" s="485"/>
      <c r="R20" s="485"/>
      <c r="S20" s="485"/>
      <c r="T20" s="485"/>
    </row>
    <row r="21">
      <c r="A21" s="485"/>
      <c r="B21" s="485"/>
      <c r="C21" s="485"/>
      <c r="D21" s="485"/>
      <c r="E21" s="484"/>
      <c r="F21" s="485"/>
      <c r="G21" s="485"/>
      <c r="H21" s="485"/>
      <c r="I21" s="485"/>
      <c r="J21" s="485"/>
      <c r="K21" s="485"/>
      <c r="L21" s="485"/>
      <c r="M21" s="485"/>
      <c r="N21" s="485"/>
      <c r="O21" s="485"/>
      <c r="P21" s="485"/>
      <c r="Q21" s="485"/>
      <c r="R21" s="485"/>
      <c r="S21" s="485"/>
      <c r="T21" s="485"/>
    </row>
    <row r="22">
      <c r="A22" s="482"/>
      <c r="B22" s="482" t="s">
        <v>1652</v>
      </c>
      <c r="C22" s="485"/>
      <c r="D22" s="485"/>
      <c r="E22" s="484"/>
      <c r="F22" s="485"/>
      <c r="G22" s="485"/>
      <c r="H22" s="485"/>
      <c r="I22" s="485"/>
      <c r="J22" s="485"/>
      <c r="K22" s="485"/>
      <c r="L22" s="485"/>
      <c r="M22" s="485"/>
      <c r="N22" s="485"/>
      <c r="O22" s="485"/>
      <c r="P22" s="485"/>
      <c r="Q22" s="485"/>
      <c r="R22" s="485"/>
      <c r="S22" s="485"/>
      <c r="T22" s="485"/>
    </row>
    <row r="23">
      <c r="A23" s="482"/>
      <c r="B23" s="482" t="s">
        <v>133</v>
      </c>
      <c r="C23" s="482" t="s">
        <v>1641</v>
      </c>
      <c r="D23" s="485"/>
      <c r="E23" s="507" t="s">
        <v>1653</v>
      </c>
      <c r="F23" s="482" t="s">
        <v>1654</v>
      </c>
      <c r="G23" s="482" t="s">
        <v>139</v>
      </c>
      <c r="H23" s="482" t="s">
        <v>1642</v>
      </c>
      <c r="I23" s="482" t="s">
        <v>1643</v>
      </c>
      <c r="J23" s="482" t="s">
        <v>1644</v>
      </c>
      <c r="K23" s="482" t="s">
        <v>1645</v>
      </c>
      <c r="L23" s="482" t="s">
        <v>1646</v>
      </c>
      <c r="M23" s="482" t="s">
        <v>5</v>
      </c>
      <c r="N23" s="482" t="s">
        <v>1647</v>
      </c>
      <c r="O23" s="482" t="s">
        <v>1648</v>
      </c>
      <c r="P23" s="482" t="s">
        <v>1649</v>
      </c>
      <c r="Q23" s="482" t="s">
        <v>1650</v>
      </c>
      <c r="R23" s="482" t="s">
        <v>1651</v>
      </c>
      <c r="S23" s="482"/>
      <c r="T23" s="482"/>
    </row>
    <row r="24">
      <c r="A24" s="482"/>
      <c r="B24" s="482" t="str">
        <f>'NPC stats'!A154</f>
        <v>General Graardor</v>
      </c>
      <c r="C24" s="482" t="s">
        <v>20</v>
      </c>
      <c r="D24" s="482" t="s">
        <v>144</v>
      </c>
      <c r="E24" s="484">
        <f>2/3</f>
        <v>0.6666666667</v>
      </c>
      <c r="F24" s="485">
        <f>match(B24,'NPC stats'!$A$1:$A84,0)</f>
        <v>154</v>
      </c>
      <c r="G24" s="485">
        <f>(9+'NPC stats'!F154)*(64+'NPC stats'!P154)</f>
        <v>53176</v>
      </c>
      <c r="H24" s="485">
        <f>'Dps p1'!$D$186</f>
        <v>25730</v>
      </c>
      <c r="I24" s="485">
        <f>'Dps p2'!$D$186</f>
        <v>9920</v>
      </c>
      <c r="J24" s="485">
        <f t="shared" ref="J24:K24" si="1">IF($G24&gt;H24,1-(H24+2)/(2*($G24+1)),$G24/(2*(H24+1)))</f>
        <v>0.7580532937</v>
      </c>
      <c r="K24" s="485">
        <f t="shared" si="1"/>
        <v>0.9067077872</v>
      </c>
      <c r="L24" s="482">
        <v>0.0</v>
      </c>
      <c r="M24" s="482">
        <v>60.0</v>
      </c>
      <c r="N24" s="482">
        <f>'Avg dmg taken table 1'!$E$24</f>
        <v>16.5</v>
      </c>
      <c r="O24" s="482">
        <f>'Avg dmg taken table 2'!$E$24</f>
        <v>16.5</v>
      </c>
      <c r="P24" s="482">
        <v>3.6</v>
      </c>
      <c r="Q24" s="485">
        <f t="shared" ref="Q24:Q25" si="3"> $E24 * J24 * ($N24*IF(Q$3=$C24,0,IF(AND(Q$4,$C24="MELEE"),0.5,IF(Q$5,1,IF(Q$7,1,1))))) / $P24</f>
        <v>0</v>
      </c>
      <c r="R24" s="485">
        <f t="shared" ref="R24:R25" si="4"> $E24 * K24 * ($O24*IF(R$3=$C24,0,IF(AND(R$4,$C24="MELEE"),0.5,IF(R$5,1,IF(R$7,1,1))))) / $P24</f>
        <v>0</v>
      </c>
      <c r="S24" s="485"/>
      <c r="T24" s="485"/>
    </row>
    <row r="25">
      <c r="A25" s="485"/>
      <c r="B25" s="485"/>
      <c r="C25" s="482" t="s">
        <v>39</v>
      </c>
      <c r="D25" s="482" t="s">
        <v>39</v>
      </c>
      <c r="E25" s="484">
        <f>1/3</f>
        <v>0.3333333333</v>
      </c>
      <c r="F25" s="485"/>
      <c r="G25" s="485">
        <f>(9+'NPC stats'!J154)*(64+'NPC stats'!T154)</f>
        <v>58876</v>
      </c>
      <c r="H25" s="485">
        <f>'Dps p1'!$D$187</f>
        <v>10695</v>
      </c>
      <c r="I25" s="485">
        <f>'Dps p2'!$D$187</f>
        <v>9920</v>
      </c>
      <c r="J25" s="485">
        <f t="shared" ref="J25:K25" si="2">IF($G25&gt;H25,1-(H25+2)/(2*($G25+1)),$G25/(2*(H25+1)))</f>
        <v>0.9091580753</v>
      </c>
      <c r="K25" s="485">
        <f t="shared" si="2"/>
        <v>0.9157395927</v>
      </c>
      <c r="L25" s="482">
        <v>15.0</v>
      </c>
      <c r="M25" s="482">
        <v>35.0</v>
      </c>
      <c r="N25" s="482">
        <f>'Avg dmg taken table 1'!$E$25</f>
        <v>16.5</v>
      </c>
      <c r="O25" s="482">
        <f>'Avg dmg taken table 2'!$E$25</f>
        <v>16.5</v>
      </c>
      <c r="P25" s="482">
        <v>3.6</v>
      </c>
      <c r="Q25" s="485">
        <f t="shared" si="3"/>
        <v>1.388991504</v>
      </c>
      <c r="R25" s="485">
        <f t="shared" si="4"/>
        <v>1.3990466</v>
      </c>
      <c r="S25" s="485"/>
      <c r="T25" s="485"/>
    </row>
    <row r="26">
      <c r="A26" s="485"/>
      <c r="B26" s="482" t="s">
        <v>1655</v>
      </c>
      <c r="C26" s="482"/>
      <c r="D26" s="485"/>
      <c r="E26" s="484"/>
      <c r="F26" s="485"/>
      <c r="G26" s="485"/>
      <c r="H26" s="485"/>
      <c r="I26" s="485"/>
      <c r="J26" s="485"/>
      <c r="K26" s="485"/>
      <c r="L26" s="482"/>
      <c r="M26" s="482"/>
      <c r="N26" s="482"/>
      <c r="O26" s="485"/>
      <c r="P26" s="485"/>
      <c r="Q26" s="485">
        <f t="shared" ref="Q26:R26" si="5">Q24+Q25</f>
        <v>1.388991504</v>
      </c>
      <c r="R26" s="485">
        <f t="shared" si="5"/>
        <v>1.3990466</v>
      </c>
      <c r="S26" s="485"/>
      <c r="T26" s="485"/>
    </row>
    <row r="27">
      <c r="A27" s="485"/>
      <c r="B27" s="485"/>
      <c r="C27" s="482"/>
      <c r="D27" s="482"/>
      <c r="E27" s="484"/>
      <c r="F27" s="485"/>
      <c r="G27" s="485"/>
      <c r="H27" s="485"/>
      <c r="I27" s="485"/>
      <c r="J27" s="485"/>
      <c r="K27" s="485"/>
      <c r="L27" s="482"/>
      <c r="M27" s="482"/>
      <c r="N27" s="482"/>
      <c r="O27" s="485"/>
      <c r="P27" s="485"/>
      <c r="Q27" s="485"/>
      <c r="R27" s="485"/>
      <c r="S27" s="485"/>
      <c r="T27" s="485"/>
    </row>
    <row r="28">
      <c r="A28" s="482"/>
      <c r="B28" s="482" t="str">
        <f>'NPC stats'!A341</f>
        <v>Sergeant Strongstack</v>
      </c>
      <c r="C28" s="482" t="s">
        <v>20</v>
      </c>
      <c r="D28" s="482" t="s">
        <v>144</v>
      </c>
      <c r="E28" s="507">
        <v>1.0</v>
      </c>
      <c r="F28" s="485">
        <f>match(B28,'NPC stats'!$A$1:$A84,0)</f>
        <v>341</v>
      </c>
      <c r="G28" s="485">
        <f>(9+'NPC stats'!F341)*(64+'NPC stats'!P341)</f>
        <v>8512</v>
      </c>
      <c r="H28" s="485">
        <f>'Dps p1'!$D$186</f>
        <v>25730</v>
      </c>
      <c r="I28" s="485">
        <f>'Dps p2'!$D$186</f>
        <v>9920</v>
      </c>
      <c r="J28" s="485">
        <f t="shared" ref="J28:K28" si="6">IF($G28&gt;H28,1-(H28+2)/(2*($G28+1)),$G28/(2*(H28+1)))</f>
        <v>0.1654035988</v>
      </c>
      <c r="K28" s="485">
        <f t="shared" si="6"/>
        <v>0.4289890132</v>
      </c>
      <c r="L28" s="482">
        <v>0.0</v>
      </c>
      <c r="M28" s="482">
        <v>15.0</v>
      </c>
      <c r="N28" s="482">
        <f>'Avg dmg taken table 1'!$E$27</f>
        <v>18</v>
      </c>
      <c r="O28" s="482">
        <f>'Avg dmg taken table 2'!$E$27</f>
        <v>18</v>
      </c>
      <c r="P28" s="482">
        <v>3.0</v>
      </c>
      <c r="Q28" s="485">
        <f t="shared" ref="Q28:Q30" si="8"> $E28 * J28 * ($N28*IF(Q$3=$C28,0,IF(AND(Q$4,$C28="MELEE"),0.5,IF(Q$5,1,IF(Q$7,1,1))))) / $P28</f>
        <v>0</v>
      </c>
      <c r="R28" s="485">
        <f t="shared" ref="R28:R30" si="9"> $E28 * K28 * ($O28*IF(R$3=$C28,0,IF(AND(R$4,$C28="MELEE"),0.5,IF(R$5,1,IF(R$7,1,1))))) / $P28</f>
        <v>0</v>
      </c>
      <c r="S28" s="485"/>
      <c r="T28" s="485"/>
    </row>
    <row r="29">
      <c r="A29" s="482"/>
      <c r="B29" s="482" t="str">
        <f>'NPC stats'!A340</f>
        <v>Sergeant Steelwill</v>
      </c>
      <c r="C29" s="482" t="s">
        <v>35</v>
      </c>
      <c r="D29" s="482" t="s">
        <v>35</v>
      </c>
      <c r="E29" s="507">
        <v>1.0</v>
      </c>
      <c r="F29" s="485">
        <f>match(B29,'NPC stats'!$A$1:$A84,0)</f>
        <v>340</v>
      </c>
      <c r="G29" s="485">
        <f>(9+'NPC stats'!I340)*(64+'NPC stats'!R340)</f>
        <v>10176</v>
      </c>
      <c r="H29" s="485">
        <f>'Dps p1'!$D$191</f>
        <v>25662</v>
      </c>
      <c r="I29" s="485">
        <f>'Dps p2'!$D$191</f>
        <v>9024</v>
      </c>
      <c r="J29" s="485">
        <f t="shared" ref="J29:K29" si="7">IF($G29&gt;H29,1-(H29+2)/(2*($G29+1)),$G29/(2*(H29+1)))</f>
        <v>0.1982620894</v>
      </c>
      <c r="K29" s="485">
        <f t="shared" si="7"/>
        <v>0.5565490813</v>
      </c>
      <c r="L29" s="482">
        <v>0.0</v>
      </c>
      <c r="M29" s="482">
        <v>16.0</v>
      </c>
      <c r="N29" s="482">
        <f>'Avg dmg taken table 1'!$E$28</f>
        <v>8</v>
      </c>
      <c r="O29" s="482">
        <f>'Avg dmg taken table 2'!$E$28</f>
        <v>8</v>
      </c>
      <c r="P29" s="482">
        <v>3.0</v>
      </c>
      <c r="Q29" s="485">
        <f t="shared" si="8"/>
        <v>0.528698905</v>
      </c>
      <c r="R29" s="485">
        <f t="shared" si="9"/>
        <v>1.484130883</v>
      </c>
      <c r="S29" s="485"/>
      <c r="T29" s="485"/>
    </row>
    <row r="30">
      <c r="A30" s="482"/>
      <c r="B30" s="482" t="str">
        <f>'NPC stats'!A339</f>
        <v>Sergeant Grimspike</v>
      </c>
      <c r="C30" s="482" t="s">
        <v>39</v>
      </c>
      <c r="D30" s="482" t="s">
        <v>39</v>
      </c>
      <c r="E30" s="507">
        <v>1.0</v>
      </c>
      <c r="F30" s="485">
        <f>match(B30,'NPC stats'!$A$1:$A84,0)</f>
        <v>339</v>
      </c>
      <c r="G30" s="485">
        <f>(9+'NPC stats'!J339)*(64+'NPC stats'!T339)</f>
        <v>13356</v>
      </c>
      <c r="H30" s="485">
        <f>'Dps p1'!$D$187</f>
        <v>10695</v>
      </c>
      <c r="I30" s="485">
        <f>'Dps p2'!$D$187</f>
        <v>9920</v>
      </c>
      <c r="J30" s="485">
        <f t="shared" ref="J30:K30" si="10">IF($G30&gt;H30,1-(H30+2)/(2*($G30+1)),$G30/(2*(H30+1)))</f>
        <v>0.5995732575</v>
      </c>
      <c r="K30" s="485">
        <f t="shared" si="10"/>
        <v>0.6285842629</v>
      </c>
      <c r="L30" s="482">
        <v>0.0</v>
      </c>
      <c r="M30" s="482">
        <v>21.0</v>
      </c>
      <c r="N30" s="482">
        <f>'Avg dmg taken table 1'!$E$29</f>
        <v>0</v>
      </c>
      <c r="O30" s="482">
        <f>'Avg dmg taken table 2'!$E$29</f>
        <v>0</v>
      </c>
      <c r="P30" s="482">
        <v>3.0</v>
      </c>
      <c r="Q30" s="485">
        <f t="shared" si="8"/>
        <v>0</v>
      </c>
      <c r="R30" s="485">
        <f t="shared" si="9"/>
        <v>0</v>
      </c>
      <c r="S30" s="485"/>
      <c r="T30" s="485"/>
    </row>
    <row r="31">
      <c r="A31" s="508"/>
      <c r="B31" s="508" t="s">
        <v>113</v>
      </c>
      <c r="C31" s="508"/>
      <c r="D31" s="508"/>
      <c r="E31" s="509"/>
      <c r="F31" s="501"/>
      <c r="G31" s="501"/>
      <c r="H31" s="501"/>
      <c r="I31" s="501"/>
      <c r="J31" s="501"/>
      <c r="K31" s="501"/>
      <c r="L31" s="501"/>
      <c r="M31" s="501"/>
      <c r="N31" s="501"/>
      <c r="O31" s="501"/>
      <c r="P31" s="501"/>
      <c r="Q31" s="501">
        <f t="shared" ref="Q31:R31" si="11">sum(Q26:Q30)</f>
        <v>1.917690409</v>
      </c>
      <c r="R31" s="501">
        <f t="shared" si="11"/>
        <v>2.883177483</v>
      </c>
      <c r="S31" s="501"/>
      <c r="T31" s="501"/>
    </row>
    <row r="32">
      <c r="A32" s="482"/>
      <c r="B32" s="482"/>
      <c r="C32" s="482"/>
      <c r="D32" s="482"/>
      <c r="E32" s="484"/>
      <c r="F32" s="485"/>
      <c r="G32" s="485"/>
      <c r="H32" s="485"/>
      <c r="I32" s="485"/>
      <c r="J32" s="485"/>
      <c r="K32" s="485"/>
      <c r="L32" s="485"/>
      <c r="M32" s="485"/>
      <c r="N32" s="485"/>
      <c r="O32" s="485"/>
      <c r="P32" s="485"/>
      <c r="Q32" s="501"/>
      <c r="R32" s="501"/>
      <c r="S32" s="501"/>
      <c r="T32" s="501"/>
    </row>
    <row r="33">
      <c r="A33" s="482"/>
      <c r="B33" s="482" t="s">
        <v>1656</v>
      </c>
      <c r="C33" s="485"/>
      <c r="D33" s="485"/>
      <c r="E33" s="484"/>
      <c r="F33" s="485"/>
      <c r="G33" s="485"/>
      <c r="H33" s="485"/>
      <c r="I33" s="485"/>
      <c r="J33" s="485"/>
      <c r="K33" s="485"/>
      <c r="L33" s="485"/>
      <c r="M33" s="485"/>
      <c r="N33" s="485"/>
      <c r="O33" s="485"/>
      <c r="P33" s="485"/>
      <c r="Q33" s="485"/>
      <c r="R33" s="485"/>
      <c r="S33" s="485"/>
      <c r="T33" s="485"/>
    </row>
    <row r="34">
      <c r="A34" s="482"/>
      <c r="B34" s="482" t="s">
        <v>133</v>
      </c>
      <c r="C34" s="482" t="s">
        <v>1641</v>
      </c>
      <c r="D34" s="485"/>
      <c r="E34" s="507" t="s">
        <v>1653</v>
      </c>
      <c r="F34" s="485"/>
      <c r="G34" s="482" t="s">
        <v>139</v>
      </c>
      <c r="H34" s="482" t="s">
        <v>1642</v>
      </c>
      <c r="I34" s="482" t="s">
        <v>1643</v>
      </c>
      <c r="J34" s="482" t="s">
        <v>1644</v>
      </c>
      <c r="K34" s="482" t="s">
        <v>1645</v>
      </c>
      <c r="L34" s="482"/>
      <c r="M34" s="482"/>
      <c r="N34" s="482" t="s">
        <v>1647</v>
      </c>
      <c r="O34" s="482" t="s">
        <v>1648</v>
      </c>
      <c r="P34" s="482" t="s">
        <v>1649</v>
      </c>
      <c r="Q34" s="482" t="s">
        <v>1650</v>
      </c>
      <c r="R34" s="482" t="s">
        <v>1651</v>
      </c>
      <c r="S34" s="482"/>
      <c r="T34" s="482"/>
    </row>
    <row r="35">
      <c r="A35" s="485"/>
      <c r="B35" s="485" t="str">
        <f>'NPC stats'!A93</f>
        <v>Commander Zilyana</v>
      </c>
      <c r="C35" s="482" t="s">
        <v>20</v>
      </c>
      <c r="D35" s="482" t="s">
        <v>144</v>
      </c>
      <c r="E35" s="507">
        <v>0.5</v>
      </c>
      <c r="F35" s="485">
        <f>match(B35,'NPC stats'!$A$1:$A84,0)</f>
        <v>93</v>
      </c>
      <c r="G35" s="485">
        <f>(9+'NPC stats'!F93)*(64+'NPC stats'!P93)</f>
        <v>74851</v>
      </c>
      <c r="H35" s="485">
        <f>'Dps p1'!$D$186</f>
        <v>25730</v>
      </c>
      <c r="I35" s="485">
        <f>'Dps p2'!$D$186</f>
        <v>9920</v>
      </c>
      <c r="J35" s="485">
        <f t="shared" ref="J35:K35" si="12">IF($G35&gt;H35,1-(H35+2)/(2*($G35+1)),$G35/(2*(H35+1)))</f>
        <v>0.8281141452</v>
      </c>
      <c r="K35" s="485">
        <f t="shared" si="12"/>
        <v>0.9337225458</v>
      </c>
      <c r="L35" s="482">
        <v>0.0</v>
      </c>
      <c r="M35" s="482">
        <v>27.0</v>
      </c>
      <c r="N35" s="482">
        <f>'Avg dmg taken table 1'!$E$24</f>
        <v>16.5</v>
      </c>
      <c r="O35" s="482">
        <f>'Avg dmg taken table 2'!$E$24</f>
        <v>16.5</v>
      </c>
      <c r="P35" s="482">
        <v>1.2</v>
      </c>
      <c r="Q35" s="485">
        <f t="shared" ref="Q35:Q36" si="14"> $E35 * J35 * ($N35*IF(Q$3=$C35,0,IF(AND(Q$4,$C35="MELEE"),0.5,IF(Q$5,1,IF(Q$7,1,1))))) / $P35</f>
        <v>0</v>
      </c>
      <c r="R35" s="485">
        <f t="shared" ref="R35:R36" si="15"> $E35 * K35 * ($O35*IF(R$3=$C35,0,IF(AND(R$4,$C35="MELEE"),0.5,IF(R$5,1,IF(R$7,1,1))))) / $P35</f>
        <v>0</v>
      </c>
      <c r="S35" s="485"/>
      <c r="T35" s="485"/>
    </row>
    <row r="36">
      <c r="A36" s="485"/>
      <c r="B36" s="485"/>
      <c r="C36" s="482" t="s">
        <v>35</v>
      </c>
      <c r="D36" s="482" t="s">
        <v>35</v>
      </c>
      <c r="E36" s="507">
        <v>0.5</v>
      </c>
      <c r="F36" s="485"/>
      <c r="G36" s="485">
        <f>(9+'NPC stats'!I93)*(64+'NPC stats'!R93)</f>
        <v>81576</v>
      </c>
      <c r="H36" s="485">
        <f>'Dps p1'!$D$191</f>
        <v>25662</v>
      </c>
      <c r="I36" s="485">
        <f>'Dps p2'!$D$191</f>
        <v>9024</v>
      </c>
      <c r="J36" s="485">
        <f t="shared" ref="J36:K36" si="13">IF($G36&gt;H36,1-(H36+2)/(2*($G36+1)),$G36/(2*(H36+1)))</f>
        <v>0.8427007612</v>
      </c>
      <c r="K36" s="485">
        <f t="shared" si="13"/>
        <v>0.9446780342</v>
      </c>
      <c r="L36" s="482">
        <v>10.0</v>
      </c>
      <c r="M36" s="482">
        <v>20.0</v>
      </c>
      <c r="N36" s="482">
        <f>'Avg dmg taken table 1'!$E$25</f>
        <v>16.5</v>
      </c>
      <c r="O36" s="482">
        <f>'Avg dmg taken table 2'!$E$25</f>
        <v>16.5</v>
      </c>
      <c r="P36" s="482">
        <v>1.2</v>
      </c>
      <c r="Q36" s="485">
        <f t="shared" si="14"/>
        <v>5.793567734</v>
      </c>
      <c r="R36" s="485">
        <f t="shared" si="15"/>
        <v>6.494661485</v>
      </c>
      <c r="S36" s="485"/>
      <c r="T36" s="485"/>
    </row>
    <row r="37">
      <c r="A37" s="485"/>
      <c r="B37" s="482" t="s">
        <v>1655</v>
      </c>
      <c r="C37" s="482"/>
      <c r="D37" s="485"/>
      <c r="E37" s="507"/>
      <c r="F37" s="485"/>
      <c r="G37" s="485"/>
      <c r="H37" s="485"/>
      <c r="I37" s="485"/>
      <c r="J37" s="485"/>
      <c r="K37" s="485"/>
      <c r="L37" s="482"/>
      <c r="M37" s="482"/>
      <c r="N37" s="482"/>
      <c r="O37" s="482"/>
      <c r="P37" s="482"/>
      <c r="Q37" s="485">
        <f t="shared" ref="Q37:R37" si="16">Q35+Q36</f>
        <v>5.793567734</v>
      </c>
      <c r="R37" s="485">
        <f t="shared" si="16"/>
        <v>6.494661485</v>
      </c>
      <c r="S37" s="485"/>
      <c r="T37" s="485"/>
    </row>
    <row r="38">
      <c r="A38" s="485"/>
      <c r="B38" s="485"/>
      <c r="C38" s="482"/>
      <c r="D38" s="482"/>
      <c r="E38" s="507"/>
      <c r="F38" s="485"/>
      <c r="G38" s="485"/>
      <c r="H38" s="485"/>
      <c r="I38" s="485"/>
      <c r="J38" s="485"/>
      <c r="K38" s="485"/>
      <c r="L38" s="482"/>
      <c r="M38" s="482"/>
      <c r="N38" s="482"/>
      <c r="O38" s="482"/>
      <c r="P38" s="482"/>
      <c r="Q38" s="485"/>
      <c r="R38" s="485"/>
      <c r="S38" s="485"/>
      <c r="T38" s="485"/>
    </row>
    <row r="39">
      <c r="A39" s="482"/>
      <c r="B39" s="482" t="str">
        <f>'NPC stats'!A380</f>
        <v>Starlight</v>
      </c>
      <c r="C39" s="482" t="s">
        <v>20</v>
      </c>
      <c r="D39" s="482" t="s">
        <v>144</v>
      </c>
      <c r="E39" s="507">
        <v>1.0</v>
      </c>
      <c r="F39" s="485">
        <f>match(B39,'NPC stats'!$A$1:$A84,0)</f>
        <v>380</v>
      </c>
      <c r="G39" s="485">
        <f>(9+'NPC stats'!F380)*(64+'NPC stats'!P380)</f>
        <v>15996</v>
      </c>
      <c r="H39" s="485">
        <f>'Dps p1'!$D$186</f>
        <v>25730</v>
      </c>
      <c r="I39" s="485">
        <f>'Dps p2'!$D$186</f>
        <v>9920</v>
      </c>
      <c r="J39" s="485">
        <f t="shared" ref="J39:K39" si="17">IF($G39&gt;H39,1-(H39+2)/(2*($G39+1)),$G39/(2*(H39+1)))</f>
        <v>0.310831293</v>
      </c>
      <c r="K39" s="485">
        <f t="shared" si="17"/>
        <v>0.6898793524</v>
      </c>
      <c r="L39" s="482">
        <v>0.0</v>
      </c>
      <c r="M39" s="482">
        <v>15.0</v>
      </c>
      <c r="N39" s="482">
        <f>'Avg dmg taken table 1'!$E$27</f>
        <v>18</v>
      </c>
      <c r="O39" s="482">
        <f>'Avg dmg taken table 2'!$E$27</f>
        <v>18</v>
      </c>
      <c r="P39" s="482">
        <v>3.0</v>
      </c>
      <c r="Q39" s="485">
        <f t="shared" ref="Q39:Q41" si="19"> $E39 * J39 * ($N39*IF(Q$3=$C39,0,IF(AND(Q$4,$C39="MELEE"),0.5,IF(Q$5,1,IF(Q$7,1,1))))) / $P39</f>
        <v>0</v>
      </c>
      <c r="R39" s="485">
        <f t="shared" ref="R39:R41" si="20"> $E39 * K39 * ($O39*IF(R$3=$C39,0,IF(AND(R$4,$C39="MELEE"),0.5,IF(R$5,1,IF(R$7,1,1))))) / $P39</f>
        <v>0</v>
      </c>
      <c r="S39" s="485"/>
      <c r="T39" s="485"/>
    </row>
    <row r="40">
      <c r="A40" s="482"/>
      <c r="B40" s="482" t="str">
        <f>'NPC stats'!A181</f>
        <v>Growler</v>
      </c>
      <c r="C40" s="482" t="s">
        <v>35</v>
      </c>
      <c r="D40" s="482" t="s">
        <v>35</v>
      </c>
      <c r="E40" s="507">
        <v>1.0</v>
      </c>
      <c r="F40" s="485">
        <f>match(B40,'NPC stats'!$A$1:$A84,0)</f>
        <v>181</v>
      </c>
      <c r="G40" s="485">
        <f>(9+'NPC stats'!I181)*(64+'NPC stats'!R181)</f>
        <v>10176</v>
      </c>
      <c r="H40" s="485">
        <f>'Dps p1'!$D$191</f>
        <v>25662</v>
      </c>
      <c r="I40" s="485">
        <f>'Dps p2'!$D$191</f>
        <v>9024</v>
      </c>
      <c r="J40" s="485">
        <f t="shared" ref="J40:K40" si="18">IF($G40&gt;H40,1-(H40+2)/(2*($G40+1)),$G40/(2*(H40+1)))</f>
        <v>0.1982620894</v>
      </c>
      <c r="K40" s="485">
        <f t="shared" si="18"/>
        <v>0.5565490813</v>
      </c>
      <c r="L40" s="482">
        <v>0.0</v>
      </c>
      <c r="M40" s="482">
        <v>16.0</v>
      </c>
      <c r="N40" s="482">
        <f>'Avg dmg taken table 1'!$E$28</f>
        <v>8</v>
      </c>
      <c r="O40" s="482">
        <f>'Avg dmg taken table 2'!$E$28</f>
        <v>8</v>
      </c>
      <c r="P40" s="482">
        <v>3.0</v>
      </c>
      <c r="Q40" s="485">
        <f t="shared" si="19"/>
        <v>0.528698905</v>
      </c>
      <c r="R40" s="485">
        <f t="shared" si="20"/>
        <v>1.484130883</v>
      </c>
      <c r="S40" s="485"/>
      <c r="T40" s="485"/>
    </row>
    <row r="41">
      <c r="A41" s="482"/>
      <c r="B41" s="482" t="str">
        <f>'NPC stats'!A71</f>
        <v>Bree</v>
      </c>
      <c r="C41" s="482" t="s">
        <v>39</v>
      </c>
      <c r="D41" s="482" t="s">
        <v>39</v>
      </c>
      <c r="E41" s="507">
        <v>1.0</v>
      </c>
      <c r="F41" s="485">
        <f>match(B41,'NPC stats'!$A$1:$A84,0)</f>
        <v>71</v>
      </c>
      <c r="G41" s="485">
        <f>(9+'NPC stats'!J71)*(64+'NPC stats'!T71)</f>
        <v>10176</v>
      </c>
      <c r="H41" s="485">
        <f>'Dps p1'!$D$187</f>
        <v>10695</v>
      </c>
      <c r="I41" s="485">
        <f>'Dps p2'!$D$187</f>
        <v>9920</v>
      </c>
      <c r="J41" s="485">
        <f t="shared" ref="J41:K41" si="21">IF($G41&gt;H41,1-(H41+2)/(2*($G41+1)),$G41/(2*(H41+1)))</f>
        <v>0.4756918474</v>
      </c>
      <c r="K41" s="485">
        <f t="shared" si="21"/>
        <v>0.51252825</v>
      </c>
      <c r="L41" s="482">
        <v>0.0</v>
      </c>
      <c r="M41" s="482">
        <v>16.0</v>
      </c>
      <c r="N41" s="482">
        <f>'Avg dmg taken table 1'!$E$29</f>
        <v>0</v>
      </c>
      <c r="O41" s="482">
        <f>'Avg dmg taken table 2'!$E$29</f>
        <v>0</v>
      </c>
      <c r="P41" s="482">
        <v>3.0</v>
      </c>
      <c r="Q41" s="485">
        <f t="shared" si="19"/>
        <v>0</v>
      </c>
      <c r="R41" s="485">
        <f t="shared" si="20"/>
        <v>0</v>
      </c>
      <c r="S41" s="485"/>
      <c r="T41" s="485"/>
    </row>
    <row r="42">
      <c r="A42" s="508"/>
      <c r="B42" s="508" t="s">
        <v>113</v>
      </c>
      <c r="C42" s="501"/>
      <c r="D42" s="501"/>
      <c r="E42" s="509"/>
      <c r="F42" s="501"/>
      <c r="G42" s="501"/>
      <c r="H42" s="501"/>
      <c r="I42" s="501"/>
      <c r="J42" s="501"/>
      <c r="K42" s="501"/>
      <c r="L42" s="501"/>
      <c r="M42" s="501"/>
      <c r="N42" s="501"/>
      <c r="O42" s="501"/>
      <c r="P42" s="501"/>
      <c r="Q42" s="501">
        <f t="shared" ref="Q42:R42" si="22">sum(Q37:Q41)</f>
        <v>6.322266639</v>
      </c>
      <c r="R42" s="501">
        <f t="shared" si="22"/>
        <v>7.978792369</v>
      </c>
      <c r="S42" s="501"/>
      <c r="T42" s="501"/>
    </row>
    <row r="43">
      <c r="A43" s="485"/>
      <c r="B43" s="485"/>
      <c r="C43" s="485"/>
      <c r="D43" s="485"/>
      <c r="E43" s="484"/>
      <c r="F43" s="485"/>
      <c r="G43" s="485"/>
      <c r="H43" s="485"/>
      <c r="I43" s="485"/>
      <c r="J43" s="485"/>
      <c r="K43" s="485"/>
      <c r="L43" s="485"/>
      <c r="M43" s="485"/>
      <c r="N43" s="485"/>
      <c r="O43" s="485"/>
      <c r="P43" s="485"/>
      <c r="Q43" s="501"/>
      <c r="R43" s="501"/>
      <c r="S43" s="501"/>
      <c r="T43" s="501"/>
    </row>
    <row r="44">
      <c r="A44" s="482"/>
      <c r="B44" s="482" t="s">
        <v>1657</v>
      </c>
      <c r="C44" s="485"/>
      <c r="D44" s="485"/>
      <c r="E44" s="484"/>
      <c r="F44" s="485"/>
      <c r="G44" s="485"/>
      <c r="H44" s="485"/>
      <c r="I44" s="485"/>
      <c r="J44" s="485"/>
      <c r="K44" s="485"/>
      <c r="L44" s="485"/>
      <c r="M44" s="485"/>
      <c r="N44" s="485"/>
      <c r="O44" s="485"/>
      <c r="P44" s="485"/>
      <c r="Q44" s="485"/>
      <c r="R44" s="485"/>
      <c r="S44" s="485"/>
      <c r="T44" s="485"/>
    </row>
    <row r="45">
      <c r="A45" s="482"/>
      <c r="B45" s="482" t="s">
        <v>133</v>
      </c>
      <c r="C45" s="482" t="s">
        <v>1641</v>
      </c>
      <c r="D45" s="485"/>
      <c r="E45" s="507" t="s">
        <v>1653</v>
      </c>
      <c r="F45" s="485"/>
      <c r="G45" s="482" t="s">
        <v>139</v>
      </c>
      <c r="H45" s="482" t="s">
        <v>1643</v>
      </c>
      <c r="I45" s="482" t="s">
        <v>1658</v>
      </c>
      <c r="J45" s="482" t="s">
        <v>1645</v>
      </c>
      <c r="K45" s="482" t="s">
        <v>1659</v>
      </c>
      <c r="L45" s="482"/>
      <c r="M45" s="482"/>
      <c r="N45" s="482" t="s">
        <v>1647</v>
      </c>
      <c r="O45" s="482" t="s">
        <v>1648</v>
      </c>
      <c r="P45" s="482" t="s">
        <v>1649</v>
      </c>
      <c r="Q45" s="482" t="s">
        <v>1650</v>
      </c>
      <c r="R45" s="482" t="s">
        <v>1651</v>
      </c>
      <c r="S45" s="482"/>
      <c r="T45" s="482"/>
    </row>
    <row r="46">
      <c r="A46" s="482"/>
      <c r="B46" s="482" t="str">
        <f>'NPC stats'!A249</f>
        <v>Kree'arra</v>
      </c>
      <c r="C46" s="482" t="s">
        <v>39</v>
      </c>
      <c r="D46" s="482" t="s">
        <v>39</v>
      </c>
      <c r="E46" s="507">
        <v>0.5</v>
      </c>
      <c r="F46" s="485">
        <f>match(B46,'NPC stats'!$A$1:$A84,0)</f>
        <v>249</v>
      </c>
      <c r="G46" s="485">
        <f>(9+'NPC stats'!J249)*(64+'NPC stats'!T249)</f>
        <v>71576</v>
      </c>
      <c r="H46" s="485">
        <f>'Dps p1'!$D$187</f>
        <v>10695</v>
      </c>
      <c r="I46" s="485">
        <f>'Dps p2'!$D$187</f>
        <v>9920</v>
      </c>
      <c r="J46" s="485">
        <f t="shared" ref="J46:K46" si="23">IF($G46&gt;H46,1-(H46+2)/(2*($G46+1)),$G46/(2*(H46+1)))</f>
        <v>0.9252762759</v>
      </c>
      <c r="K46" s="485">
        <f t="shared" si="23"/>
        <v>0.9306900261</v>
      </c>
      <c r="L46" s="482">
        <v>0.0</v>
      </c>
      <c r="M46" s="482">
        <v>71.0</v>
      </c>
      <c r="N46" s="482">
        <f>'Avg dmg taken table 1'!$E$24</f>
        <v>16.5</v>
      </c>
      <c r="O46" s="482">
        <f>'Avg dmg taken table 1'!$E$24</f>
        <v>16.5</v>
      </c>
      <c r="P46" s="482">
        <v>1.8</v>
      </c>
      <c r="Q46" s="485">
        <f> $E46 * J46 * ($N46*IF(Q$3=$C46,0,IF(AND(Q$4,$C46="MELEE"),0.5,IF(Q$5,0.825,IF(Q$7,0.8,1))))) / $P46</f>
        <v>4.240849598</v>
      </c>
      <c r="R46" s="485">
        <f t="shared" ref="R46:R48" si="25"> $E46 * K46 * ($O46*IF(R$3=$C46,0,IF(AND(R$4,$C46="MELEE"),0.5,IF(R$5,0.825,IF(R$7,0.8,1))))) / $P46</f>
        <v>4.26566262</v>
      </c>
      <c r="S46" s="485"/>
      <c r="T46" s="485"/>
    </row>
    <row r="47">
      <c r="A47" s="485"/>
      <c r="B47" s="485"/>
      <c r="C47" s="482" t="s">
        <v>35</v>
      </c>
      <c r="D47" s="482" t="s">
        <v>39</v>
      </c>
      <c r="E47" s="507">
        <v>0.5</v>
      </c>
      <c r="F47" s="485"/>
      <c r="G47" s="485">
        <f>(9+'NPC stats'!I249)*(64+'NPC stats'!R249)</f>
        <v>13376</v>
      </c>
      <c r="H47" s="485">
        <f>'Dps p1'!$D$187</f>
        <v>10695</v>
      </c>
      <c r="I47" s="485">
        <f>'Dps p2'!$D$187</f>
        <v>9920</v>
      </c>
      <c r="J47" s="485">
        <f t="shared" ref="J47:K47" si="24">IF($G47&gt;H47,1-(H47+2)/(2*($G47+1)),$G47/(2*(H47+1)))</f>
        <v>0.6001719369</v>
      </c>
      <c r="K47" s="485">
        <f t="shared" si="24"/>
        <v>0.6291395679</v>
      </c>
      <c r="L47" s="482">
        <v>0.0</v>
      </c>
      <c r="M47" s="482">
        <v>21.0</v>
      </c>
      <c r="N47" s="482">
        <f>'Avg dmg taken table 1'!$E$25</f>
        <v>16.5</v>
      </c>
      <c r="O47" s="482">
        <f>'Avg dmg taken table 1'!$E$25</f>
        <v>16.5</v>
      </c>
      <c r="P47" s="482">
        <v>1.8</v>
      </c>
      <c r="Q47" s="485">
        <f t="shared" ref="Q47:Q48" si="27"> $E47 * J47 * ($N47*IF(Q$3=$C47,0,IF(AND(Q$4,$C47="MELEE"),0.5,IF(Q$5,1,IF(Q$7,1,1))))) / $P47</f>
        <v>2.750788044</v>
      </c>
      <c r="R47" s="485">
        <f t="shared" si="25"/>
        <v>2.883556353</v>
      </c>
      <c r="S47" s="485"/>
      <c r="T47" s="485"/>
    </row>
    <row r="48">
      <c r="A48" s="485"/>
      <c r="B48" s="485"/>
      <c r="C48" s="482" t="s">
        <v>20</v>
      </c>
      <c r="D48" s="482" t="s">
        <v>35</v>
      </c>
      <c r="E48" s="507">
        <v>0.0</v>
      </c>
      <c r="F48" s="485"/>
      <c r="G48" s="485">
        <f>(9+'NPC stats'!F249)*(64+'NPC stats'!P249)</f>
        <v>61800</v>
      </c>
      <c r="H48" s="485">
        <f>'Dps p1'!$D$191</f>
        <v>25662</v>
      </c>
      <c r="I48" s="485">
        <f>'Dps p2'!$D$191</f>
        <v>9024</v>
      </c>
      <c r="J48" s="485">
        <f t="shared" ref="J48:K48" si="26">IF($G48&gt;H48,1-(H48+2)/(2*($G48+1)),$G48/(2*(H48+1)))</f>
        <v>0.7923658193</v>
      </c>
      <c r="K48" s="485">
        <f t="shared" si="26"/>
        <v>0.9269752917</v>
      </c>
      <c r="L48" s="482">
        <v>0.0</v>
      </c>
      <c r="M48" s="482">
        <v>26.0</v>
      </c>
      <c r="N48" s="482">
        <f>'Avg dmg taken table 1'!$E$26</f>
        <v>16.5</v>
      </c>
      <c r="O48" s="482">
        <f>'Avg dmg taken table 1'!$E$26</f>
        <v>16.5</v>
      </c>
      <c r="P48" s="482">
        <v>1.8</v>
      </c>
      <c r="Q48" s="485">
        <f t="shared" si="27"/>
        <v>0</v>
      </c>
      <c r="R48" s="485">
        <f t="shared" si="25"/>
        <v>0</v>
      </c>
      <c r="S48" s="485"/>
      <c r="T48" s="485"/>
    </row>
    <row r="49">
      <c r="A49" s="485"/>
      <c r="B49" s="482" t="s">
        <v>1655</v>
      </c>
      <c r="C49" s="482"/>
      <c r="D49" s="485"/>
      <c r="E49" s="507"/>
      <c r="F49" s="485"/>
      <c r="G49" s="485"/>
      <c r="H49" s="485"/>
      <c r="I49" s="485"/>
      <c r="J49" s="485"/>
      <c r="K49" s="485"/>
      <c r="L49" s="482"/>
      <c r="M49" s="482"/>
      <c r="N49" s="482"/>
      <c r="O49" s="482"/>
      <c r="P49" s="482"/>
      <c r="Q49" s="485">
        <f t="shared" ref="Q49:R49" si="28">Q46+Q47+Q48</f>
        <v>6.991637642</v>
      </c>
      <c r="R49" s="485">
        <f t="shared" si="28"/>
        <v>7.149218973</v>
      </c>
      <c r="S49" s="485"/>
      <c r="T49" s="485"/>
    </row>
    <row r="50">
      <c r="A50" s="482"/>
      <c r="B50" s="482" t="str">
        <f>'NPC stats'!A149</f>
        <v>Flockleader Geerin</v>
      </c>
      <c r="C50" s="482" t="s">
        <v>39</v>
      </c>
      <c r="D50" s="482" t="s">
        <v>39</v>
      </c>
      <c r="E50" s="507">
        <v>1.0</v>
      </c>
      <c r="F50" s="485">
        <f>match(B50,'NPC stats'!$A$1:$A84,0)</f>
        <v>149</v>
      </c>
      <c r="G50" s="485">
        <f>(9+'NPC stats'!J149)*(64+'NPC stats'!T149)</f>
        <v>19716</v>
      </c>
      <c r="H50" s="485">
        <f>'Dps p1'!$D$187</f>
        <v>10695</v>
      </c>
      <c r="I50" s="485">
        <f>'Dps p2'!$D$187</f>
        <v>9920</v>
      </c>
      <c r="J50" s="485">
        <f t="shared" ref="J50:K50" si="29">IF($G50&gt;H50,1-(H50+2)/(2*($G50+1)),$G50/(2*(H50+1)))</f>
        <v>0.7287366232</v>
      </c>
      <c r="K50" s="485">
        <f t="shared" si="29"/>
        <v>0.7483897145</v>
      </c>
      <c r="L50" s="482">
        <v>0.0</v>
      </c>
      <c r="M50" s="482">
        <v>25.0</v>
      </c>
      <c r="N50" s="482">
        <f>'Avg dmg taken table 1'!$E$27</f>
        <v>18</v>
      </c>
      <c r="O50" s="482">
        <f>'Avg dmg taken table 1'!$E$27</f>
        <v>18</v>
      </c>
      <c r="P50" s="482">
        <v>3.0</v>
      </c>
      <c r="Q50" s="485">
        <f t="shared" ref="Q50:Q52" si="31"> $E50 * J50 * ($N50*IF(Q$3=$C50,0,IF(AND(Q$4,$C50="MELEE"),0.5,IF(Q$5,1,IF(Q$7,1,1))))) / $P50</f>
        <v>4.372419739</v>
      </c>
      <c r="R50" s="485">
        <f t="shared" ref="R50:R52" si="32"> $E50 * K50 * ($O50*IF(R$3=$C50,0,IF(AND(R$4,$C50="MELEE"),0.5,IF(R$5,1,IF(R$7,1,1))))) / $P50</f>
        <v>4.490338287</v>
      </c>
      <c r="S50" s="485"/>
      <c r="T50" s="485"/>
    </row>
    <row r="51">
      <c r="A51" s="482"/>
      <c r="B51" s="482" t="str">
        <f>'NPC stats'!A434</f>
        <v>Wingman Skree</v>
      </c>
      <c r="C51" s="482" t="s">
        <v>35</v>
      </c>
      <c r="D51" s="482" t="s">
        <v>35</v>
      </c>
      <c r="E51" s="507">
        <v>1.0</v>
      </c>
      <c r="F51" s="485">
        <f>match(B51,'NPC stats'!$A$1:$A84,0)</f>
        <v>434</v>
      </c>
      <c r="G51" s="485">
        <f>(9+'NPC stats'!I434)*(64+'NPC stats'!R434)</f>
        <v>10176</v>
      </c>
      <c r="H51" s="485">
        <f>'Dps p1'!$D$191</f>
        <v>25662</v>
      </c>
      <c r="I51" s="485">
        <f>'Dps p2'!$D$191</f>
        <v>9024</v>
      </c>
      <c r="J51" s="485">
        <f t="shared" ref="J51:K51" si="30">IF($G51&gt;H51,1-(H51+2)/(2*($G51+1)),$G51/(2*(H51+1)))</f>
        <v>0.1982620894</v>
      </c>
      <c r="K51" s="485">
        <f t="shared" si="30"/>
        <v>0.5565490813</v>
      </c>
      <c r="L51" s="482">
        <v>0.0</v>
      </c>
      <c r="M51" s="482">
        <v>16.0</v>
      </c>
      <c r="N51" s="482">
        <f>'Avg dmg taken table 1'!$E$28</f>
        <v>8</v>
      </c>
      <c r="O51" s="482">
        <f>'Avg dmg taken table 1'!$E$28</f>
        <v>8</v>
      </c>
      <c r="P51" s="482">
        <v>3.0</v>
      </c>
      <c r="Q51" s="485">
        <f t="shared" si="31"/>
        <v>0.528698905</v>
      </c>
      <c r="R51" s="485">
        <f t="shared" si="32"/>
        <v>1.484130883</v>
      </c>
      <c r="S51" s="485"/>
      <c r="T51" s="485"/>
    </row>
    <row r="52">
      <c r="A52" s="482"/>
      <c r="B52" s="482" t="str">
        <f>'NPC stats'!A148</f>
        <v>Flight Kilisa</v>
      </c>
      <c r="C52" s="482" t="s">
        <v>20</v>
      </c>
      <c r="D52" s="482" t="s">
        <v>143</v>
      </c>
      <c r="E52" s="507">
        <v>1.0</v>
      </c>
      <c r="F52" s="485">
        <f>match(B52,'NPC stats'!$A$1:$A84,0)</f>
        <v>148</v>
      </c>
      <c r="G52" s="485">
        <f>(9+'NPC stats'!F148)*(64+'NPC stats'!P148)</f>
        <v>8512</v>
      </c>
      <c r="H52" s="485">
        <f>'Dps p1'!$D$187</f>
        <v>10695</v>
      </c>
      <c r="I52" s="485">
        <f>'Dps p2'!$D$187</f>
        <v>9920</v>
      </c>
      <c r="J52" s="485">
        <f t="shared" ref="J52:K52" si="33">IF($G52&gt;H52,1-(H52+2)/(2*($G52+1)),$G52/(2*(H52+1)))</f>
        <v>0.3979057592</v>
      </c>
      <c r="K52" s="485">
        <f t="shared" si="33"/>
        <v>0.4289890132</v>
      </c>
      <c r="L52" s="482">
        <v>0.0</v>
      </c>
      <c r="M52" s="482">
        <v>15.0</v>
      </c>
      <c r="N52" s="482">
        <f>'Avg dmg taken table 1'!$E$29</f>
        <v>0</v>
      </c>
      <c r="O52" s="482">
        <f>'Avg dmg taken table 1'!$E$29</f>
        <v>0</v>
      </c>
      <c r="P52" s="482">
        <v>3.0</v>
      </c>
      <c r="Q52" s="485">
        <f t="shared" si="31"/>
        <v>0</v>
      </c>
      <c r="R52" s="485">
        <f t="shared" si="32"/>
        <v>0</v>
      </c>
      <c r="S52" s="485"/>
      <c r="T52" s="485"/>
    </row>
    <row r="53">
      <c r="A53" s="508"/>
      <c r="B53" s="508" t="s">
        <v>113</v>
      </c>
      <c r="C53" s="501"/>
      <c r="D53" s="501"/>
      <c r="E53" s="509"/>
      <c r="F53" s="501"/>
      <c r="G53" s="501"/>
      <c r="H53" s="501"/>
      <c r="I53" s="501"/>
      <c r="J53" s="501"/>
      <c r="K53" s="501"/>
      <c r="L53" s="501"/>
      <c r="M53" s="501"/>
      <c r="N53" s="501"/>
      <c r="O53" s="501"/>
      <c r="P53" s="501"/>
      <c r="Q53" s="501">
        <f t="shared" ref="Q53:R53" si="34">sum(Q49:Q52)</f>
        <v>11.89275629</v>
      </c>
      <c r="R53" s="501">
        <f t="shared" si="34"/>
        <v>13.12368814</v>
      </c>
      <c r="S53" s="501"/>
      <c r="T53" s="501"/>
    </row>
    <row r="54">
      <c r="A54" s="482"/>
      <c r="B54" s="482" t="s">
        <v>1660</v>
      </c>
      <c r="C54" s="485"/>
      <c r="D54" s="485"/>
      <c r="E54" s="484"/>
      <c r="F54" s="485"/>
      <c r="G54" s="485"/>
      <c r="H54" s="485"/>
      <c r="I54" s="485"/>
      <c r="J54" s="485"/>
      <c r="K54" s="485"/>
      <c r="L54" s="485"/>
      <c r="M54" s="485"/>
      <c r="N54" s="485"/>
      <c r="O54" s="485"/>
      <c r="P54" s="485"/>
      <c r="Q54" s="485"/>
      <c r="R54" s="485"/>
      <c r="S54" s="485"/>
      <c r="T54" s="485"/>
    </row>
    <row r="55">
      <c r="A55" s="482"/>
      <c r="B55" s="482" t="s">
        <v>133</v>
      </c>
      <c r="C55" s="482" t="s">
        <v>1641</v>
      </c>
      <c r="D55" s="485"/>
      <c r="E55" s="507" t="s">
        <v>1653</v>
      </c>
      <c r="F55" s="485"/>
      <c r="G55" s="482" t="s">
        <v>139</v>
      </c>
      <c r="H55" s="482" t="s">
        <v>1643</v>
      </c>
      <c r="I55" s="482" t="s">
        <v>1658</v>
      </c>
      <c r="J55" s="482" t="s">
        <v>1645</v>
      </c>
      <c r="K55" s="482" t="s">
        <v>1659</v>
      </c>
      <c r="L55" s="482"/>
      <c r="M55" s="482"/>
      <c r="N55" s="482" t="s">
        <v>1647</v>
      </c>
      <c r="O55" s="482" t="s">
        <v>1648</v>
      </c>
      <c r="P55" s="482" t="s">
        <v>1649</v>
      </c>
      <c r="Q55" s="482" t="s">
        <v>1650</v>
      </c>
      <c r="R55" s="482" t="s">
        <v>1651</v>
      </c>
      <c r="S55" s="482"/>
      <c r="T55" s="482"/>
    </row>
    <row r="56">
      <c r="A56" s="482"/>
      <c r="B56" s="482" t="str">
        <f>'NPC stats'!A250</f>
        <v>K'ril Tsutsaroth</v>
      </c>
      <c r="C56" s="482" t="s">
        <v>20</v>
      </c>
      <c r="D56" s="482" t="s">
        <v>143</v>
      </c>
      <c r="E56" s="507">
        <f t="shared" ref="E56:E57" si="36">(1-$E$58)/2</f>
        <v>0.4473684211</v>
      </c>
      <c r="F56" s="485">
        <f>match(B56,'NPC stats'!$A$1:$A84,0)</f>
        <v>250</v>
      </c>
      <c r="G56" s="485">
        <f>(9+'NPC stats'!F250)*(64+'NPC stats'!P250)</f>
        <v>78176</v>
      </c>
      <c r="H56" s="485">
        <f>'Dps p1'!$D$185</f>
        <v>21390</v>
      </c>
      <c r="I56" s="485">
        <f>'Dps p2'!$D$185</f>
        <v>9920</v>
      </c>
      <c r="J56" s="485">
        <f t="shared" ref="J56:K56" si="35">IF($G56&gt;H56,1-(H56+2)/(2*($G56+1)),$G56/(2*(H56+1)))</f>
        <v>0.8631822659</v>
      </c>
      <c r="K56" s="485">
        <f t="shared" si="35"/>
        <v>0.936541438</v>
      </c>
      <c r="L56" s="482">
        <v>0.0</v>
      </c>
      <c r="M56" s="482">
        <v>47.0</v>
      </c>
      <c r="N56" s="482">
        <f>'Avg dmg taken table 1'!$E$24</f>
        <v>16.5</v>
      </c>
      <c r="O56" s="482">
        <f>'Avg dmg taken table 2'!$E$24</f>
        <v>16.5</v>
      </c>
      <c r="P56" s="482">
        <v>3.6</v>
      </c>
      <c r="Q56" s="485">
        <f> IF(Q3="MELEE",$E56-$E58,$E56) * J56 * ($N56*IF(Q$3=$C56,0,IF(AND(Q$4,$C56="MELEE"),0.5,IF(Q$5,1,IF(Q$7,1,1))))) / $P56</f>
        <v>0</v>
      </c>
      <c r="R56" s="485">
        <f> IF(R3="MELEE",$E56-$E58,$E56) * K56 * ($O56*IF(R$3=$C56,0,IF(AND(R$4,$C56="MELEE"),0.5,IF(R$5,1,IF(R$7,1,1))))) / $P56</f>
        <v>0</v>
      </c>
      <c r="S56" s="485"/>
      <c r="T56" s="485"/>
    </row>
    <row r="57">
      <c r="A57" s="485"/>
      <c r="B57" s="485"/>
      <c r="C57" s="482" t="s">
        <v>35</v>
      </c>
      <c r="D57" s="482" t="s">
        <v>35</v>
      </c>
      <c r="E57" s="507">
        <f t="shared" si="36"/>
        <v>0.4473684211</v>
      </c>
      <c r="F57" s="485"/>
      <c r="G57" s="485">
        <f>(9+'NPC stats'!I250)*(64+'NPC stats'!R250)</f>
        <v>13376</v>
      </c>
      <c r="H57" s="485">
        <f>'Dps p1'!$D$191</f>
        <v>25662</v>
      </c>
      <c r="I57" s="485">
        <f>'Dps p2'!$D$191</f>
        <v>9024</v>
      </c>
      <c r="J57" s="485">
        <f t="shared" ref="J57:K57" si="37">IF($G57&gt;H57,1-(H57+2)/(2*($G57+1)),$G57/(2*(H57+1)))</f>
        <v>0.2606086584</v>
      </c>
      <c r="K57" s="485">
        <f t="shared" si="37"/>
        <v>0.6626298871</v>
      </c>
      <c r="L57" s="482">
        <v>10.0</v>
      </c>
      <c r="M57" s="482">
        <v>30.0</v>
      </c>
      <c r="N57" s="482">
        <f>'Avg dmg taken table 1'!$E$25</f>
        <v>16.5</v>
      </c>
      <c r="O57" s="482">
        <f>'Avg dmg taken table 2'!$E$25</f>
        <v>16.5</v>
      </c>
      <c r="P57" s="482">
        <v>3.6</v>
      </c>
      <c r="Q57" s="485">
        <f> $E57 * J57 * ($N57*IF(Q$3=$C57,0,IF(AND(Q$4,$C57="MELEE"),0.5,IF(Q$5,1,IF(Q$7,1,1))))) / $P57</f>
        <v>0.5343620517</v>
      </c>
      <c r="R57" s="485">
        <f t="shared" ref="R57:R58" si="39"> $E57 * K57 * ($O57*IF(R$3=$C57,0,IF(AND(R$4,$C57="MELEE"),0.5,IF(R$5,1,IF(R$7,1,1))))) / $P57</f>
        <v>1.358681896</v>
      </c>
      <c r="S57" s="485"/>
      <c r="T57" s="485"/>
    </row>
    <row r="58">
      <c r="A58" s="485"/>
      <c r="B58" s="485"/>
      <c r="C58" s="482" t="s">
        <v>1661</v>
      </c>
      <c r="D58" s="482" t="s">
        <v>143</v>
      </c>
      <c r="E58" s="507">
        <f>1/9.5</f>
        <v>0.1052631579</v>
      </c>
      <c r="F58" s="485"/>
      <c r="G58" s="485">
        <f>(9+'NPC stats'!F250)*(64+'NPC stats'!P250)</f>
        <v>78176</v>
      </c>
      <c r="H58" s="485">
        <f>'Dps p1'!$D$185</f>
        <v>21390</v>
      </c>
      <c r="I58" s="485">
        <f>'Dps p2'!$D$185</f>
        <v>9920</v>
      </c>
      <c r="J58" s="485">
        <f t="shared" ref="J58:K58" si="38">IF($G58&gt;H58,1-(H58+2)/(2*($G58+1)),$G58/(2*(H58+1)))</f>
        <v>0.8631822659</v>
      </c>
      <c r="K58" s="485">
        <f t="shared" si="38"/>
        <v>0.936541438</v>
      </c>
      <c r="L58" s="482">
        <v>0.0</v>
      </c>
      <c r="M58" s="482">
        <v>49.0</v>
      </c>
      <c r="N58" s="482">
        <v>24.5</v>
      </c>
      <c r="O58" s="482">
        <v>24.5</v>
      </c>
      <c r="P58" s="482">
        <v>3.6</v>
      </c>
      <c r="Q58" s="485">
        <f> IF(Q3="MELEE",$E58,0) * J58 * ($N58*IF(AND(Q$4,$C58="MELEE"),0.5,IF(Q$5,1,IF(Q$7,1,1)))) / $P58</f>
        <v>0.6183615647</v>
      </c>
      <c r="R58" s="485">
        <f t="shared" si="39"/>
        <v>0.6709141881</v>
      </c>
      <c r="S58" s="485"/>
      <c r="T58" s="485"/>
    </row>
    <row r="59">
      <c r="A59" s="485"/>
      <c r="B59" s="482" t="s">
        <v>1655</v>
      </c>
      <c r="C59" s="482"/>
      <c r="D59" s="485"/>
      <c r="E59" s="507"/>
      <c r="F59" s="485"/>
      <c r="G59" s="485"/>
      <c r="H59" s="485"/>
      <c r="I59" s="485"/>
      <c r="J59" s="485"/>
      <c r="K59" s="485"/>
      <c r="L59" s="482"/>
      <c r="M59" s="482"/>
      <c r="N59" s="482"/>
      <c r="O59" s="482"/>
      <c r="P59" s="482"/>
      <c r="Q59" s="485">
        <f t="shared" ref="Q59:R59" si="40">Q56+Q57+Q58</f>
        <v>1.152723616</v>
      </c>
      <c r="R59" s="485">
        <f t="shared" si="40"/>
        <v>2.029596084</v>
      </c>
      <c r="S59" s="485"/>
      <c r="T59" s="485"/>
    </row>
    <row r="60">
      <c r="A60" s="485"/>
      <c r="B60" s="485" t="str">
        <f>'NPC stats'!A406</f>
        <v>Tstanon Karlak</v>
      </c>
      <c r="C60" s="482" t="s">
        <v>20</v>
      </c>
      <c r="D60" s="482" t="s">
        <v>144</v>
      </c>
      <c r="E60" s="507">
        <v>1.0</v>
      </c>
      <c r="F60" s="485">
        <f>match(B50,'NPC stats'!$A$1:$A84,0)</f>
        <v>149</v>
      </c>
      <c r="G60" s="485">
        <f>(9+'NPC stats'!F149)*(64+'NPC stats'!P149)</f>
        <v>5696</v>
      </c>
      <c r="H60" s="485">
        <f>'Dps p1'!$D$186</f>
        <v>25730</v>
      </c>
      <c r="I60" s="485">
        <f>'Dps p2'!$D$186</f>
        <v>9920</v>
      </c>
      <c r="J60" s="485">
        <f t="shared" ref="J60:K60" si="41">IF($G60&gt;H60,1-(H60+2)/(2*($G60+1)),$G60/(2*(H60+1)))</f>
        <v>0.1106836112</v>
      </c>
      <c r="K60" s="485">
        <f t="shared" si="41"/>
        <v>0.2870678359</v>
      </c>
      <c r="L60" s="482">
        <v>0.0</v>
      </c>
      <c r="M60" s="482">
        <v>15.0</v>
      </c>
      <c r="N60" s="482">
        <f>'Avg dmg taken table 1'!$E$27</f>
        <v>18</v>
      </c>
      <c r="O60" s="482">
        <f>'Avg dmg taken table 2'!$E$27</f>
        <v>18</v>
      </c>
      <c r="P60" s="482">
        <v>3.0</v>
      </c>
      <c r="Q60" s="485">
        <f t="shared" ref="Q60:Q62" si="43"> $E60 * J60 * ($N60*IF(Q$3=$C60,0,IF(AND(Q$4,$C60="MELEE"),0.5,IF(Q$5,1,IF(Q$7,1,1))))) / $P60</f>
        <v>0</v>
      </c>
      <c r="R60" s="485">
        <f t="shared" ref="R60:R62" si="44"> $E60 * K60 * ($O60*IF(R$3=$C60,0,IF(AND(R$4,$C60="MELEE"),0.5,IF(R$5,0.825,IF(R$7,0.8,1))))) / $P60</f>
        <v>0</v>
      </c>
      <c r="S60" s="485"/>
      <c r="T60" s="485"/>
    </row>
    <row r="61">
      <c r="A61" s="485"/>
      <c r="B61" s="485" t="str">
        <f>'NPC stats'!A38</f>
        <v>Balfrug Kreeyath</v>
      </c>
      <c r="C61" s="482" t="s">
        <v>35</v>
      </c>
      <c r="D61" s="482" t="s">
        <v>35</v>
      </c>
      <c r="E61" s="507">
        <v>1.0</v>
      </c>
      <c r="F61" s="485">
        <f>match(B51,'NPC stats'!$A$1:$A84,0)</f>
        <v>434</v>
      </c>
      <c r="G61" s="485">
        <f>(9+'NPC stats'!I434)*(64+'NPC stats'!R434)</f>
        <v>10176</v>
      </c>
      <c r="H61" s="485">
        <f>'Dps p1'!$D$191</f>
        <v>25662</v>
      </c>
      <c r="I61" s="485">
        <f>'Dps p2'!$D$191</f>
        <v>9024</v>
      </c>
      <c r="J61" s="485">
        <f t="shared" ref="J61:K61" si="42">IF($G61&gt;H61,1-(H61+2)/(2*($G61+1)),$G61/(2*(H61+1)))</f>
        <v>0.1982620894</v>
      </c>
      <c r="K61" s="485">
        <f t="shared" si="42"/>
        <v>0.5565490813</v>
      </c>
      <c r="L61" s="482">
        <v>0.0</v>
      </c>
      <c r="M61" s="482">
        <v>16.0</v>
      </c>
      <c r="N61" s="482">
        <f>'Avg dmg taken table 1'!$E$28</f>
        <v>8</v>
      </c>
      <c r="O61" s="482">
        <f>'Avg dmg taken table 2'!$E$28</f>
        <v>8</v>
      </c>
      <c r="P61" s="482">
        <v>3.0</v>
      </c>
      <c r="Q61" s="485">
        <f t="shared" si="43"/>
        <v>0.528698905</v>
      </c>
      <c r="R61" s="485">
        <f t="shared" si="44"/>
        <v>1.484130883</v>
      </c>
      <c r="S61" s="485"/>
      <c r="T61" s="485"/>
    </row>
    <row r="62">
      <c r="A62" s="485"/>
      <c r="B62" s="485" t="str">
        <f>'NPC stats'!A447</f>
        <v>Zakl'n Gritch</v>
      </c>
      <c r="C62" s="482" t="s">
        <v>39</v>
      </c>
      <c r="D62" s="482" t="s">
        <v>39</v>
      </c>
      <c r="E62" s="507">
        <v>1.0</v>
      </c>
      <c r="F62" s="485">
        <f>match(B52,'NPC stats'!$A$1:$A84,0)</f>
        <v>148</v>
      </c>
      <c r="G62" s="485">
        <f>(9+'NPC stats'!J148)*(64+'NPC stats'!T148)</f>
        <v>11392</v>
      </c>
      <c r="H62" s="485">
        <f>'Dps p1'!$D$187</f>
        <v>10695</v>
      </c>
      <c r="I62" s="485">
        <f>'Dps p2'!$D$187</f>
        <v>9920</v>
      </c>
      <c r="J62" s="485">
        <f t="shared" ref="J62:K62" si="45">IF($G62&gt;H62,1-(H62+2)/(2*($G62+1)),$G62/(2*(H62+1)))</f>
        <v>0.5305450715</v>
      </c>
      <c r="K62" s="485">
        <f t="shared" si="45"/>
        <v>0.5645571842</v>
      </c>
      <c r="L62" s="482">
        <v>0.0</v>
      </c>
      <c r="M62" s="482">
        <v>21.0</v>
      </c>
      <c r="N62" s="482">
        <f>'Avg dmg taken table 1'!$E$29</f>
        <v>0</v>
      </c>
      <c r="O62" s="482">
        <f>'Avg dmg taken table 2'!$E$29</f>
        <v>0</v>
      </c>
      <c r="P62" s="482">
        <v>3.0</v>
      </c>
      <c r="Q62" s="485">
        <f t="shared" si="43"/>
        <v>0</v>
      </c>
      <c r="R62" s="485">
        <f t="shared" si="44"/>
        <v>0</v>
      </c>
      <c r="S62" s="485"/>
      <c r="T62" s="485"/>
    </row>
    <row r="63">
      <c r="A63" s="508"/>
      <c r="B63" s="508" t="s">
        <v>113</v>
      </c>
      <c r="C63" s="501"/>
      <c r="D63" s="501"/>
      <c r="E63" s="509"/>
      <c r="F63" s="501"/>
      <c r="G63" s="501"/>
      <c r="H63" s="501"/>
      <c r="I63" s="501"/>
      <c r="J63" s="501"/>
      <c r="K63" s="501"/>
      <c r="L63" s="501"/>
      <c r="M63" s="501"/>
      <c r="N63" s="501"/>
      <c r="O63" s="501"/>
      <c r="P63" s="501"/>
      <c r="Q63" s="501">
        <f t="shared" ref="Q63:R63" si="46">sum(Q59:Q62)</f>
        <v>1.681422522</v>
      </c>
      <c r="R63" s="501">
        <f t="shared" si="46"/>
        <v>3.513726967</v>
      </c>
      <c r="S63" s="501"/>
      <c r="T63" s="501"/>
    </row>
    <row r="64">
      <c r="A64" s="508"/>
      <c r="B64" s="508"/>
      <c r="C64" s="501"/>
      <c r="D64" s="501"/>
      <c r="E64" s="509"/>
      <c r="F64" s="501"/>
      <c r="G64" s="501"/>
      <c r="H64" s="501"/>
      <c r="I64" s="501"/>
      <c r="J64" s="501"/>
      <c r="K64" s="501"/>
      <c r="L64" s="501"/>
      <c r="M64" s="501"/>
      <c r="N64" s="501"/>
      <c r="O64" s="501"/>
      <c r="P64" s="501"/>
      <c r="Q64" s="501"/>
      <c r="R64" s="501"/>
      <c r="S64" s="501"/>
      <c r="T64" s="501"/>
    </row>
    <row r="65">
      <c r="A65" s="508"/>
      <c r="B65" s="508"/>
      <c r="C65" s="501"/>
      <c r="D65" s="501"/>
      <c r="E65" s="509"/>
      <c r="F65" s="501"/>
      <c r="G65" s="501"/>
      <c r="H65" s="501"/>
      <c r="I65" s="501"/>
      <c r="J65" s="501"/>
      <c r="K65" s="501"/>
      <c r="L65" s="501"/>
      <c r="M65" s="501"/>
      <c r="N65" s="501"/>
      <c r="O65" s="501"/>
      <c r="P65" s="501"/>
      <c r="Q65" s="501"/>
      <c r="R65" s="501"/>
      <c r="S65" s="501"/>
      <c r="T65" s="501"/>
    </row>
    <row r="66">
      <c r="A66" s="508"/>
      <c r="B66" s="508" t="s">
        <v>1662</v>
      </c>
      <c r="C66" s="501"/>
      <c r="D66" s="501"/>
      <c r="E66" s="509"/>
      <c r="F66" s="501"/>
      <c r="G66" s="501"/>
      <c r="H66" s="501"/>
      <c r="I66" s="501"/>
      <c r="J66" s="501"/>
      <c r="K66" s="501"/>
      <c r="L66" s="501"/>
      <c r="M66" s="501"/>
      <c r="N66" s="501"/>
      <c r="O66" s="501"/>
      <c r="P66" s="501"/>
      <c r="Q66" s="501"/>
      <c r="R66" s="501"/>
      <c r="S66" s="501"/>
      <c r="T66" s="501"/>
    </row>
    <row r="67">
      <c r="A67" s="482"/>
      <c r="B67" s="482" t="str">
        <f>'Sheet 1'!B75</f>
        <v>Corporeal beast</v>
      </c>
      <c r="C67" s="510" t="s">
        <v>1641</v>
      </c>
      <c r="D67" s="510"/>
      <c r="E67" s="511"/>
      <c r="F67" s="510"/>
      <c r="G67" s="510" t="s">
        <v>139</v>
      </c>
      <c r="H67" s="510" t="s">
        <v>1642</v>
      </c>
      <c r="I67" s="510" t="s">
        <v>1643</v>
      </c>
      <c r="J67" s="510" t="s">
        <v>1644</v>
      </c>
      <c r="K67" s="510" t="s">
        <v>1645</v>
      </c>
      <c r="L67" s="510" t="s">
        <v>1646</v>
      </c>
      <c r="M67" s="510" t="s">
        <v>5</v>
      </c>
      <c r="N67" s="482" t="s">
        <v>1647</v>
      </c>
      <c r="O67" s="482" t="s">
        <v>1648</v>
      </c>
      <c r="P67" s="510" t="s">
        <v>1649</v>
      </c>
      <c r="Q67" s="482" t="s">
        <v>1650</v>
      </c>
      <c r="R67" s="482" t="s">
        <v>1651</v>
      </c>
      <c r="S67" s="485"/>
      <c r="T67" s="485"/>
    </row>
    <row r="68">
      <c r="A68" s="482"/>
      <c r="B68" s="482" t="str">
        <f t="shared" ref="B68:B70" si="48">C68&amp;" ("&amp;D68&amp;")"</f>
        <v>Melee (Stab)</v>
      </c>
      <c r="C68" s="510" t="s">
        <v>20</v>
      </c>
      <c r="D68" s="510" t="s">
        <v>142</v>
      </c>
      <c r="E68" s="484"/>
      <c r="F68" s="485"/>
      <c r="G68" s="485">
        <f>'Sheet 1'!I78</f>
        <v>37506</v>
      </c>
      <c r="H68" s="485">
        <f>'Dps p1'!D184</f>
        <v>23715</v>
      </c>
      <c r="I68" s="485">
        <f>'Dps p2'!D184</f>
        <v>9920</v>
      </c>
      <c r="J68" s="485">
        <f t="shared" ref="J68:K68" si="47">IF($G68&gt;H68,1-(H68+2)/(2*($G68+1)),$G68/(2*(H68+1)))</f>
        <v>0.6838323513</v>
      </c>
      <c r="K68" s="485">
        <f t="shared" si="47"/>
        <v>0.8677313568</v>
      </c>
      <c r="L68" s="482">
        <v>0.0</v>
      </c>
      <c r="M68" s="485">
        <f>'Sheet 1'!M78</f>
        <v>33</v>
      </c>
      <c r="N68" s="485">
        <f>'Avg dmg taken table 1'!E24</f>
        <v>16.5</v>
      </c>
      <c r="O68" s="485">
        <f>'Avg dmg taken table 2'!E24</f>
        <v>16.5</v>
      </c>
      <c r="P68" s="485">
        <f>'Sheet 1'!N78</f>
        <v>0</v>
      </c>
      <c r="Q68" s="485">
        <f t="shared" ref="Q68:Q70" si="50">if(or(Q$3=$C68,$P68=0),0,J68*$N68/$P68)</f>
        <v>0</v>
      </c>
      <c r="R68" s="485">
        <f t="shared" ref="R68:R70" si="51">if(or(R$3=$C68,P68=0),0,K68*$O68/$P68)</f>
        <v>0</v>
      </c>
      <c r="S68" s="485"/>
      <c r="T68" s="485"/>
    </row>
    <row r="69">
      <c r="A69" s="482"/>
      <c r="B69" s="482" t="str">
        <f t="shared" si="48"/>
        <v>Melee (Slash)</v>
      </c>
      <c r="C69" s="510" t="s">
        <v>20</v>
      </c>
      <c r="D69" s="510" t="s">
        <v>143</v>
      </c>
      <c r="E69" s="484"/>
      <c r="F69" s="485"/>
      <c r="G69" s="485">
        <f>'Sheet 1'!I79</f>
        <v>37506</v>
      </c>
      <c r="H69" s="485">
        <f>'Dps p1'!D185</f>
        <v>21390</v>
      </c>
      <c r="I69" s="485">
        <f>'Dps p2'!D185</f>
        <v>9920</v>
      </c>
      <c r="J69" s="485">
        <f t="shared" ref="J69:K69" si="49">IF($G69&gt;H69,1-(H69+2)/(2*($G69+1)),$G69/(2*(H69+1)))</f>
        <v>0.7148265657</v>
      </c>
      <c r="K69" s="485">
        <f t="shared" si="49"/>
        <v>0.8677313568</v>
      </c>
      <c r="L69" s="482">
        <v>0.0</v>
      </c>
      <c r="M69" s="485">
        <f>'Sheet 1'!M79</f>
        <v>33</v>
      </c>
      <c r="N69" s="485">
        <f>'Avg dmg taken table 1'!E25</f>
        <v>16.5</v>
      </c>
      <c r="O69" s="485">
        <f>'Avg dmg taken table 2'!E25</f>
        <v>16.5</v>
      </c>
      <c r="P69" s="485">
        <f>'Sheet 1'!N79</f>
        <v>0</v>
      </c>
      <c r="Q69" s="485">
        <f t="shared" si="50"/>
        <v>0</v>
      </c>
      <c r="R69" s="485">
        <f t="shared" si="51"/>
        <v>0</v>
      </c>
      <c r="S69" s="485"/>
      <c r="T69" s="485"/>
    </row>
    <row r="70">
      <c r="A70" s="482"/>
      <c r="B70" s="482" t="str">
        <f t="shared" si="48"/>
        <v>Melee (Crush)</v>
      </c>
      <c r="C70" s="510" t="s">
        <v>20</v>
      </c>
      <c r="D70" s="510" t="s">
        <v>144</v>
      </c>
      <c r="E70" s="484"/>
      <c r="F70" s="485"/>
      <c r="G70" s="485">
        <f>'Sheet 1'!I80</f>
        <v>37506</v>
      </c>
      <c r="H70" s="485">
        <f>'Dps p1'!D186</f>
        <v>25730</v>
      </c>
      <c r="I70" s="485">
        <f>'Dps p2'!D186</f>
        <v>9920</v>
      </c>
      <c r="J70" s="485">
        <f t="shared" ref="J70:K70" si="52">IF($G70&gt;H70,1-(H70+2)/(2*($G70+1)),$G70/(2*(H70+1)))</f>
        <v>0.6569706988</v>
      </c>
      <c r="K70" s="485">
        <f t="shared" si="52"/>
        <v>0.8677313568</v>
      </c>
      <c r="L70" s="482">
        <v>0.0</v>
      </c>
      <c r="M70" s="485">
        <f>'Sheet 1'!M80</f>
        <v>33</v>
      </c>
      <c r="N70" s="485">
        <f>'Avg dmg taken table 1'!E26</f>
        <v>16.5</v>
      </c>
      <c r="O70" s="485">
        <f>'Avg dmg taken table 2'!E26</f>
        <v>16.5</v>
      </c>
      <c r="P70" s="485">
        <f>'Sheet 1'!N80</f>
        <v>0</v>
      </c>
      <c r="Q70" s="485">
        <f t="shared" si="50"/>
        <v>0</v>
      </c>
      <c r="R70" s="485">
        <f t="shared" si="51"/>
        <v>0</v>
      </c>
      <c r="S70" s="485"/>
      <c r="T70" s="485"/>
    </row>
    <row r="71">
      <c r="A71" s="482"/>
      <c r="B71" s="482"/>
      <c r="C71" s="510"/>
      <c r="D71" s="510"/>
      <c r="E71" s="484"/>
      <c r="F71" s="485"/>
      <c r="G71" s="485"/>
      <c r="H71" s="485"/>
      <c r="I71" s="485"/>
      <c r="J71" s="485"/>
      <c r="K71" s="485"/>
      <c r="L71" s="485"/>
      <c r="M71" s="485"/>
      <c r="N71" s="485"/>
      <c r="O71" s="485"/>
      <c r="P71" s="485"/>
      <c r="Q71" s="485"/>
      <c r="R71" s="485"/>
      <c r="S71" s="485"/>
      <c r="T71" s="485"/>
    </row>
    <row r="72">
      <c r="A72" s="482"/>
      <c r="B72" s="482" t="str">
        <f t="shared" ref="B72:B73" si="54">C72</f>
        <v>Magic</v>
      </c>
      <c r="C72" s="510" t="s">
        <v>35</v>
      </c>
      <c r="D72" s="510" t="s">
        <v>35</v>
      </c>
      <c r="E72" s="484"/>
      <c r="F72" s="485"/>
      <c r="G72" s="485">
        <f>'Sheet 1'!I81</f>
        <v>22976</v>
      </c>
      <c r="H72" s="485">
        <f>'Dps p1'!D191</f>
        <v>25662</v>
      </c>
      <c r="I72" s="485">
        <f>'Dps p2'!D191</f>
        <v>9024</v>
      </c>
      <c r="J72" s="485">
        <f t="shared" ref="J72:K72" si="53">IF($G72&gt;H72,1-(H72+2)/(2*($G72+1)),$G72/(2*(H72+1)))</f>
        <v>0.4476483654</v>
      </c>
      <c r="K72" s="485">
        <f t="shared" si="53"/>
        <v>0.8035861949</v>
      </c>
      <c r="L72" s="482">
        <v>0.0</v>
      </c>
      <c r="M72" s="485">
        <f>'Sheet 1'!M81</f>
        <v>36</v>
      </c>
      <c r="N72" s="485">
        <f>'Avg dmg taken table 1'!E27</f>
        <v>18</v>
      </c>
      <c r="O72" s="485">
        <f>'Avg dmg taken table 2'!E27</f>
        <v>18</v>
      </c>
      <c r="P72" s="485">
        <f>'Sheet 1'!N81</f>
        <v>0</v>
      </c>
      <c r="Q72" s="485">
        <f t="shared" ref="Q72:Q73" si="56">if(or(Q$3=$C72,$P72=0),0,J72*$N72/$P72)</f>
        <v>0</v>
      </c>
      <c r="R72" s="485">
        <f t="shared" ref="R72:R73" si="57">if(or(R$3=$C72,P72=0),0,K72*$O72/$P72)</f>
        <v>0</v>
      </c>
      <c r="S72" s="485"/>
      <c r="T72" s="485"/>
    </row>
    <row r="73">
      <c r="A73" s="482"/>
      <c r="B73" s="482" t="str">
        <f t="shared" si="54"/>
        <v>Ranged</v>
      </c>
      <c r="C73" s="510" t="s">
        <v>39</v>
      </c>
      <c r="D73" s="510" t="s">
        <v>39</v>
      </c>
      <c r="E73" s="484"/>
      <c r="F73" s="485"/>
      <c r="G73" s="485">
        <f>'Sheet 1'!I82</f>
        <v>10176</v>
      </c>
      <c r="H73" s="485">
        <f>'Dps p1'!D187</f>
        <v>10695</v>
      </c>
      <c r="I73" s="485">
        <f>'Dps p2'!D187</f>
        <v>9920</v>
      </c>
      <c r="J73" s="485">
        <f t="shared" ref="J73:K73" si="55">IF($G73&gt;H73,1-(H73+2)/(2*($G73+1)),$G73/(2*(H73+1)))</f>
        <v>0.4756918474</v>
      </c>
      <c r="K73" s="485">
        <f t="shared" si="55"/>
        <v>0.51252825</v>
      </c>
      <c r="L73" s="482">
        <v>0.0</v>
      </c>
      <c r="M73" s="485">
        <f>'Sheet 1'!M82</f>
        <v>16</v>
      </c>
      <c r="N73" s="485">
        <f>'Avg dmg taken table 1'!E28</f>
        <v>8</v>
      </c>
      <c r="O73" s="485">
        <f>'Avg dmg taken table 2'!E28</f>
        <v>8</v>
      </c>
      <c r="P73" s="485">
        <f>'Sheet 1'!N82</f>
        <v>0</v>
      </c>
      <c r="Q73" s="485">
        <f t="shared" si="56"/>
        <v>0</v>
      </c>
      <c r="R73" s="485">
        <f t="shared" si="57"/>
        <v>0</v>
      </c>
      <c r="S73" s="485"/>
      <c r="T73" s="485"/>
    </row>
    <row r="74">
      <c r="A74" s="482"/>
      <c r="B74" s="482"/>
      <c r="C74" s="485"/>
      <c r="D74" s="485"/>
      <c r="E74" s="485"/>
      <c r="F74" s="485"/>
      <c r="G74" s="485"/>
      <c r="H74" s="485"/>
      <c r="I74" s="485"/>
      <c r="J74" s="485"/>
      <c r="K74" s="485"/>
      <c r="L74" s="485"/>
      <c r="M74" s="485"/>
      <c r="N74" s="485"/>
      <c r="O74" s="485"/>
      <c r="P74" s="485"/>
      <c r="Q74" s="485"/>
      <c r="R74" s="485"/>
      <c r="S74" s="485"/>
      <c r="T74" s="485"/>
    </row>
    <row r="75">
      <c r="A75" s="482"/>
      <c r="B75" s="482"/>
      <c r="C75" s="485"/>
      <c r="D75" s="485"/>
      <c r="E75" s="484"/>
      <c r="F75" s="485"/>
      <c r="G75" s="485"/>
      <c r="H75" s="485"/>
      <c r="I75" s="485"/>
      <c r="J75" s="485"/>
      <c r="K75" s="485"/>
      <c r="L75" s="485"/>
      <c r="M75" s="485"/>
      <c r="N75" s="485"/>
      <c r="O75" s="485"/>
      <c r="P75" s="485"/>
      <c r="Q75" s="485"/>
      <c r="R75" s="485"/>
      <c r="S75" s="485"/>
      <c r="T75" s="485"/>
    </row>
    <row r="76">
      <c r="A76" s="482"/>
      <c r="B76" s="482"/>
      <c r="C76" s="485"/>
      <c r="D76" s="485"/>
      <c r="E76" s="484"/>
      <c r="F76" s="485"/>
      <c r="G76" s="485"/>
      <c r="H76" s="485"/>
      <c r="I76" s="485"/>
      <c r="J76" s="485"/>
      <c r="K76" s="485"/>
      <c r="L76" s="485"/>
      <c r="M76" s="485"/>
      <c r="N76" s="485"/>
      <c r="O76" s="485"/>
      <c r="P76" s="485"/>
      <c r="Q76" s="485"/>
      <c r="R76" s="485"/>
      <c r="S76" s="485"/>
      <c r="T76" s="485"/>
    </row>
    <row r="77">
      <c r="A77" s="482"/>
      <c r="B77" s="482"/>
      <c r="C77" s="485"/>
      <c r="D77" s="485"/>
      <c r="E77" s="484"/>
      <c r="F77" s="485"/>
      <c r="G77" s="485"/>
      <c r="H77" s="485"/>
      <c r="I77" s="485"/>
      <c r="J77" s="485"/>
      <c r="K77" s="485"/>
      <c r="L77" s="485"/>
      <c r="M77" s="485"/>
      <c r="N77" s="485"/>
      <c r="O77" s="485"/>
      <c r="P77" s="485"/>
      <c r="Q77" s="485"/>
      <c r="R77" s="485"/>
      <c r="S77" s="485"/>
      <c r="T77" s="485"/>
    </row>
    <row r="78">
      <c r="A78" s="482"/>
      <c r="B78" s="482"/>
      <c r="C78" s="485"/>
      <c r="D78" s="485"/>
      <c r="E78" s="484"/>
      <c r="F78" s="485"/>
      <c r="G78" s="485"/>
      <c r="H78" s="485"/>
      <c r="I78" s="485"/>
      <c r="J78" s="485"/>
      <c r="K78" s="485"/>
      <c r="L78" s="485"/>
      <c r="M78" s="485"/>
      <c r="N78" s="485"/>
      <c r="O78" s="485"/>
      <c r="P78" s="485"/>
      <c r="Q78" s="485"/>
      <c r="R78" s="485"/>
      <c r="S78" s="485"/>
      <c r="T78" s="485"/>
    </row>
    <row r="79">
      <c r="A79" s="482"/>
      <c r="B79" s="482"/>
      <c r="C79" s="485"/>
      <c r="D79" s="485"/>
      <c r="E79" s="484"/>
      <c r="F79" s="485"/>
      <c r="G79" s="485"/>
      <c r="H79" s="485"/>
      <c r="I79" s="485"/>
      <c r="J79" s="485"/>
      <c r="K79" s="485"/>
      <c r="L79" s="485"/>
      <c r="M79" s="485"/>
      <c r="N79" s="485"/>
      <c r="O79" s="485"/>
      <c r="P79" s="485"/>
      <c r="Q79" s="485"/>
      <c r="R79" s="485"/>
      <c r="S79" s="485"/>
      <c r="T79" s="485"/>
    </row>
    <row r="80">
      <c r="A80" s="482"/>
      <c r="B80" s="482"/>
      <c r="C80" s="485"/>
      <c r="D80" s="485"/>
      <c r="E80" s="484"/>
      <c r="F80" s="485"/>
      <c r="G80" s="485"/>
      <c r="H80" s="485"/>
      <c r="I80" s="485"/>
      <c r="J80" s="485"/>
      <c r="K80" s="485"/>
      <c r="L80" s="485"/>
      <c r="M80" s="485"/>
      <c r="N80" s="485"/>
      <c r="O80" s="485"/>
      <c r="P80" s="485"/>
      <c r="Q80" s="485"/>
      <c r="R80" s="485"/>
      <c r="S80" s="485"/>
      <c r="T80" s="485"/>
    </row>
    <row r="81">
      <c r="A81" s="482"/>
      <c r="B81" s="482"/>
      <c r="C81" s="485"/>
      <c r="D81" s="485"/>
      <c r="E81" s="484"/>
      <c r="F81" s="485"/>
      <c r="G81" s="485"/>
      <c r="H81" s="485"/>
      <c r="I81" s="485"/>
      <c r="J81" s="485"/>
      <c r="K81" s="485"/>
      <c r="L81" s="485"/>
      <c r="M81" s="485"/>
      <c r="N81" s="485"/>
      <c r="O81" s="485"/>
      <c r="P81" s="485"/>
      <c r="Q81" s="485"/>
      <c r="R81" s="485"/>
      <c r="S81" s="485"/>
      <c r="T81" s="485"/>
    </row>
    <row r="82">
      <c r="A82" s="482"/>
      <c r="B82" s="482"/>
      <c r="C82" s="485"/>
      <c r="D82" s="485"/>
      <c r="E82" s="484"/>
      <c r="F82" s="485"/>
      <c r="G82" s="485"/>
      <c r="H82" s="485"/>
      <c r="I82" s="485"/>
      <c r="J82" s="485"/>
      <c r="K82" s="485"/>
      <c r="L82" s="485"/>
      <c r="M82" s="485"/>
      <c r="N82" s="485"/>
      <c r="O82" s="485"/>
      <c r="P82" s="485"/>
      <c r="Q82" s="485"/>
      <c r="R82" s="485"/>
      <c r="S82" s="485"/>
      <c r="T82" s="485"/>
    </row>
    <row r="83">
      <c r="A83" s="482"/>
      <c r="B83" s="482"/>
      <c r="C83" s="485"/>
      <c r="D83" s="485"/>
      <c r="E83" s="484"/>
      <c r="F83" s="485"/>
      <c r="G83" s="485"/>
      <c r="H83" s="485"/>
      <c r="I83" s="485"/>
      <c r="J83" s="485"/>
      <c r="K83" s="485"/>
      <c r="L83" s="485"/>
      <c r="M83" s="485"/>
      <c r="N83" s="485"/>
      <c r="O83" s="485"/>
      <c r="P83" s="485"/>
      <c r="Q83" s="485"/>
      <c r="R83" s="485"/>
      <c r="S83" s="485"/>
      <c r="T83" s="485"/>
    </row>
    <row r="84">
      <c r="A84" s="482"/>
      <c r="B84" s="482"/>
      <c r="C84" s="485"/>
      <c r="D84" s="485"/>
      <c r="E84" s="484"/>
      <c r="F84" s="485"/>
      <c r="G84" s="485"/>
      <c r="H84" s="485"/>
      <c r="I84" s="485"/>
      <c r="J84" s="485"/>
      <c r="K84" s="485"/>
      <c r="L84" s="485"/>
      <c r="M84" s="485"/>
      <c r="N84" s="485"/>
      <c r="O84" s="485"/>
      <c r="P84" s="485"/>
      <c r="Q84" s="485"/>
      <c r="R84" s="485"/>
      <c r="S84" s="485"/>
      <c r="T84" s="485"/>
    </row>
  </sheetData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75"/>
  <cols>
    <col customWidth="1" min="1" max="5" width="9.29"/>
    <col customWidth="1" min="6" max="114" width="2.43"/>
  </cols>
  <sheetData>
    <row r="1">
      <c r="A1" s="512" t="s">
        <v>1663</v>
      </c>
      <c r="B1" s="512"/>
      <c r="C1" s="512" t="s">
        <v>1646</v>
      </c>
      <c r="D1" s="513" t="s">
        <v>5</v>
      </c>
      <c r="E1" s="513"/>
      <c r="F1" s="513">
        <v>0.0</v>
      </c>
      <c r="G1" s="513">
        <v>1.0</v>
      </c>
      <c r="H1" s="513">
        <v>2.0</v>
      </c>
      <c r="I1" s="513">
        <v>3.0</v>
      </c>
      <c r="J1" s="513">
        <v>4.0</v>
      </c>
      <c r="K1" s="513">
        <v>5.0</v>
      </c>
      <c r="L1" s="513">
        <v>6.0</v>
      </c>
      <c r="M1" s="513">
        <v>7.0</v>
      </c>
      <c r="N1" s="513">
        <v>8.0</v>
      </c>
      <c r="O1" s="513">
        <v>9.0</v>
      </c>
      <c r="P1" s="513">
        <v>10.0</v>
      </c>
      <c r="Q1" s="513">
        <v>11.0</v>
      </c>
      <c r="R1" s="513">
        <v>12.0</v>
      </c>
      <c r="S1" s="513">
        <v>13.0</v>
      </c>
      <c r="T1" s="513">
        <v>14.0</v>
      </c>
      <c r="U1" s="513">
        <v>15.0</v>
      </c>
      <c r="V1" s="513">
        <v>16.0</v>
      </c>
      <c r="W1" s="513">
        <v>17.0</v>
      </c>
      <c r="X1" s="513">
        <v>18.0</v>
      </c>
      <c r="Y1" s="513">
        <v>19.0</v>
      </c>
      <c r="Z1" s="513">
        <v>20.0</v>
      </c>
      <c r="AA1" s="513">
        <v>21.0</v>
      </c>
      <c r="AB1" s="513">
        <v>22.0</v>
      </c>
      <c r="AC1" s="513">
        <v>23.0</v>
      </c>
      <c r="AD1" s="513">
        <v>24.0</v>
      </c>
      <c r="AE1" s="513">
        <v>25.0</v>
      </c>
      <c r="AF1" s="513">
        <v>26.0</v>
      </c>
      <c r="AG1" s="513">
        <v>27.0</v>
      </c>
      <c r="AH1" s="513">
        <v>28.0</v>
      </c>
      <c r="AI1" s="513">
        <v>29.0</v>
      </c>
      <c r="AJ1" s="513">
        <v>30.0</v>
      </c>
      <c r="AK1" s="513">
        <v>31.0</v>
      </c>
      <c r="AL1" s="513">
        <v>32.0</v>
      </c>
      <c r="AM1" s="513">
        <v>33.0</v>
      </c>
      <c r="AN1" s="513">
        <v>34.0</v>
      </c>
      <c r="AO1" s="513">
        <v>35.0</v>
      </c>
      <c r="AP1" s="513">
        <v>36.0</v>
      </c>
      <c r="AQ1" s="513">
        <v>37.0</v>
      </c>
      <c r="AR1" s="513">
        <v>38.0</v>
      </c>
      <c r="AS1" s="513">
        <v>39.0</v>
      </c>
      <c r="AT1" s="513">
        <v>40.0</v>
      </c>
      <c r="AU1" s="513">
        <v>41.0</v>
      </c>
      <c r="AV1" s="513">
        <v>42.0</v>
      </c>
      <c r="AW1" s="513">
        <v>43.0</v>
      </c>
      <c r="AX1" s="513">
        <v>44.0</v>
      </c>
      <c r="AY1" s="513">
        <v>45.0</v>
      </c>
      <c r="AZ1" s="513">
        <v>46.0</v>
      </c>
      <c r="BA1" s="513">
        <v>47.0</v>
      </c>
      <c r="BB1" s="513">
        <v>48.0</v>
      </c>
      <c r="BC1" s="513">
        <v>49.0</v>
      </c>
      <c r="BD1" s="513">
        <v>50.0</v>
      </c>
      <c r="BE1" s="513">
        <v>51.0</v>
      </c>
      <c r="BF1" s="513">
        <v>52.0</v>
      </c>
      <c r="BG1" s="513">
        <v>53.0</v>
      </c>
      <c r="BH1" s="513">
        <v>54.0</v>
      </c>
      <c r="BI1" s="513">
        <v>55.0</v>
      </c>
      <c r="BJ1" s="513">
        <v>56.0</v>
      </c>
      <c r="BK1" s="513">
        <v>57.0</v>
      </c>
      <c r="BL1" s="513">
        <v>58.0</v>
      </c>
      <c r="BM1" s="513">
        <v>59.0</v>
      </c>
      <c r="BN1" s="513">
        <v>60.0</v>
      </c>
      <c r="BO1" s="513">
        <v>61.0</v>
      </c>
      <c r="BP1" s="513">
        <v>62.0</v>
      </c>
      <c r="BQ1" s="513">
        <v>63.0</v>
      </c>
      <c r="BR1" s="513">
        <v>64.0</v>
      </c>
      <c r="BS1" s="513">
        <v>65.0</v>
      </c>
      <c r="BT1" s="513">
        <v>66.0</v>
      </c>
      <c r="BU1" s="513">
        <v>67.0</v>
      </c>
      <c r="BV1" s="513">
        <v>68.0</v>
      </c>
      <c r="BW1" s="513">
        <v>69.0</v>
      </c>
      <c r="BX1" s="513">
        <v>70.0</v>
      </c>
      <c r="BY1" s="513">
        <v>71.0</v>
      </c>
      <c r="BZ1" s="513">
        <v>72.0</v>
      </c>
      <c r="CA1" s="513">
        <v>73.0</v>
      </c>
      <c r="CB1" s="513">
        <v>74.0</v>
      </c>
      <c r="CC1" s="513">
        <v>75.0</v>
      </c>
      <c r="CD1" s="513">
        <v>76.0</v>
      </c>
      <c r="CE1" s="513">
        <v>77.0</v>
      </c>
      <c r="CF1" s="513">
        <v>78.0</v>
      </c>
      <c r="CG1" s="513">
        <v>79.0</v>
      </c>
      <c r="CH1" s="513">
        <v>80.0</v>
      </c>
      <c r="CI1" s="513">
        <v>81.0</v>
      </c>
      <c r="CJ1" s="513">
        <v>82.0</v>
      </c>
      <c r="CK1" s="513">
        <v>83.0</v>
      </c>
      <c r="CL1" s="513">
        <v>84.0</v>
      </c>
      <c r="CM1" s="513">
        <v>85.0</v>
      </c>
      <c r="CN1" s="513">
        <v>86.0</v>
      </c>
      <c r="CO1" s="513">
        <v>87.0</v>
      </c>
      <c r="CP1" s="513">
        <v>88.0</v>
      </c>
      <c r="CQ1" s="513">
        <v>89.0</v>
      </c>
      <c r="CR1" s="513">
        <v>90.0</v>
      </c>
      <c r="CS1" s="513">
        <v>91.0</v>
      </c>
      <c r="CT1" s="513">
        <v>92.0</v>
      </c>
      <c r="CU1" s="513">
        <v>93.0</v>
      </c>
      <c r="CV1" s="513">
        <v>94.0</v>
      </c>
      <c r="CW1" s="513">
        <v>95.0</v>
      </c>
      <c r="CX1" s="513">
        <v>96.0</v>
      </c>
      <c r="CY1" s="513">
        <v>97.0</v>
      </c>
      <c r="CZ1" s="513">
        <v>98.0</v>
      </c>
      <c r="DA1" s="513">
        <v>99.0</v>
      </c>
      <c r="DB1" s="513">
        <v>100.0</v>
      </c>
      <c r="DC1" s="513">
        <v>101.0</v>
      </c>
      <c r="DD1" s="513">
        <v>102.0</v>
      </c>
      <c r="DE1" s="513">
        <v>103.0</v>
      </c>
      <c r="DF1" s="513">
        <v>104.0</v>
      </c>
      <c r="DG1" s="513">
        <v>105.0</v>
      </c>
      <c r="DH1" s="513">
        <v>106.0</v>
      </c>
      <c r="DI1" s="513">
        <v>107.0</v>
      </c>
      <c r="DJ1" s="513">
        <v>108.0</v>
      </c>
    </row>
    <row r="2">
      <c r="A2" s="513" t="s">
        <v>66</v>
      </c>
      <c r="B2" s="513"/>
      <c r="C2" s="513"/>
      <c r="D2" s="514"/>
      <c r="E2" s="514"/>
      <c r="F2" s="514"/>
      <c r="G2" s="514"/>
      <c r="H2" s="514"/>
      <c r="I2" s="514"/>
      <c r="J2" s="514"/>
      <c r="K2" s="514"/>
      <c r="L2" s="514"/>
      <c r="M2" s="514"/>
      <c r="N2" s="514"/>
      <c r="O2" s="514"/>
      <c r="P2" s="514"/>
      <c r="Q2" s="514"/>
      <c r="R2" s="514"/>
      <c r="S2" s="514"/>
      <c r="T2" s="514"/>
      <c r="U2" s="514"/>
      <c r="V2" s="514"/>
      <c r="W2" s="514"/>
      <c r="X2" s="514"/>
      <c r="Y2" s="514"/>
      <c r="Z2" s="514"/>
      <c r="AA2" s="514"/>
      <c r="AB2" s="514"/>
      <c r="AC2" s="514"/>
      <c r="AD2" s="514"/>
      <c r="AE2" s="514"/>
      <c r="AF2" s="514"/>
      <c r="AG2" s="514"/>
      <c r="AH2" s="514"/>
      <c r="AI2" s="514"/>
      <c r="AJ2" s="514"/>
      <c r="AK2" s="514"/>
      <c r="AL2" s="514"/>
      <c r="AM2" s="514"/>
      <c r="AN2" s="514"/>
      <c r="AO2" s="514"/>
      <c r="AP2" s="514"/>
      <c r="AQ2" s="514"/>
      <c r="AR2" s="514"/>
      <c r="AS2" s="514"/>
      <c r="AT2" s="514"/>
      <c r="AU2" s="514"/>
      <c r="AV2" s="514"/>
      <c r="AW2" s="514"/>
      <c r="AX2" s="514"/>
      <c r="AY2" s="514"/>
      <c r="AZ2" s="514"/>
      <c r="BA2" s="514"/>
      <c r="BB2" s="514"/>
      <c r="BC2" s="514"/>
      <c r="BD2" s="514"/>
      <c r="BE2" s="514"/>
      <c r="BF2" s="514"/>
      <c r="BG2" s="514"/>
      <c r="BH2" s="514"/>
      <c r="BI2" s="514"/>
      <c r="BJ2" s="514"/>
      <c r="BK2" s="514"/>
      <c r="BL2" s="514"/>
      <c r="BM2" s="514"/>
      <c r="BN2" s="514"/>
      <c r="BO2" s="514"/>
      <c r="BP2" s="514"/>
      <c r="BQ2" s="514"/>
      <c r="BR2" s="514"/>
      <c r="BS2" s="514"/>
      <c r="BT2" s="514"/>
      <c r="BU2" s="514"/>
      <c r="BV2" s="514"/>
      <c r="BW2" s="514"/>
      <c r="BX2" s="514"/>
      <c r="BY2" s="514"/>
      <c r="BZ2" s="514"/>
      <c r="CA2" s="514"/>
      <c r="CB2" s="514"/>
      <c r="CC2" s="514"/>
      <c r="CD2" s="514"/>
      <c r="CE2" s="514"/>
      <c r="CF2" s="514"/>
      <c r="CG2" s="514"/>
      <c r="CH2" s="514"/>
      <c r="CI2" s="514"/>
      <c r="CJ2" s="514"/>
      <c r="CK2" s="514"/>
      <c r="CL2" s="514"/>
      <c r="CM2" s="514"/>
      <c r="CN2" s="514"/>
      <c r="CO2" s="514"/>
      <c r="CP2" s="514"/>
      <c r="CQ2" s="514"/>
      <c r="CR2" s="514"/>
      <c r="CS2" s="514"/>
      <c r="CT2" s="514"/>
      <c r="CU2" s="514"/>
      <c r="CV2" s="514"/>
      <c r="CW2" s="514"/>
      <c r="CX2" s="514"/>
      <c r="CY2" s="514"/>
      <c r="CZ2" s="514"/>
      <c r="DA2" s="514"/>
      <c r="DB2" s="514"/>
      <c r="DC2" s="514"/>
      <c r="DD2" s="514"/>
      <c r="DE2" s="514"/>
      <c r="DF2" s="514"/>
      <c r="DG2" s="514"/>
      <c r="DH2" s="514"/>
      <c r="DI2" s="514"/>
      <c r="DJ2" s="514"/>
    </row>
    <row r="3">
      <c r="A3" s="513" t="s">
        <v>899</v>
      </c>
      <c r="B3" s="513" t="str">
        <f>'NPC dps'!Q3</f>
        <v>Melee</v>
      </c>
      <c r="C3" s="513"/>
      <c r="D3" s="514"/>
      <c r="E3" s="514"/>
      <c r="F3" s="514"/>
      <c r="G3" s="514"/>
      <c r="H3" s="514"/>
      <c r="I3" s="514"/>
      <c r="J3" s="514"/>
      <c r="K3" s="514"/>
      <c r="L3" s="514"/>
      <c r="M3" s="514"/>
      <c r="N3" s="514"/>
      <c r="O3" s="514"/>
      <c r="P3" s="514"/>
      <c r="Q3" s="514"/>
      <c r="R3" s="514"/>
      <c r="S3" s="514"/>
      <c r="T3" s="514"/>
      <c r="U3" s="514"/>
      <c r="V3" s="514"/>
      <c r="W3" s="514"/>
      <c r="X3" s="514"/>
      <c r="Y3" s="514"/>
      <c r="Z3" s="514"/>
      <c r="AA3" s="514"/>
      <c r="AB3" s="514"/>
      <c r="AC3" s="514"/>
      <c r="AD3" s="514"/>
      <c r="AE3" s="514"/>
      <c r="AF3" s="514"/>
      <c r="AG3" s="514"/>
      <c r="AH3" s="514"/>
      <c r="AI3" s="514"/>
      <c r="AJ3" s="514"/>
      <c r="AK3" s="514"/>
      <c r="AL3" s="514"/>
      <c r="AM3" s="514"/>
      <c r="AN3" s="514"/>
      <c r="AO3" s="514"/>
      <c r="AP3" s="514"/>
      <c r="AQ3" s="514"/>
      <c r="AR3" s="514"/>
      <c r="AS3" s="514"/>
      <c r="AT3" s="514"/>
      <c r="AU3" s="514"/>
      <c r="AV3" s="514"/>
      <c r="AW3" s="514"/>
      <c r="AX3" s="514"/>
      <c r="AY3" s="514"/>
      <c r="AZ3" s="514"/>
      <c r="BA3" s="514"/>
      <c r="BB3" s="514"/>
      <c r="BC3" s="514"/>
      <c r="BD3" s="514"/>
      <c r="BE3" s="514"/>
      <c r="BF3" s="514"/>
      <c r="BG3" s="514"/>
      <c r="BH3" s="514"/>
      <c r="BI3" s="514"/>
      <c r="BJ3" s="514"/>
      <c r="BK3" s="514"/>
      <c r="BL3" s="514"/>
      <c r="BM3" s="514"/>
      <c r="BN3" s="514"/>
      <c r="BO3" s="514"/>
      <c r="BP3" s="514"/>
      <c r="BQ3" s="514"/>
      <c r="BR3" s="514"/>
      <c r="BS3" s="514"/>
      <c r="BT3" s="514"/>
      <c r="BU3" s="514"/>
      <c r="BV3" s="514"/>
      <c r="BW3" s="514"/>
      <c r="BX3" s="514"/>
      <c r="BY3" s="514"/>
      <c r="BZ3" s="514"/>
      <c r="CA3" s="514"/>
      <c r="CB3" s="514"/>
      <c r="CC3" s="514"/>
      <c r="CD3" s="514"/>
      <c r="CE3" s="514"/>
      <c r="CF3" s="514"/>
      <c r="CG3" s="514"/>
      <c r="CH3" s="514"/>
      <c r="CI3" s="514"/>
      <c r="CJ3" s="514"/>
      <c r="CK3" s="514"/>
      <c r="CL3" s="514"/>
      <c r="CM3" s="514"/>
      <c r="CN3" s="514"/>
      <c r="CO3" s="514"/>
      <c r="CP3" s="514"/>
      <c r="CQ3" s="514"/>
      <c r="CR3" s="514"/>
      <c r="CS3" s="514"/>
      <c r="CT3" s="514"/>
      <c r="CU3" s="514"/>
      <c r="CV3" s="514"/>
      <c r="CW3" s="514"/>
      <c r="CX3" s="514"/>
      <c r="CY3" s="514"/>
      <c r="CZ3" s="514"/>
      <c r="DA3" s="514"/>
      <c r="DB3" s="514"/>
      <c r="DC3" s="514"/>
      <c r="DD3" s="514"/>
      <c r="DE3" s="514"/>
      <c r="DF3" s="514"/>
      <c r="DG3" s="514"/>
      <c r="DH3" s="514"/>
      <c r="DI3" s="514"/>
      <c r="DJ3" s="514"/>
    </row>
    <row r="4">
      <c r="A4" s="513" t="s">
        <v>1664</v>
      </c>
      <c r="B4" s="513" t="b">
        <f>'NPC dps'!Q4</f>
        <v>0</v>
      </c>
      <c r="C4" s="513"/>
      <c r="D4" s="514"/>
      <c r="E4" s="514"/>
      <c r="F4" s="514"/>
      <c r="G4" s="514"/>
      <c r="H4" s="514"/>
      <c r="I4" s="514"/>
      <c r="J4" s="514"/>
      <c r="K4" s="514"/>
      <c r="L4" s="514"/>
      <c r="M4" s="514"/>
      <c r="N4" s="514"/>
      <c r="O4" s="514"/>
      <c r="P4" s="514"/>
      <c r="Q4" s="514"/>
      <c r="R4" s="514"/>
      <c r="S4" s="514"/>
      <c r="T4" s="514"/>
      <c r="U4" s="514"/>
      <c r="V4" s="514"/>
      <c r="W4" s="514"/>
      <c r="X4" s="514"/>
      <c r="Y4" s="514"/>
      <c r="Z4" s="514"/>
      <c r="AA4" s="514"/>
      <c r="AB4" s="514"/>
      <c r="AC4" s="514"/>
      <c r="AD4" s="514"/>
      <c r="AE4" s="514"/>
      <c r="AF4" s="514"/>
      <c r="AG4" s="514"/>
      <c r="AH4" s="514"/>
      <c r="AI4" s="514"/>
      <c r="AJ4" s="514"/>
      <c r="AK4" s="514"/>
      <c r="AL4" s="514"/>
      <c r="AM4" s="514"/>
      <c r="AN4" s="514"/>
      <c r="AO4" s="514"/>
      <c r="AP4" s="514"/>
      <c r="AQ4" s="514"/>
      <c r="AR4" s="514"/>
      <c r="AS4" s="514"/>
      <c r="AT4" s="514"/>
      <c r="AU4" s="514"/>
      <c r="AV4" s="514"/>
      <c r="AW4" s="514"/>
      <c r="AX4" s="514"/>
      <c r="AY4" s="514"/>
      <c r="AZ4" s="514"/>
      <c r="BA4" s="514"/>
      <c r="BB4" s="514"/>
      <c r="BC4" s="514"/>
      <c r="BD4" s="514"/>
      <c r="BE4" s="514"/>
      <c r="BF4" s="514"/>
      <c r="BG4" s="514"/>
      <c r="BH4" s="514"/>
      <c r="BI4" s="514"/>
      <c r="BJ4" s="514"/>
      <c r="BK4" s="514"/>
      <c r="BL4" s="514"/>
      <c r="BM4" s="514"/>
      <c r="BN4" s="514"/>
      <c r="BO4" s="514"/>
      <c r="BP4" s="514"/>
      <c r="BQ4" s="514"/>
      <c r="BR4" s="514"/>
      <c r="BS4" s="514"/>
      <c r="BT4" s="514"/>
      <c r="BU4" s="514"/>
      <c r="BV4" s="514"/>
      <c r="BW4" s="514"/>
      <c r="BX4" s="514"/>
      <c r="BY4" s="514"/>
      <c r="BZ4" s="514"/>
      <c r="CA4" s="514"/>
      <c r="CB4" s="514"/>
      <c r="CC4" s="514"/>
      <c r="CD4" s="514"/>
      <c r="CE4" s="514"/>
      <c r="CF4" s="514"/>
      <c r="CG4" s="514"/>
      <c r="CH4" s="514"/>
      <c r="CI4" s="514"/>
      <c r="CJ4" s="514"/>
      <c r="CK4" s="514"/>
      <c r="CL4" s="514"/>
      <c r="CM4" s="514"/>
      <c r="CN4" s="514"/>
      <c r="CO4" s="514"/>
      <c r="CP4" s="514"/>
      <c r="CQ4" s="514"/>
      <c r="CR4" s="514"/>
      <c r="CS4" s="514"/>
      <c r="CT4" s="514"/>
      <c r="CU4" s="514"/>
      <c r="CV4" s="514"/>
      <c r="CW4" s="514"/>
      <c r="CX4" s="514"/>
      <c r="CY4" s="514"/>
      <c r="CZ4" s="514"/>
      <c r="DA4" s="514"/>
      <c r="DB4" s="514"/>
      <c r="DC4" s="514"/>
      <c r="DD4" s="514"/>
      <c r="DE4" s="514"/>
      <c r="DF4" s="514"/>
      <c r="DG4" s="514"/>
      <c r="DH4" s="514"/>
      <c r="DI4" s="514"/>
      <c r="DJ4" s="514"/>
    </row>
    <row r="5">
      <c r="A5" s="513" t="s">
        <v>1665</v>
      </c>
      <c r="B5" s="513" t="b">
        <f>'NPC dps'!Q5</f>
        <v>0</v>
      </c>
      <c r="C5" s="515"/>
      <c r="D5" s="516" t="str">
        <f t="shared" ref="D5:D6" si="2">if(B5,0.75,"")</f>
        <v/>
      </c>
      <c r="E5" s="516">
        <f>if(B5,0.75,1)</f>
        <v>1</v>
      </c>
      <c r="F5" s="514">
        <f t="shared" ref="F5:DJ5" si="1">int(F1*$E$5)</f>
        <v>0</v>
      </c>
      <c r="G5" s="514">
        <f t="shared" si="1"/>
        <v>1</v>
      </c>
      <c r="H5" s="514">
        <f t="shared" si="1"/>
        <v>2</v>
      </c>
      <c r="I5" s="514">
        <f t="shared" si="1"/>
        <v>3</v>
      </c>
      <c r="J5" s="514">
        <f t="shared" si="1"/>
        <v>4</v>
      </c>
      <c r="K5" s="514">
        <f t="shared" si="1"/>
        <v>5</v>
      </c>
      <c r="L5" s="514">
        <f t="shared" si="1"/>
        <v>6</v>
      </c>
      <c r="M5" s="514">
        <f t="shared" si="1"/>
        <v>7</v>
      </c>
      <c r="N5" s="514">
        <f t="shared" si="1"/>
        <v>8</v>
      </c>
      <c r="O5" s="514">
        <f t="shared" si="1"/>
        <v>9</v>
      </c>
      <c r="P5" s="514">
        <f t="shared" si="1"/>
        <v>10</v>
      </c>
      <c r="Q5" s="514">
        <f t="shared" si="1"/>
        <v>11</v>
      </c>
      <c r="R5" s="514">
        <f t="shared" si="1"/>
        <v>12</v>
      </c>
      <c r="S5" s="514">
        <f t="shared" si="1"/>
        <v>13</v>
      </c>
      <c r="T5" s="514">
        <f t="shared" si="1"/>
        <v>14</v>
      </c>
      <c r="U5" s="514">
        <f t="shared" si="1"/>
        <v>15</v>
      </c>
      <c r="V5" s="514">
        <f t="shared" si="1"/>
        <v>16</v>
      </c>
      <c r="W5" s="514">
        <f t="shared" si="1"/>
        <v>17</v>
      </c>
      <c r="X5" s="514">
        <f t="shared" si="1"/>
        <v>18</v>
      </c>
      <c r="Y5" s="514">
        <f t="shared" si="1"/>
        <v>19</v>
      </c>
      <c r="Z5" s="514">
        <f t="shared" si="1"/>
        <v>20</v>
      </c>
      <c r="AA5" s="514">
        <f t="shared" si="1"/>
        <v>21</v>
      </c>
      <c r="AB5" s="514">
        <f t="shared" si="1"/>
        <v>22</v>
      </c>
      <c r="AC5" s="514">
        <f t="shared" si="1"/>
        <v>23</v>
      </c>
      <c r="AD5" s="514">
        <f t="shared" si="1"/>
        <v>24</v>
      </c>
      <c r="AE5" s="514">
        <f t="shared" si="1"/>
        <v>25</v>
      </c>
      <c r="AF5" s="514">
        <f t="shared" si="1"/>
        <v>26</v>
      </c>
      <c r="AG5" s="514">
        <f t="shared" si="1"/>
        <v>27</v>
      </c>
      <c r="AH5" s="514">
        <f t="shared" si="1"/>
        <v>28</v>
      </c>
      <c r="AI5" s="514">
        <f t="shared" si="1"/>
        <v>29</v>
      </c>
      <c r="AJ5" s="514">
        <f t="shared" si="1"/>
        <v>30</v>
      </c>
      <c r="AK5" s="514">
        <f t="shared" si="1"/>
        <v>31</v>
      </c>
      <c r="AL5" s="514">
        <f t="shared" si="1"/>
        <v>32</v>
      </c>
      <c r="AM5" s="514">
        <f t="shared" si="1"/>
        <v>33</v>
      </c>
      <c r="AN5" s="514">
        <f t="shared" si="1"/>
        <v>34</v>
      </c>
      <c r="AO5" s="514">
        <f t="shared" si="1"/>
        <v>35</v>
      </c>
      <c r="AP5" s="514">
        <f t="shared" si="1"/>
        <v>36</v>
      </c>
      <c r="AQ5" s="514">
        <f t="shared" si="1"/>
        <v>37</v>
      </c>
      <c r="AR5" s="514">
        <f t="shared" si="1"/>
        <v>38</v>
      </c>
      <c r="AS5" s="514">
        <f t="shared" si="1"/>
        <v>39</v>
      </c>
      <c r="AT5" s="514">
        <f t="shared" si="1"/>
        <v>40</v>
      </c>
      <c r="AU5" s="514">
        <f t="shared" si="1"/>
        <v>41</v>
      </c>
      <c r="AV5" s="514">
        <f t="shared" si="1"/>
        <v>42</v>
      </c>
      <c r="AW5" s="514">
        <f t="shared" si="1"/>
        <v>43</v>
      </c>
      <c r="AX5" s="514">
        <f t="shared" si="1"/>
        <v>44</v>
      </c>
      <c r="AY5" s="514">
        <f t="shared" si="1"/>
        <v>45</v>
      </c>
      <c r="AZ5" s="514">
        <f t="shared" si="1"/>
        <v>46</v>
      </c>
      <c r="BA5" s="514">
        <f t="shared" si="1"/>
        <v>47</v>
      </c>
      <c r="BB5" s="514">
        <f t="shared" si="1"/>
        <v>48</v>
      </c>
      <c r="BC5" s="514">
        <f t="shared" si="1"/>
        <v>49</v>
      </c>
      <c r="BD5" s="514">
        <f t="shared" si="1"/>
        <v>50</v>
      </c>
      <c r="BE5" s="514">
        <f t="shared" si="1"/>
        <v>51</v>
      </c>
      <c r="BF5" s="514">
        <f t="shared" si="1"/>
        <v>52</v>
      </c>
      <c r="BG5" s="514">
        <f t="shared" si="1"/>
        <v>53</v>
      </c>
      <c r="BH5" s="514">
        <f t="shared" si="1"/>
        <v>54</v>
      </c>
      <c r="BI5" s="514">
        <f t="shared" si="1"/>
        <v>55</v>
      </c>
      <c r="BJ5" s="514">
        <f t="shared" si="1"/>
        <v>56</v>
      </c>
      <c r="BK5" s="514">
        <f t="shared" si="1"/>
        <v>57</v>
      </c>
      <c r="BL5" s="514">
        <f t="shared" si="1"/>
        <v>58</v>
      </c>
      <c r="BM5" s="514">
        <f t="shared" si="1"/>
        <v>59</v>
      </c>
      <c r="BN5" s="514">
        <f t="shared" si="1"/>
        <v>60</v>
      </c>
      <c r="BO5" s="514">
        <f t="shared" si="1"/>
        <v>61</v>
      </c>
      <c r="BP5" s="514">
        <f t="shared" si="1"/>
        <v>62</v>
      </c>
      <c r="BQ5" s="514">
        <f t="shared" si="1"/>
        <v>63</v>
      </c>
      <c r="BR5" s="514">
        <f t="shared" si="1"/>
        <v>64</v>
      </c>
      <c r="BS5" s="514">
        <f t="shared" si="1"/>
        <v>65</v>
      </c>
      <c r="BT5" s="514">
        <f t="shared" si="1"/>
        <v>66</v>
      </c>
      <c r="BU5" s="514">
        <f t="shared" si="1"/>
        <v>67</v>
      </c>
      <c r="BV5" s="514">
        <f t="shared" si="1"/>
        <v>68</v>
      </c>
      <c r="BW5" s="514">
        <f t="shared" si="1"/>
        <v>69</v>
      </c>
      <c r="BX5" s="514">
        <f t="shared" si="1"/>
        <v>70</v>
      </c>
      <c r="BY5" s="514">
        <f t="shared" si="1"/>
        <v>71</v>
      </c>
      <c r="BZ5" s="514">
        <f t="shared" si="1"/>
        <v>72</v>
      </c>
      <c r="CA5" s="514">
        <f t="shared" si="1"/>
        <v>73</v>
      </c>
      <c r="CB5" s="514">
        <f t="shared" si="1"/>
        <v>74</v>
      </c>
      <c r="CC5" s="514">
        <f t="shared" si="1"/>
        <v>75</v>
      </c>
      <c r="CD5" s="514">
        <f t="shared" si="1"/>
        <v>76</v>
      </c>
      <c r="CE5" s="514">
        <f t="shared" si="1"/>
        <v>77</v>
      </c>
      <c r="CF5" s="514">
        <f t="shared" si="1"/>
        <v>78</v>
      </c>
      <c r="CG5" s="514">
        <f t="shared" si="1"/>
        <v>79</v>
      </c>
      <c r="CH5" s="514">
        <f t="shared" si="1"/>
        <v>80</v>
      </c>
      <c r="CI5" s="514">
        <f t="shared" si="1"/>
        <v>81</v>
      </c>
      <c r="CJ5" s="514">
        <f t="shared" si="1"/>
        <v>82</v>
      </c>
      <c r="CK5" s="514">
        <f t="shared" si="1"/>
        <v>83</v>
      </c>
      <c r="CL5" s="514">
        <f t="shared" si="1"/>
        <v>84</v>
      </c>
      <c r="CM5" s="514">
        <f t="shared" si="1"/>
        <v>85</v>
      </c>
      <c r="CN5" s="514">
        <f t="shared" si="1"/>
        <v>86</v>
      </c>
      <c r="CO5" s="514">
        <f t="shared" si="1"/>
        <v>87</v>
      </c>
      <c r="CP5" s="514">
        <f t="shared" si="1"/>
        <v>88</v>
      </c>
      <c r="CQ5" s="514">
        <f t="shared" si="1"/>
        <v>89</v>
      </c>
      <c r="CR5" s="514">
        <f t="shared" si="1"/>
        <v>90</v>
      </c>
      <c r="CS5" s="514">
        <f t="shared" si="1"/>
        <v>91</v>
      </c>
      <c r="CT5" s="514">
        <f t="shared" si="1"/>
        <v>92</v>
      </c>
      <c r="CU5" s="514">
        <f t="shared" si="1"/>
        <v>93</v>
      </c>
      <c r="CV5" s="514">
        <f t="shared" si="1"/>
        <v>94</v>
      </c>
      <c r="CW5" s="514">
        <f t="shared" si="1"/>
        <v>95</v>
      </c>
      <c r="CX5" s="514">
        <f t="shared" si="1"/>
        <v>96</v>
      </c>
      <c r="CY5" s="514">
        <f t="shared" si="1"/>
        <v>97</v>
      </c>
      <c r="CZ5" s="514">
        <f t="shared" si="1"/>
        <v>98</v>
      </c>
      <c r="DA5" s="514">
        <f t="shared" si="1"/>
        <v>99</v>
      </c>
      <c r="DB5" s="514">
        <f t="shared" si="1"/>
        <v>100</v>
      </c>
      <c r="DC5" s="514">
        <f t="shared" si="1"/>
        <v>101</v>
      </c>
      <c r="DD5" s="514">
        <f t="shared" si="1"/>
        <v>102</v>
      </c>
      <c r="DE5" s="514">
        <f t="shared" si="1"/>
        <v>103</v>
      </c>
      <c r="DF5" s="514">
        <f t="shared" si="1"/>
        <v>104</v>
      </c>
      <c r="DG5" s="514">
        <f t="shared" si="1"/>
        <v>105</v>
      </c>
      <c r="DH5" s="514">
        <f t="shared" si="1"/>
        <v>106</v>
      </c>
      <c r="DI5" s="514">
        <f t="shared" si="1"/>
        <v>107</v>
      </c>
      <c r="DJ5" s="514">
        <f t="shared" si="1"/>
        <v>108</v>
      </c>
    </row>
    <row r="6">
      <c r="A6" s="513" t="s">
        <v>1666</v>
      </c>
      <c r="B6" s="513" t="b">
        <f>'NPC dps'!Q7</f>
        <v>0</v>
      </c>
      <c r="C6" s="513"/>
      <c r="D6" s="516" t="str">
        <f t="shared" si="2"/>
        <v/>
      </c>
      <c r="E6" s="517"/>
      <c r="F6" s="514"/>
      <c r="G6" s="514"/>
      <c r="H6" s="514"/>
      <c r="I6" s="514"/>
      <c r="J6" s="514"/>
      <c r="K6" s="514"/>
      <c r="L6" s="514"/>
      <c r="M6" s="514"/>
      <c r="N6" s="514"/>
      <c r="O6" s="514"/>
      <c r="P6" s="514"/>
      <c r="Q6" s="514"/>
      <c r="R6" s="514"/>
      <c r="S6" s="514"/>
      <c r="T6" s="514"/>
      <c r="U6" s="514"/>
      <c r="V6" s="514"/>
      <c r="W6" s="514"/>
      <c r="X6" s="514"/>
      <c r="Y6" s="514"/>
      <c r="Z6" s="514"/>
      <c r="AA6" s="514"/>
      <c r="AB6" s="514"/>
      <c r="AC6" s="514"/>
      <c r="AD6" s="514"/>
      <c r="AE6" s="514"/>
      <c r="AF6" s="514"/>
      <c r="AG6" s="514"/>
      <c r="AH6" s="514"/>
      <c r="AI6" s="514"/>
      <c r="AJ6" s="514"/>
      <c r="AK6" s="514"/>
      <c r="AL6" s="514"/>
      <c r="AM6" s="514"/>
      <c r="AN6" s="514"/>
      <c r="AO6" s="514"/>
      <c r="AP6" s="514"/>
      <c r="AQ6" s="514"/>
      <c r="AR6" s="514"/>
      <c r="AS6" s="514"/>
      <c r="AT6" s="514"/>
      <c r="AU6" s="514"/>
      <c r="AV6" s="514"/>
      <c r="AW6" s="514"/>
      <c r="AX6" s="514"/>
      <c r="AY6" s="514"/>
      <c r="AZ6" s="514"/>
      <c r="BA6" s="514"/>
      <c r="BB6" s="514"/>
      <c r="BC6" s="514"/>
      <c r="BD6" s="514"/>
      <c r="BE6" s="514"/>
      <c r="BF6" s="514"/>
      <c r="BG6" s="514"/>
      <c r="BH6" s="514"/>
      <c r="BI6" s="514"/>
      <c r="BJ6" s="514"/>
      <c r="BK6" s="514"/>
      <c r="BL6" s="514"/>
      <c r="BM6" s="514"/>
      <c r="BN6" s="514"/>
      <c r="BO6" s="514"/>
      <c r="BP6" s="514"/>
      <c r="BQ6" s="514"/>
      <c r="BR6" s="514"/>
      <c r="BS6" s="514"/>
      <c r="BT6" s="514"/>
      <c r="BU6" s="514"/>
      <c r="BV6" s="514"/>
      <c r="BW6" s="514"/>
      <c r="BX6" s="514"/>
      <c r="BY6" s="514"/>
      <c r="BZ6" s="514"/>
      <c r="CA6" s="514"/>
      <c r="CB6" s="514"/>
      <c r="CC6" s="514"/>
      <c r="CD6" s="514"/>
      <c r="CE6" s="514"/>
      <c r="CF6" s="514"/>
      <c r="CG6" s="514"/>
      <c r="CH6" s="514"/>
      <c r="CI6" s="514"/>
      <c r="CJ6" s="514"/>
      <c r="CK6" s="514"/>
      <c r="CL6" s="514"/>
      <c r="CM6" s="514"/>
      <c r="CN6" s="514"/>
      <c r="CO6" s="514"/>
      <c r="CP6" s="514"/>
      <c r="CQ6" s="514"/>
      <c r="CR6" s="514"/>
      <c r="CS6" s="514"/>
      <c r="CT6" s="514"/>
      <c r="CU6" s="514"/>
      <c r="CV6" s="514"/>
      <c r="CW6" s="514"/>
      <c r="CX6" s="514"/>
      <c r="CY6" s="514"/>
      <c r="CZ6" s="514"/>
      <c r="DA6" s="514"/>
      <c r="DB6" s="514"/>
      <c r="DC6" s="514"/>
      <c r="DD6" s="514"/>
      <c r="DE6" s="514"/>
      <c r="DF6" s="514"/>
      <c r="DG6" s="514"/>
      <c r="DH6" s="514"/>
      <c r="DI6" s="514"/>
      <c r="DJ6" s="514"/>
    </row>
    <row r="7">
      <c r="A7" s="513" t="s">
        <v>1640</v>
      </c>
      <c r="B7" s="513" t="b">
        <f>'NPC dps'!Q6</f>
        <v>0</v>
      </c>
      <c r="C7" s="513" t="s">
        <v>142</v>
      </c>
      <c r="D7" s="516">
        <f>if(B8,0.25,if(B7,1,0))</f>
        <v>0</v>
      </c>
      <c r="E7" s="516">
        <f>1-'Sheet 1'!H51/3000</f>
        <v>0.9703333333</v>
      </c>
      <c r="F7" s="514">
        <f t="shared" ref="F7:DJ7" si="3">int(F$1*$E7)</f>
        <v>0</v>
      </c>
      <c r="G7" s="514">
        <f t="shared" si="3"/>
        <v>0</v>
      </c>
      <c r="H7" s="514">
        <f t="shared" si="3"/>
        <v>1</v>
      </c>
      <c r="I7" s="514">
        <f t="shared" si="3"/>
        <v>2</v>
      </c>
      <c r="J7" s="514">
        <f t="shared" si="3"/>
        <v>3</v>
      </c>
      <c r="K7" s="514">
        <f t="shared" si="3"/>
        <v>4</v>
      </c>
      <c r="L7" s="514">
        <f t="shared" si="3"/>
        <v>5</v>
      </c>
      <c r="M7" s="514">
        <f t="shared" si="3"/>
        <v>6</v>
      </c>
      <c r="N7" s="514">
        <f t="shared" si="3"/>
        <v>7</v>
      </c>
      <c r="O7" s="514">
        <f t="shared" si="3"/>
        <v>8</v>
      </c>
      <c r="P7" s="514">
        <f t="shared" si="3"/>
        <v>9</v>
      </c>
      <c r="Q7" s="514">
        <f t="shared" si="3"/>
        <v>10</v>
      </c>
      <c r="R7" s="514">
        <f t="shared" si="3"/>
        <v>11</v>
      </c>
      <c r="S7" s="514">
        <f t="shared" si="3"/>
        <v>12</v>
      </c>
      <c r="T7" s="514">
        <f t="shared" si="3"/>
        <v>13</v>
      </c>
      <c r="U7" s="514">
        <f t="shared" si="3"/>
        <v>14</v>
      </c>
      <c r="V7" s="514">
        <f t="shared" si="3"/>
        <v>15</v>
      </c>
      <c r="W7" s="514">
        <f t="shared" si="3"/>
        <v>16</v>
      </c>
      <c r="X7" s="514">
        <f t="shared" si="3"/>
        <v>17</v>
      </c>
      <c r="Y7" s="514">
        <f t="shared" si="3"/>
        <v>18</v>
      </c>
      <c r="Z7" s="514">
        <f t="shared" si="3"/>
        <v>19</v>
      </c>
      <c r="AA7" s="514">
        <f t="shared" si="3"/>
        <v>20</v>
      </c>
      <c r="AB7" s="514">
        <f t="shared" si="3"/>
        <v>21</v>
      </c>
      <c r="AC7" s="514">
        <f t="shared" si="3"/>
        <v>22</v>
      </c>
      <c r="AD7" s="514">
        <f t="shared" si="3"/>
        <v>23</v>
      </c>
      <c r="AE7" s="514">
        <f t="shared" si="3"/>
        <v>24</v>
      </c>
      <c r="AF7" s="514">
        <f t="shared" si="3"/>
        <v>25</v>
      </c>
      <c r="AG7" s="514">
        <f t="shared" si="3"/>
        <v>26</v>
      </c>
      <c r="AH7" s="514">
        <f t="shared" si="3"/>
        <v>27</v>
      </c>
      <c r="AI7" s="514">
        <f t="shared" si="3"/>
        <v>28</v>
      </c>
      <c r="AJ7" s="514">
        <f t="shared" si="3"/>
        <v>29</v>
      </c>
      <c r="AK7" s="514">
        <f t="shared" si="3"/>
        <v>30</v>
      </c>
      <c r="AL7" s="514">
        <f t="shared" si="3"/>
        <v>31</v>
      </c>
      <c r="AM7" s="514">
        <f t="shared" si="3"/>
        <v>32</v>
      </c>
      <c r="AN7" s="514">
        <f t="shared" si="3"/>
        <v>32</v>
      </c>
      <c r="AO7" s="514">
        <f t="shared" si="3"/>
        <v>33</v>
      </c>
      <c r="AP7" s="514">
        <f t="shared" si="3"/>
        <v>34</v>
      </c>
      <c r="AQ7" s="514">
        <f t="shared" si="3"/>
        <v>35</v>
      </c>
      <c r="AR7" s="514">
        <f t="shared" si="3"/>
        <v>36</v>
      </c>
      <c r="AS7" s="514">
        <f t="shared" si="3"/>
        <v>37</v>
      </c>
      <c r="AT7" s="514">
        <f t="shared" si="3"/>
        <v>38</v>
      </c>
      <c r="AU7" s="514">
        <f t="shared" si="3"/>
        <v>39</v>
      </c>
      <c r="AV7" s="514">
        <f t="shared" si="3"/>
        <v>40</v>
      </c>
      <c r="AW7" s="514">
        <f t="shared" si="3"/>
        <v>41</v>
      </c>
      <c r="AX7" s="514">
        <f t="shared" si="3"/>
        <v>42</v>
      </c>
      <c r="AY7" s="514">
        <f t="shared" si="3"/>
        <v>43</v>
      </c>
      <c r="AZ7" s="514">
        <f t="shared" si="3"/>
        <v>44</v>
      </c>
      <c r="BA7" s="514">
        <f t="shared" si="3"/>
        <v>45</v>
      </c>
      <c r="BB7" s="514">
        <f t="shared" si="3"/>
        <v>46</v>
      </c>
      <c r="BC7" s="514">
        <f t="shared" si="3"/>
        <v>47</v>
      </c>
      <c r="BD7" s="514">
        <f t="shared" si="3"/>
        <v>48</v>
      </c>
      <c r="BE7" s="514">
        <f t="shared" si="3"/>
        <v>49</v>
      </c>
      <c r="BF7" s="514">
        <f t="shared" si="3"/>
        <v>50</v>
      </c>
      <c r="BG7" s="514">
        <f t="shared" si="3"/>
        <v>51</v>
      </c>
      <c r="BH7" s="514">
        <f t="shared" si="3"/>
        <v>52</v>
      </c>
      <c r="BI7" s="514">
        <f t="shared" si="3"/>
        <v>53</v>
      </c>
      <c r="BJ7" s="514">
        <f t="shared" si="3"/>
        <v>54</v>
      </c>
      <c r="BK7" s="514">
        <f t="shared" si="3"/>
        <v>55</v>
      </c>
      <c r="BL7" s="514">
        <f t="shared" si="3"/>
        <v>56</v>
      </c>
      <c r="BM7" s="514">
        <f t="shared" si="3"/>
        <v>57</v>
      </c>
      <c r="BN7" s="514">
        <f t="shared" si="3"/>
        <v>58</v>
      </c>
      <c r="BO7" s="514">
        <f t="shared" si="3"/>
        <v>59</v>
      </c>
      <c r="BP7" s="514">
        <f t="shared" si="3"/>
        <v>60</v>
      </c>
      <c r="BQ7" s="514">
        <f t="shared" si="3"/>
        <v>61</v>
      </c>
      <c r="BR7" s="514">
        <f t="shared" si="3"/>
        <v>62</v>
      </c>
      <c r="BS7" s="514">
        <f t="shared" si="3"/>
        <v>63</v>
      </c>
      <c r="BT7" s="514">
        <f t="shared" si="3"/>
        <v>64</v>
      </c>
      <c r="BU7" s="514">
        <f t="shared" si="3"/>
        <v>65</v>
      </c>
      <c r="BV7" s="514">
        <f t="shared" si="3"/>
        <v>65</v>
      </c>
      <c r="BW7" s="514">
        <f t="shared" si="3"/>
        <v>66</v>
      </c>
      <c r="BX7" s="514">
        <f t="shared" si="3"/>
        <v>67</v>
      </c>
      <c r="BY7" s="514">
        <f t="shared" si="3"/>
        <v>68</v>
      </c>
      <c r="BZ7" s="514">
        <f t="shared" si="3"/>
        <v>69</v>
      </c>
      <c r="CA7" s="514">
        <f t="shared" si="3"/>
        <v>70</v>
      </c>
      <c r="CB7" s="514">
        <f t="shared" si="3"/>
        <v>71</v>
      </c>
      <c r="CC7" s="514">
        <f t="shared" si="3"/>
        <v>72</v>
      </c>
      <c r="CD7" s="514">
        <f t="shared" si="3"/>
        <v>73</v>
      </c>
      <c r="CE7" s="514">
        <f t="shared" si="3"/>
        <v>74</v>
      </c>
      <c r="CF7" s="514">
        <f t="shared" si="3"/>
        <v>75</v>
      </c>
      <c r="CG7" s="514">
        <f t="shared" si="3"/>
        <v>76</v>
      </c>
      <c r="CH7" s="514">
        <f t="shared" si="3"/>
        <v>77</v>
      </c>
      <c r="CI7" s="514">
        <f t="shared" si="3"/>
        <v>78</v>
      </c>
      <c r="CJ7" s="514">
        <f t="shared" si="3"/>
        <v>79</v>
      </c>
      <c r="CK7" s="514">
        <f t="shared" si="3"/>
        <v>80</v>
      </c>
      <c r="CL7" s="514">
        <f t="shared" si="3"/>
        <v>81</v>
      </c>
      <c r="CM7" s="514">
        <f t="shared" si="3"/>
        <v>82</v>
      </c>
      <c r="CN7" s="514">
        <f t="shared" si="3"/>
        <v>83</v>
      </c>
      <c r="CO7" s="514">
        <f t="shared" si="3"/>
        <v>84</v>
      </c>
      <c r="CP7" s="514">
        <f t="shared" si="3"/>
        <v>85</v>
      </c>
      <c r="CQ7" s="514">
        <f t="shared" si="3"/>
        <v>86</v>
      </c>
      <c r="CR7" s="514">
        <f t="shared" si="3"/>
        <v>87</v>
      </c>
      <c r="CS7" s="514">
        <f t="shared" si="3"/>
        <v>88</v>
      </c>
      <c r="CT7" s="514">
        <f t="shared" si="3"/>
        <v>89</v>
      </c>
      <c r="CU7" s="514">
        <f t="shared" si="3"/>
        <v>90</v>
      </c>
      <c r="CV7" s="514">
        <f t="shared" si="3"/>
        <v>91</v>
      </c>
      <c r="CW7" s="514">
        <f t="shared" si="3"/>
        <v>92</v>
      </c>
      <c r="CX7" s="514">
        <f t="shared" si="3"/>
        <v>93</v>
      </c>
      <c r="CY7" s="514">
        <f t="shared" si="3"/>
        <v>94</v>
      </c>
      <c r="CZ7" s="514">
        <f t="shared" si="3"/>
        <v>95</v>
      </c>
      <c r="DA7" s="514">
        <f t="shared" si="3"/>
        <v>96</v>
      </c>
      <c r="DB7" s="514">
        <f t="shared" si="3"/>
        <v>97</v>
      </c>
      <c r="DC7" s="514">
        <f t="shared" si="3"/>
        <v>98</v>
      </c>
      <c r="DD7" s="514">
        <f t="shared" si="3"/>
        <v>98</v>
      </c>
      <c r="DE7" s="514">
        <f t="shared" si="3"/>
        <v>99</v>
      </c>
      <c r="DF7" s="514">
        <f t="shared" si="3"/>
        <v>100</v>
      </c>
      <c r="DG7" s="514">
        <f t="shared" si="3"/>
        <v>101</v>
      </c>
      <c r="DH7" s="514">
        <f t="shared" si="3"/>
        <v>102</v>
      </c>
      <c r="DI7" s="514">
        <f t="shared" si="3"/>
        <v>103</v>
      </c>
      <c r="DJ7" s="514">
        <f t="shared" si="3"/>
        <v>104</v>
      </c>
    </row>
    <row r="8">
      <c r="A8" s="513" t="s">
        <v>1667</v>
      </c>
      <c r="B8" s="513" t="b">
        <f>and(B5,B7)</f>
        <v>0</v>
      </c>
      <c r="C8" s="513" t="s">
        <v>142</v>
      </c>
      <c r="D8" s="516" t="str">
        <f>if(B8,D5,"")</f>
        <v/>
      </c>
      <c r="E8" s="516">
        <f>E7</f>
        <v>0.9703333333</v>
      </c>
      <c r="F8" s="514">
        <f t="shared" ref="F8:DJ8" si="4">int(F$5*$E8)</f>
        <v>0</v>
      </c>
      <c r="G8" s="514">
        <f t="shared" si="4"/>
        <v>0</v>
      </c>
      <c r="H8" s="514">
        <f t="shared" si="4"/>
        <v>1</v>
      </c>
      <c r="I8" s="514">
        <f t="shared" si="4"/>
        <v>2</v>
      </c>
      <c r="J8" s="514">
        <f t="shared" si="4"/>
        <v>3</v>
      </c>
      <c r="K8" s="514">
        <f t="shared" si="4"/>
        <v>4</v>
      </c>
      <c r="L8" s="514">
        <f t="shared" si="4"/>
        <v>5</v>
      </c>
      <c r="M8" s="514">
        <f t="shared" si="4"/>
        <v>6</v>
      </c>
      <c r="N8" s="514">
        <f t="shared" si="4"/>
        <v>7</v>
      </c>
      <c r="O8" s="514">
        <f t="shared" si="4"/>
        <v>8</v>
      </c>
      <c r="P8" s="514">
        <f t="shared" si="4"/>
        <v>9</v>
      </c>
      <c r="Q8" s="514">
        <f t="shared" si="4"/>
        <v>10</v>
      </c>
      <c r="R8" s="514">
        <f t="shared" si="4"/>
        <v>11</v>
      </c>
      <c r="S8" s="514">
        <f t="shared" si="4"/>
        <v>12</v>
      </c>
      <c r="T8" s="514">
        <f t="shared" si="4"/>
        <v>13</v>
      </c>
      <c r="U8" s="514">
        <f t="shared" si="4"/>
        <v>14</v>
      </c>
      <c r="V8" s="514">
        <f t="shared" si="4"/>
        <v>15</v>
      </c>
      <c r="W8" s="514">
        <f t="shared" si="4"/>
        <v>16</v>
      </c>
      <c r="X8" s="514">
        <f t="shared" si="4"/>
        <v>17</v>
      </c>
      <c r="Y8" s="514">
        <f t="shared" si="4"/>
        <v>18</v>
      </c>
      <c r="Z8" s="514">
        <f t="shared" si="4"/>
        <v>19</v>
      </c>
      <c r="AA8" s="514">
        <f t="shared" si="4"/>
        <v>20</v>
      </c>
      <c r="AB8" s="514">
        <f t="shared" si="4"/>
        <v>21</v>
      </c>
      <c r="AC8" s="514">
        <f t="shared" si="4"/>
        <v>22</v>
      </c>
      <c r="AD8" s="514">
        <f t="shared" si="4"/>
        <v>23</v>
      </c>
      <c r="AE8" s="514">
        <f t="shared" si="4"/>
        <v>24</v>
      </c>
      <c r="AF8" s="514">
        <f t="shared" si="4"/>
        <v>25</v>
      </c>
      <c r="AG8" s="514">
        <f t="shared" si="4"/>
        <v>26</v>
      </c>
      <c r="AH8" s="514">
        <f t="shared" si="4"/>
        <v>27</v>
      </c>
      <c r="AI8" s="514">
        <f t="shared" si="4"/>
        <v>28</v>
      </c>
      <c r="AJ8" s="514">
        <f t="shared" si="4"/>
        <v>29</v>
      </c>
      <c r="AK8" s="514">
        <f t="shared" si="4"/>
        <v>30</v>
      </c>
      <c r="AL8" s="514">
        <f t="shared" si="4"/>
        <v>31</v>
      </c>
      <c r="AM8" s="514">
        <f t="shared" si="4"/>
        <v>32</v>
      </c>
      <c r="AN8" s="514">
        <f t="shared" si="4"/>
        <v>32</v>
      </c>
      <c r="AO8" s="514">
        <f t="shared" si="4"/>
        <v>33</v>
      </c>
      <c r="AP8" s="514">
        <f t="shared" si="4"/>
        <v>34</v>
      </c>
      <c r="AQ8" s="514">
        <f t="shared" si="4"/>
        <v>35</v>
      </c>
      <c r="AR8" s="514">
        <f t="shared" si="4"/>
        <v>36</v>
      </c>
      <c r="AS8" s="514">
        <f t="shared" si="4"/>
        <v>37</v>
      </c>
      <c r="AT8" s="514">
        <f t="shared" si="4"/>
        <v>38</v>
      </c>
      <c r="AU8" s="514">
        <f t="shared" si="4"/>
        <v>39</v>
      </c>
      <c r="AV8" s="514">
        <f t="shared" si="4"/>
        <v>40</v>
      </c>
      <c r="AW8" s="514">
        <f t="shared" si="4"/>
        <v>41</v>
      </c>
      <c r="AX8" s="514">
        <f t="shared" si="4"/>
        <v>42</v>
      </c>
      <c r="AY8" s="514">
        <f t="shared" si="4"/>
        <v>43</v>
      </c>
      <c r="AZ8" s="514">
        <f t="shared" si="4"/>
        <v>44</v>
      </c>
      <c r="BA8" s="514">
        <f t="shared" si="4"/>
        <v>45</v>
      </c>
      <c r="BB8" s="514">
        <f t="shared" si="4"/>
        <v>46</v>
      </c>
      <c r="BC8" s="514">
        <f t="shared" si="4"/>
        <v>47</v>
      </c>
      <c r="BD8" s="514">
        <f t="shared" si="4"/>
        <v>48</v>
      </c>
      <c r="BE8" s="514">
        <f t="shared" si="4"/>
        <v>49</v>
      </c>
      <c r="BF8" s="514">
        <f t="shared" si="4"/>
        <v>50</v>
      </c>
      <c r="BG8" s="514">
        <f t="shared" si="4"/>
        <v>51</v>
      </c>
      <c r="BH8" s="514">
        <f t="shared" si="4"/>
        <v>52</v>
      </c>
      <c r="BI8" s="514">
        <f t="shared" si="4"/>
        <v>53</v>
      </c>
      <c r="BJ8" s="514">
        <f t="shared" si="4"/>
        <v>54</v>
      </c>
      <c r="BK8" s="514">
        <f t="shared" si="4"/>
        <v>55</v>
      </c>
      <c r="BL8" s="514">
        <f t="shared" si="4"/>
        <v>56</v>
      </c>
      <c r="BM8" s="514">
        <f t="shared" si="4"/>
        <v>57</v>
      </c>
      <c r="BN8" s="514">
        <f t="shared" si="4"/>
        <v>58</v>
      </c>
      <c r="BO8" s="514">
        <f t="shared" si="4"/>
        <v>59</v>
      </c>
      <c r="BP8" s="514">
        <f t="shared" si="4"/>
        <v>60</v>
      </c>
      <c r="BQ8" s="514">
        <f t="shared" si="4"/>
        <v>61</v>
      </c>
      <c r="BR8" s="514">
        <f t="shared" si="4"/>
        <v>62</v>
      </c>
      <c r="BS8" s="514">
        <f t="shared" si="4"/>
        <v>63</v>
      </c>
      <c r="BT8" s="514">
        <f t="shared" si="4"/>
        <v>64</v>
      </c>
      <c r="BU8" s="514">
        <f t="shared" si="4"/>
        <v>65</v>
      </c>
      <c r="BV8" s="514">
        <f t="shared" si="4"/>
        <v>65</v>
      </c>
      <c r="BW8" s="514">
        <f t="shared" si="4"/>
        <v>66</v>
      </c>
      <c r="BX8" s="514">
        <f t="shared" si="4"/>
        <v>67</v>
      </c>
      <c r="BY8" s="514">
        <f t="shared" si="4"/>
        <v>68</v>
      </c>
      <c r="BZ8" s="514">
        <f t="shared" si="4"/>
        <v>69</v>
      </c>
      <c r="CA8" s="514">
        <f t="shared" si="4"/>
        <v>70</v>
      </c>
      <c r="CB8" s="514">
        <f t="shared" si="4"/>
        <v>71</v>
      </c>
      <c r="CC8" s="514">
        <f t="shared" si="4"/>
        <v>72</v>
      </c>
      <c r="CD8" s="514">
        <f t="shared" si="4"/>
        <v>73</v>
      </c>
      <c r="CE8" s="514">
        <f t="shared" si="4"/>
        <v>74</v>
      </c>
      <c r="CF8" s="514">
        <f t="shared" si="4"/>
        <v>75</v>
      </c>
      <c r="CG8" s="514">
        <f t="shared" si="4"/>
        <v>76</v>
      </c>
      <c r="CH8" s="514">
        <f t="shared" si="4"/>
        <v>77</v>
      </c>
      <c r="CI8" s="514">
        <f t="shared" si="4"/>
        <v>78</v>
      </c>
      <c r="CJ8" s="514">
        <f t="shared" si="4"/>
        <v>79</v>
      </c>
      <c r="CK8" s="514">
        <f t="shared" si="4"/>
        <v>80</v>
      </c>
      <c r="CL8" s="514">
        <f t="shared" si="4"/>
        <v>81</v>
      </c>
      <c r="CM8" s="514">
        <f t="shared" si="4"/>
        <v>82</v>
      </c>
      <c r="CN8" s="514">
        <f t="shared" si="4"/>
        <v>83</v>
      </c>
      <c r="CO8" s="514">
        <f t="shared" si="4"/>
        <v>84</v>
      </c>
      <c r="CP8" s="514">
        <f t="shared" si="4"/>
        <v>85</v>
      </c>
      <c r="CQ8" s="514">
        <f t="shared" si="4"/>
        <v>86</v>
      </c>
      <c r="CR8" s="514">
        <f t="shared" si="4"/>
        <v>87</v>
      </c>
      <c r="CS8" s="514">
        <f t="shared" si="4"/>
        <v>88</v>
      </c>
      <c r="CT8" s="514">
        <f t="shared" si="4"/>
        <v>89</v>
      </c>
      <c r="CU8" s="514">
        <f t="shared" si="4"/>
        <v>90</v>
      </c>
      <c r="CV8" s="514">
        <f t="shared" si="4"/>
        <v>91</v>
      </c>
      <c r="CW8" s="514">
        <f t="shared" si="4"/>
        <v>92</v>
      </c>
      <c r="CX8" s="514">
        <f t="shared" si="4"/>
        <v>93</v>
      </c>
      <c r="CY8" s="514">
        <f t="shared" si="4"/>
        <v>94</v>
      </c>
      <c r="CZ8" s="514">
        <f t="shared" si="4"/>
        <v>95</v>
      </c>
      <c r="DA8" s="514">
        <f t="shared" si="4"/>
        <v>96</v>
      </c>
      <c r="DB8" s="514">
        <f t="shared" si="4"/>
        <v>97</v>
      </c>
      <c r="DC8" s="514">
        <f t="shared" si="4"/>
        <v>98</v>
      </c>
      <c r="DD8" s="514">
        <f t="shared" si="4"/>
        <v>98</v>
      </c>
      <c r="DE8" s="514">
        <f t="shared" si="4"/>
        <v>99</v>
      </c>
      <c r="DF8" s="514">
        <f t="shared" si="4"/>
        <v>100</v>
      </c>
      <c r="DG8" s="514">
        <f t="shared" si="4"/>
        <v>101</v>
      </c>
      <c r="DH8" s="514">
        <f t="shared" si="4"/>
        <v>102</v>
      </c>
      <c r="DI8" s="514">
        <f t="shared" si="4"/>
        <v>103</v>
      </c>
      <c r="DJ8" s="514">
        <f t="shared" si="4"/>
        <v>104</v>
      </c>
    </row>
    <row r="9">
      <c r="A9" s="513" t="s">
        <v>1640</v>
      </c>
      <c r="B9" s="513" t="b">
        <f t="shared" ref="B9:B16" si="6">B7</f>
        <v>0</v>
      </c>
      <c r="C9" s="513" t="s">
        <v>143</v>
      </c>
      <c r="D9" s="516">
        <f>if(B10,0.25,if(B9,1,0))</f>
        <v>0</v>
      </c>
      <c r="E9" s="516">
        <f>1-'Sheet 1'!I51/3000</f>
        <v>0.9753333333</v>
      </c>
      <c r="F9" s="514">
        <f t="shared" ref="F9:DJ9" si="5">int(F$1*$E9)</f>
        <v>0</v>
      </c>
      <c r="G9" s="514">
        <f t="shared" si="5"/>
        <v>0</v>
      </c>
      <c r="H9" s="514">
        <f t="shared" si="5"/>
        <v>1</v>
      </c>
      <c r="I9" s="514">
        <f t="shared" si="5"/>
        <v>2</v>
      </c>
      <c r="J9" s="514">
        <f t="shared" si="5"/>
        <v>3</v>
      </c>
      <c r="K9" s="514">
        <f t="shared" si="5"/>
        <v>4</v>
      </c>
      <c r="L9" s="514">
        <f t="shared" si="5"/>
        <v>5</v>
      </c>
      <c r="M9" s="514">
        <f t="shared" si="5"/>
        <v>6</v>
      </c>
      <c r="N9" s="514">
        <f t="shared" si="5"/>
        <v>7</v>
      </c>
      <c r="O9" s="514">
        <f t="shared" si="5"/>
        <v>8</v>
      </c>
      <c r="P9" s="514">
        <f t="shared" si="5"/>
        <v>9</v>
      </c>
      <c r="Q9" s="514">
        <f t="shared" si="5"/>
        <v>10</v>
      </c>
      <c r="R9" s="514">
        <f t="shared" si="5"/>
        <v>11</v>
      </c>
      <c r="S9" s="514">
        <f t="shared" si="5"/>
        <v>12</v>
      </c>
      <c r="T9" s="514">
        <f t="shared" si="5"/>
        <v>13</v>
      </c>
      <c r="U9" s="514">
        <f t="shared" si="5"/>
        <v>14</v>
      </c>
      <c r="V9" s="514">
        <f t="shared" si="5"/>
        <v>15</v>
      </c>
      <c r="W9" s="514">
        <f t="shared" si="5"/>
        <v>16</v>
      </c>
      <c r="X9" s="514">
        <f t="shared" si="5"/>
        <v>17</v>
      </c>
      <c r="Y9" s="514">
        <f t="shared" si="5"/>
        <v>18</v>
      </c>
      <c r="Z9" s="514">
        <f t="shared" si="5"/>
        <v>19</v>
      </c>
      <c r="AA9" s="514">
        <f t="shared" si="5"/>
        <v>20</v>
      </c>
      <c r="AB9" s="514">
        <f t="shared" si="5"/>
        <v>21</v>
      </c>
      <c r="AC9" s="514">
        <f t="shared" si="5"/>
        <v>22</v>
      </c>
      <c r="AD9" s="514">
        <f t="shared" si="5"/>
        <v>23</v>
      </c>
      <c r="AE9" s="514">
        <f t="shared" si="5"/>
        <v>24</v>
      </c>
      <c r="AF9" s="514">
        <f t="shared" si="5"/>
        <v>25</v>
      </c>
      <c r="AG9" s="514">
        <f t="shared" si="5"/>
        <v>26</v>
      </c>
      <c r="AH9" s="514">
        <f t="shared" si="5"/>
        <v>27</v>
      </c>
      <c r="AI9" s="514">
        <f t="shared" si="5"/>
        <v>28</v>
      </c>
      <c r="AJ9" s="514">
        <f t="shared" si="5"/>
        <v>29</v>
      </c>
      <c r="AK9" s="514">
        <f t="shared" si="5"/>
        <v>30</v>
      </c>
      <c r="AL9" s="514">
        <f t="shared" si="5"/>
        <v>31</v>
      </c>
      <c r="AM9" s="514">
        <f t="shared" si="5"/>
        <v>32</v>
      </c>
      <c r="AN9" s="514">
        <f t="shared" si="5"/>
        <v>33</v>
      </c>
      <c r="AO9" s="514">
        <f t="shared" si="5"/>
        <v>34</v>
      </c>
      <c r="AP9" s="514">
        <f t="shared" si="5"/>
        <v>35</v>
      </c>
      <c r="AQ9" s="514">
        <f t="shared" si="5"/>
        <v>36</v>
      </c>
      <c r="AR9" s="514">
        <f t="shared" si="5"/>
        <v>37</v>
      </c>
      <c r="AS9" s="514">
        <f t="shared" si="5"/>
        <v>38</v>
      </c>
      <c r="AT9" s="514">
        <f t="shared" si="5"/>
        <v>39</v>
      </c>
      <c r="AU9" s="514">
        <f t="shared" si="5"/>
        <v>39</v>
      </c>
      <c r="AV9" s="514">
        <f t="shared" si="5"/>
        <v>40</v>
      </c>
      <c r="AW9" s="514">
        <f t="shared" si="5"/>
        <v>41</v>
      </c>
      <c r="AX9" s="514">
        <f t="shared" si="5"/>
        <v>42</v>
      </c>
      <c r="AY9" s="514">
        <f t="shared" si="5"/>
        <v>43</v>
      </c>
      <c r="AZ9" s="514">
        <f t="shared" si="5"/>
        <v>44</v>
      </c>
      <c r="BA9" s="514">
        <f t="shared" si="5"/>
        <v>45</v>
      </c>
      <c r="BB9" s="514">
        <f t="shared" si="5"/>
        <v>46</v>
      </c>
      <c r="BC9" s="514">
        <f t="shared" si="5"/>
        <v>47</v>
      </c>
      <c r="BD9" s="514">
        <f t="shared" si="5"/>
        <v>48</v>
      </c>
      <c r="BE9" s="514">
        <f t="shared" si="5"/>
        <v>49</v>
      </c>
      <c r="BF9" s="514">
        <f t="shared" si="5"/>
        <v>50</v>
      </c>
      <c r="BG9" s="514">
        <f t="shared" si="5"/>
        <v>51</v>
      </c>
      <c r="BH9" s="514">
        <f t="shared" si="5"/>
        <v>52</v>
      </c>
      <c r="BI9" s="514">
        <f t="shared" si="5"/>
        <v>53</v>
      </c>
      <c r="BJ9" s="514">
        <f t="shared" si="5"/>
        <v>54</v>
      </c>
      <c r="BK9" s="514">
        <f t="shared" si="5"/>
        <v>55</v>
      </c>
      <c r="BL9" s="514">
        <f t="shared" si="5"/>
        <v>56</v>
      </c>
      <c r="BM9" s="514">
        <f t="shared" si="5"/>
        <v>57</v>
      </c>
      <c r="BN9" s="514">
        <f t="shared" si="5"/>
        <v>58</v>
      </c>
      <c r="BO9" s="514">
        <f t="shared" si="5"/>
        <v>59</v>
      </c>
      <c r="BP9" s="514">
        <f t="shared" si="5"/>
        <v>60</v>
      </c>
      <c r="BQ9" s="514">
        <f t="shared" si="5"/>
        <v>61</v>
      </c>
      <c r="BR9" s="514">
        <f t="shared" si="5"/>
        <v>62</v>
      </c>
      <c r="BS9" s="514">
        <f t="shared" si="5"/>
        <v>63</v>
      </c>
      <c r="BT9" s="514">
        <f t="shared" si="5"/>
        <v>64</v>
      </c>
      <c r="BU9" s="514">
        <f t="shared" si="5"/>
        <v>65</v>
      </c>
      <c r="BV9" s="514">
        <f t="shared" si="5"/>
        <v>66</v>
      </c>
      <c r="BW9" s="514">
        <f t="shared" si="5"/>
        <v>67</v>
      </c>
      <c r="BX9" s="514">
        <f t="shared" si="5"/>
        <v>68</v>
      </c>
      <c r="BY9" s="514">
        <f t="shared" si="5"/>
        <v>69</v>
      </c>
      <c r="BZ9" s="514">
        <f t="shared" si="5"/>
        <v>70</v>
      </c>
      <c r="CA9" s="514">
        <f t="shared" si="5"/>
        <v>71</v>
      </c>
      <c r="CB9" s="514">
        <f t="shared" si="5"/>
        <v>72</v>
      </c>
      <c r="CC9" s="514">
        <f t="shared" si="5"/>
        <v>73</v>
      </c>
      <c r="CD9" s="514">
        <f t="shared" si="5"/>
        <v>74</v>
      </c>
      <c r="CE9" s="514">
        <f t="shared" si="5"/>
        <v>75</v>
      </c>
      <c r="CF9" s="514">
        <f t="shared" si="5"/>
        <v>76</v>
      </c>
      <c r="CG9" s="514">
        <f t="shared" si="5"/>
        <v>77</v>
      </c>
      <c r="CH9" s="514">
        <f t="shared" si="5"/>
        <v>78</v>
      </c>
      <c r="CI9" s="514">
        <f t="shared" si="5"/>
        <v>79</v>
      </c>
      <c r="CJ9" s="514">
        <f t="shared" si="5"/>
        <v>79</v>
      </c>
      <c r="CK9" s="514">
        <f t="shared" si="5"/>
        <v>80</v>
      </c>
      <c r="CL9" s="514">
        <f t="shared" si="5"/>
        <v>81</v>
      </c>
      <c r="CM9" s="514">
        <f t="shared" si="5"/>
        <v>82</v>
      </c>
      <c r="CN9" s="514">
        <f t="shared" si="5"/>
        <v>83</v>
      </c>
      <c r="CO9" s="514">
        <f t="shared" si="5"/>
        <v>84</v>
      </c>
      <c r="CP9" s="514">
        <f t="shared" si="5"/>
        <v>85</v>
      </c>
      <c r="CQ9" s="514">
        <f t="shared" si="5"/>
        <v>86</v>
      </c>
      <c r="CR9" s="514">
        <f t="shared" si="5"/>
        <v>87</v>
      </c>
      <c r="CS9" s="514">
        <f t="shared" si="5"/>
        <v>88</v>
      </c>
      <c r="CT9" s="514">
        <f t="shared" si="5"/>
        <v>89</v>
      </c>
      <c r="CU9" s="514">
        <f t="shared" si="5"/>
        <v>90</v>
      </c>
      <c r="CV9" s="514">
        <f t="shared" si="5"/>
        <v>91</v>
      </c>
      <c r="CW9" s="514">
        <f t="shared" si="5"/>
        <v>92</v>
      </c>
      <c r="CX9" s="514">
        <f t="shared" si="5"/>
        <v>93</v>
      </c>
      <c r="CY9" s="514">
        <f t="shared" si="5"/>
        <v>94</v>
      </c>
      <c r="CZ9" s="514">
        <f t="shared" si="5"/>
        <v>95</v>
      </c>
      <c r="DA9" s="514">
        <f t="shared" si="5"/>
        <v>96</v>
      </c>
      <c r="DB9" s="514">
        <f t="shared" si="5"/>
        <v>97</v>
      </c>
      <c r="DC9" s="514">
        <f t="shared" si="5"/>
        <v>98</v>
      </c>
      <c r="DD9" s="514">
        <f t="shared" si="5"/>
        <v>99</v>
      </c>
      <c r="DE9" s="514">
        <f t="shared" si="5"/>
        <v>100</v>
      </c>
      <c r="DF9" s="514">
        <f t="shared" si="5"/>
        <v>101</v>
      </c>
      <c r="DG9" s="514">
        <f t="shared" si="5"/>
        <v>102</v>
      </c>
      <c r="DH9" s="514">
        <f t="shared" si="5"/>
        <v>103</v>
      </c>
      <c r="DI9" s="514">
        <f t="shared" si="5"/>
        <v>104</v>
      </c>
      <c r="DJ9" s="514">
        <f t="shared" si="5"/>
        <v>105</v>
      </c>
    </row>
    <row r="10">
      <c r="A10" s="513" t="s">
        <v>1667</v>
      </c>
      <c r="B10" s="513" t="b">
        <f t="shared" si="6"/>
        <v>0</v>
      </c>
      <c r="C10" s="513" t="s">
        <v>143</v>
      </c>
      <c r="D10" s="516" t="str">
        <f>D8</f>
        <v/>
      </c>
      <c r="E10" s="516">
        <f>E9</f>
        <v>0.9753333333</v>
      </c>
      <c r="F10" s="514">
        <f t="shared" ref="F10:DJ10" si="7">int(F$5*$E10)</f>
        <v>0</v>
      </c>
      <c r="G10" s="514">
        <f t="shared" si="7"/>
        <v>0</v>
      </c>
      <c r="H10" s="514">
        <f t="shared" si="7"/>
        <v>1</v>
      </c>
      <c r="I10" s="514">
        <f t="shared" si="7"/>
        <v>2</v>
      </c>
      <c r="J10" s="514">
        <f t="shared" si="7"/>
        <v>3</v>
      </c>
      <c r="K10" s="514">
        <f t="shared" si="7"/>
        <v>4</v>
      </c>
      <c r="L10" s="514">
        <f t="shared" si="7"/>
        <v>5</v>
      </c>
      <c r="M10" s="514">
        <f t="shared" si="7"/>
        <v>6</v>
      </c>
      <c r="N10" s="514">
        <f t="shared" si="7"/>
        <v>7</v>
      </c>
      <c r="O10" s="514">
        <f t="shared" si="7"/>
        <v>8</v>
      </c>
      <c r="P10" s="514">
        <f t="shared" si="7"/>
        <v>9</v>
      </c>
      <c r="Q10" s="514">
        <f t="shared" si="7"/>
        <v>10</v>
      </c>
      <c r="R10" s="514">
        <f t="shared" si="7"/>
        <v>11</v>
      </c>
      <c r="S10" s="514">
        <f t="shared" si="7"/>
        <v>12</v>
      </c>
      <c r="T10" s="514">
        <f t="shared" si="7"/>
        <v>13</v>
      </c>
      <c r="U10" s="514">
        <f t="shared" si="7"/>
        <v>14</v>
      </c>
      <c r="V10" s="514">
        <f t="shared" si="7"/>
        <v>15</v>
      </c>
      <c r="W10" s="514">
        <f t="shared" si="7"/>
        <v>16</v>
      </c>
      <c r="X10" s="514">
        <f t="shared" si="7"/>
        <v>17</v>
      </c>
      <c r="Y10" s="514">
        <f t="shared" si="7"/>
        <v>18</v>
      </c>
      <c r="Z10" s="514">
        <f t="shared" si="7"/>
        <v>19</v>
      </c>
      <c r="AA10" s="514">
        <f t="shared" si="7"/>
        <v>20</v>
      </c>
      <c r="AB10" s="514">
        <f t="shared" si="7"/>
        <v>21</v>
      </c>
      <c r="AC10" s="514">
        <f t="shared" si="7"/>
        <v>22</v>
      </c>
      <c r="AD10" s="514">
        <f t="shared" si="7"/>
        <v>23</v>
      </c>
      <c r="AE10" s="514">
        <f t="shared" si="7"/>
        <v>24</v>
      </c>
      <c r="AF10" s="514">
        <f t="shared" si="7"/>
        <v>25</v>
      </c>
      <c r="AG10" s="514">
        <f t="shared" si="7"/>
        <v>26</v>
      </c>
      <c r="AH10" s="514">
        <f t="shared" si="7"/>
        <v>27</v>
      </c>
      <c r="AI10" s="514">
        <f t="shared" si="7"/>
        <v>28</v>
      </c>
      <c r="AJ10" s="514">
        <f t="shared" si="7"/>
        <v>29</v>
      </c>
      <c r="AK10" s="514">
        <f t="shared" si="7"/>
        <v>30</v>
      </c>
      <c r="AL10" s="514">
        <f t="shared" si="7"/>
        <v>31</v>
      </c>
      <c r="AM10" s="514">
        <f t="shared" si="7"/>
        <v>32</v>
      </c>
      <c r="AN10" s="514">
        <f t="shared" si="7"/>
        <v>33</v>
      </c>
      <c r="AO10" s="514">
        <f t="shared" si="7"/>
        <v>34</v>
      </c>
      <c r="AP10" s="514">
        <f t="shared" si="7"/>
        <v>35</v>
      </c>
      <c r="AQ10" s="514">
        <f t="shared" si="7"/>
        <v>36</v>
      </c>
      <c r="AR10" s="514">
        <f t="shared" si="7"/>
        <v>37</v>
      </c>
      <c r="AS10" s="514">
        <f t="shared" si="7"/>
        <v>38</v>
      </c>
      <c r="AT10" s="514">
        <f t="shared" si="7"/>
        <v>39</v>
      </c>
      <c r="AU10" s="514">
        <f t="shared" si="7"/>
        <v>39</v>
      </c>
      <c r="AV10" s="514">
        <f t="shared" si="7"/>
        <v>40</v>
      </c>
      <c r="AW10" s="514">
        <f t="shared" si="7"/>
        <v>41</v>
      </c>
      <c r="AX10" s="514">
        <f t="shared" si="7"/>
        <v>42</v>
      </c>
      <c r="AY10" s="514">
        <f t="shared" si="7"/>
        <v>43</v>
      </c>
      <c r="AZ10" s="514">
        <f t="shared" si="7"/>
        <v>44</v>
      </c>
      <c r="BA10" s="514">
        <f t="shared" si="7"/>
        <v>45</v>
      </c>
      <c r="BB10" s="514">
        <f t="shared" si="7"/>
        <v>46</v>
      </c>
      <c r="BC10" s="514">
        <f t="shared" si="7"/>
        <v>47</v>
      </c>
      <c r="BD10" s="514">
        <f t="shared" si="7"/>
        <v>48</v>
      </c>
      <c r="BE10" s="514">
        <f t="shared" si="7"/>
        <v>49</v>
      </c>
      <c r="BF10" s="514">
        <f t="shared" si="7"/>
        <v>50</v>
      </c>
      <c r="BG10" s="514">
        <f t="shared" si="7"/>
        <v>51</v>
      </c>
      <c r="BH10" s="514">
        <f t="shared" si="7"/>
        <v>52</v>
      </c>
      <c r="BI10" s="514">
        <f t="shared" si="7"/>
        <v>53</v>
      </c>
      <c r="BJ10" s="514">
        <f t="shared" si="7"/>
        <v>54</v>
      </c>
      <c r="BK10" s="514">
        <f t="shared" si="7"/>
        <v>55</v>
      </c>
      <c r="BL10" s="514">
        <f t="shared" si="7"/>
        <v>56</v>
      </c>
      <c r="BM10" s="514">
        <f t="shared" si="7"/>
        <v>57</v>
      </c>
      <c r="BN10" s="514">
        <f t="shared" si="7"/>
        <v>58</v>
      </c>
      <c r="BO10" s="514">
        <f t="shared" si="7"/>
        <v>59</v>
      </c>
      <c r="BP10" s="514">
        <f t="shared" si="7"/>
        <v>60</v>
      </c>
      <c r="BQ10" s="514">
        <f t="shared" si="7"/>
        <v>61</v>
      </c>
      <c r="BR10" s="514">
        <f t="shared" si="7"/>
        <v>62</v>
      </c>
      <c r="BS10" s="514">
        <f t="shared" si="7"/>
        <v>63</v>
      </c>
      <c r="BT10" s="514">
        <f t="shared" si="7"/>
        <v>64</v>
      </c>
      <c r="BU10" s="514">
        <f t="shared" si="7"/>
        <v>65</v>
      </c>
      <c r="BV10" s="514">
        <f t="shared" si="7"/>
        <v>66</v>
      </c>
      <c r="BW10" s="514">
        <f t="shared" si="7"/>
        <v>67</v>
      </c>
      <c r="BX10" s="514">
        <f t="shared" si="7"/>
        <v>68</v>
      </c>
      <c r="BY10" s="514">
        <f t="shared" si="7"/>
        <v>69</v>
      </c>
      <c r="BZ10" s="514">
        <f t="shared" si="7"/>
        <v>70</v>
      </c>
      <c r="CA10" s="514">
        <f t="shared" si="7"/>
        <v>71</v>
      </c>
      <c r="CB10" s="514">
        <f t="shared" si="7"/>
        <v>72</v>
      </c>
      <c r="CC10" s="514">
        <f t="shared" si="7"/>
        <v>73</v>
      </c>
      <c r="CD10" s="514">
        <f t="shared" si="7"/>
        <v>74</v>
      </c>
      <c r="CE10" s="514">
        <f t="shared" si="7"/>
        <v>75</v>
      </c>
      <c r="CF10" s="514">
        <f t="shared" si="7"/>
        <v>76</v>
      </c>
      <c r="CG10" s="514">
        <f t="shared" si="7"/>
        <v>77</v>
      </c>
      <c r="CH10" s="514">
        <f t="shared" si="7"/>
        <v>78</v>
      </c>
      <c r="CI10" s="514">
        <f t="shared" si="7"/>
        <v>79</v>
      </c>
      <c r="CJ10" s="514">
        <f t="shared" si="7"/>
        <v>79</v>
      </c>
      <c r="CK10" s="514">
        <f t="shared" si="7"/>
        <v>80</v>
      </c>
      <c r="CL10" s="514">
        <f t="shared" si="7"/>
        <v>81</v>
      </c>
      <c r="CM10" s="514">
        <f t="shared" si="7"/>
        <v>82</v>
      </c>
      <c r="CN10" s="514">
        <f t="shared" si="7"/>
        <v>83</v>
      </c>
      <c r="CO10" s="514">
        <f t="shared" si="7"/>
        <v>84</v>
      </c>
      <c r="CP10" s="514">
        <f t="shared" si="7"/>
        <v>85</v>
      </c>
      <c r="CQ10" s="514">
        <f t="shared" si="7"/>
        <v>86</v>
      </c>
      <c r="CR10" s="514">
        <f t="shared" si="7"/>
        <v>87</v>
      </c>
      <c r="CS10" s="514">
        <f t="shared" si="7"/>
        <v>88</v>
      </c>
      <c r="CT10" s="514">
        <f t="shared" si="7"/>
        <v>89</v>
      </c>
      <c r="CU10" s="514">
        <f t="shared" si="7"/>
        <v>90</v>
      </c>
      <c r="CV10" s="514">
        <f t="shared" si="7"/>
        <v>91</v>
      </c>
      <c r="CW10" s="514">
        <f t="shared" si="7"/>
        <v>92</v>
      </c>
      <c r="CX10" s="514">
        <f t="shared" si="7"/>
        <v>93</v>
      </c>
      <c r="CY10" s="514">
        <f t="shared" si="7"/>
        <v>94</v>
      </c>
      <c r="CZ10" s="514">
        <f t="shared" si="7"/>
        <v>95</v>
      </c>
      <c r="DA10" s="514">
        <f t="shared" si="7"/>
        <v>96</v>
      </c>
      <c r="DB10" s="514">
        <f t="shared" si="7"/>
        <v>97</v>
      </c>
      <c r="DC10" s="514">
        <f t="shared" si="7"/>
        <v>98</v>
      </c>
      <c r="DD10" s="514">
        <f t="shared" si="7"/>
        <v>99</v>
      </c>
      <c r="DE10" s="514">
        <f t="shared" si="7"/>
        <v>100</v>
      </c>
      <c r="DF10" s="514">
        <f t="shared" si="7"/>
        <v>101</v>
      </c>
      <c r="DG10" s="514">
        <f t="shared" si="7"/>
        <v>102</v>
      </c>
      <c r="DH10" s="514">
        <f t="shared" si="7"/>
        <v>103</v>
      </c>
      <c r="DI10" s="514">
        <f t="shared" si="7"/>
        <v>104</v>
      </c>
      <c r="DJ10" s="514">
        <f t="shared" si="7"/>
        <v>105</v>
      </c>
    </row>
    <row r="11">
      <c r="A11" s="513" t="s">
        <v>1640</v>
      </c>
      <c r="B11" s="513" t="b">
        <f t="shared" si="6"/>
        <v>0</v>
      </c>
      <c r="C11" s="513" t="s">
        <v>144</v>
      </c>
      <c r="D11" s="516">
        <f>if(B12,0.25,if(B11,1,0))</f>
        <v>0</v>
      </c>
      <c r="E11" s="516">
        <f>1-'Sheet 1'!J51/3000</f>
        <v>0.966</v>
      </c>
      <c r="F11" s="514">
        <f t="shared" ref="F11:DJ11" si="8">int(F$1*$E11)</f>
        <v>0</v>
      </c>
      <c r="G11" s="514">
        <f t="shared" si="8"/>
        <v>0</v>
      </c>
      <c r="H11" s="514">
        <f t="shared" si="8"/>
        <v>1</v>
      </c>
      <c r="I11" s="514">
        <f t="shared" si="8"/>
        <v>2</v>
      </c>
      <c r="J11" s="514">
        <f t="shared" si="8"/>
        <v>3</v>
      </c>
      <c r="K11" s="514">
        <f t="shared" si="8"/>
        <v>4</v>
      </c>
      <c r="L11" s="514">
        <f t="shared" si="8"/>
        <v>5</v>
      </c>
      <c r="M11" s="514">
        <f t="shared" si="8"/>
        <v>6</v>
      </c>
      <c r="N11" s="514">
        <f t="shared" si="8"/>
        <v>7</v>
      </c>
      <c r="O11" s="514">
        <f t="shared" si="8"/>
        <v>8</v>
      </c>
      <c r="P11" s="514">
        <f t="shared" si="8"/>
        <v>9</v>
      </c>
      <c r="Q11" s="514">
        <f t="shared" si="8"/>
        <v>10</v>
      </c>
      <c r="R11" s="514">
        <f t="shared" si="8"/>
        <v>11</v>
      </c>
      <c r="S11" s="514">
        <f t="shared" si="8"/>
        <v>12</v>
      </c>
      <c r="T11" s="514">
        <f t="shared" si="8"/>
        <v>13</v>
      </c>
      <c r="U11" s="514">
        <f t="shared" si="8"/>
        <v>14</v>
      </c>
      <c r="V11" s="514">
        <f t="shared" si="8"/>
        <v>15</v>
      </c>
      <c r="W11" s="514">
        <f t="shared" si="8"/>
        <v>16</v>
      </c>
      <c r="X11" s="514">
        <f t="shared" si="8"/>
        <v>17</v>
      </c>
      <c r="Y11" s="514">
        <f t="shared" si="8"/>
        <v>18</v>
      </c>
      <c r="Z11" s="514">
        <f t="shared" si="8"/>
        <v>19</v>
      </c>
      <c r="AA11" s="514">
        <f t="shared" si="8"/>
        <v>20</v>
      </c>
      <c r="AB11" s="514">
        <f t="shared" si="8"/>
        <v>21</v>
      </c>
      <c r="AC11" s="514">
        <f t="shared" si="8"/>
        <v>22</v>
      </c>
      <c r="AD11" s="514">
        <f t="shared" si="8"/>
        <v>23</v>
      </c>
      <c r="AE11" s="514">
        <f t="shared" si="8"/>
        <v>24</v>
      </c>
      <c r="AF11" s="514">
        <f t="shared" si="8"/>
        <v>25</v>
      </c>
      <c r="AG11" s="514">
        <f t="shared" si="8"/>
        <v>26</v>
      </c>
      <c r="AH11" s="514">
        <f t="shared" si="8"/>
        <v>27</v>
      </c>
      <c r="AI11" s="514">
        <f t="shared" si="8"/>
        <v>28</v>
      </c>
      <c r="AJ11" s="514">
        <f t="shared" si="8"/>
        <v>28</v>
      </c>
      <c r="AK11" s="514">
        <f t="shared" si="8"/>
        <v>29</v>
      </c>
      <c r="AL11" s="514">
        <f t="shared" si="8"/>
        <v>30</v>
      </c>
      <c r="AM11" s="514">
        <f t="shared" si="8"/>
        <v>31</v>
      </c>
      <c r="AN11" s="514">
        <f t="shared" si="8"/>
        <v>32</v>
      </c>
      <c r="AO11" s="514">
        <f t="shared" si="8"/>
        <v>33</v>
      </c>
      <c r="AP11" s="514">
        <f t="shared" si="8"/>
        <v>34</v>
      </c>
      <c r="AQ11" s="514">
        <f t="shared" si="8"/>
        <v>35</v>
      </c>
      <c r="AR11" s="514">
        <f t="shared" si="8"/>
        <v>36</v>
      </c>
      <c r="AS11" s="514">
        <f t="shared" si="8"/>
        <v>37</v>
      </c>
      <c r="AT11" s="514">
        <f t="shared" si="8"/>
        <v>38</v>
      </c>
      <c r="AU11" s="514">
        <f t="shared" si="8"/>
        <v>39</v>
      </c>
      <c r="AV11" s="514">
        <f t="shared" si="8"/>
        <v>40</v>
      </c>
      <c r="AW11" s="514">
        <f t="shared" si="8"/>
        <v>41</v>
      </c>
      <c r="AX11" s="514">
        <f t="shared" si="8"/>
        <v>42</v>
      </c>
      <c r="AY11" s="514">
        <f t="shared" si="8"/>
        <v>43</v>
      </c>
      <c r="AZ11" s="514">
        <f t="shared" si="8"/>
        <v>44</v>
      </c>
      <c r="BA11" s="514">
        <f t="shared" si="8"/>
        <v>45</v>
      </c>
      <c r="BB11" s="514">
        <f t="shared" si="8"/>
        <v>46</v>
      </c>
      <c r="BC11" s="514">
        <f t="shared" si="8"/>
        <v>47</v>
      </c>
      <c r="BD11" s="514">
        <f t="shared" si="8"/>
        <v>48</v>
      </c>
      <c r="BE11" s="514">
        <f t="shared" si="8"/>
        <v>49</v>
      </c>
      <c r="BF11" s="514">
        <f t="shared" si="8"/>
        <v>50</v>
      </c>
      <c r="BG11" s="514">
        <f t="shared" si="8"/>
        <v>51</v>
      </c>
      <c r="BH11" s="514">
        <f t="shared" si="8"/>
        <v>52</v>
      </c>
      <c r="BI11" s="514">
        <f t="shared" si="8"/>
        <v>53</v>
      </c>
      <c r="BJ11" s="514">
        <f t="shared" si="8"/>
        <v>54</v>
      </c>
      <c r="BK11" s="514">
        <f t="shared" si="8"/>
        <v>55</v>
      </c>
      <c r="BL11" s="514">
        <f t="shared" si="8"/>
        <v>56</v>
      </c>
      <c r="BM11" s="514">
        <f t="shared" si="8"/>
        <v>56</v>
      </c>
      <c r="BN11" s="514">
        <f t="shared" si="8"/>
        <v>57</v>
      </c>
      <c r="BO11" s="514">
        <f t="shared" si="8"/>
        <v>58</v>
      </c>
      <c r="BP11" s="514">
        <f t="shared" si="8"/>
        <v>59</v>
      </c>
      <c r="BQ11" s="514">
        <f t="shared" si="8"/>
        <v>60</v>
      </c>
      <c r="BR11" s="514">
        <f t="shared" si="8"/>
        <v>61</v>
      </c>
      <c r="BS11" s="514">
        <f t="shared" si="8"/>
        <v>62</v>
      </c>
      <c r="BT11" s="514">
        <f t="shared" si="8"/>
        <v>63</v>
      </c>
      <c r="BU11" s="514">
        <f t="shared" si="8"/>
        <v>64</v>
      </c>
      <c r="BV11" s="514">
        <f t="shared" si="8"/>
        <v>65</v>
      </c>
      <c r="BW11" s="514">
        <f t="shared" si="8"/>
        <v>66</v>
      </c>
      <c r="BX11" s="514">
        <f t="shared" si="8"/>
        <v>67</v>
      </c>
      <c r="BY11" s="514">
        <f t="shared" si="8"/>
        <v>68</v>
      </c>
      <c r="BZ11" s="514">
        <f t="shared" si="8"/>
        <v>69</v>
      </c>
      <c r="CA11" s="514">
        <f t="shared" si="8"/>
        <v>70</v>
      </c>
      <c r="CB11" s="514">
        <f t="shared" si="8"/>
        <v>71</v>
      </c>
      <c r="CC11" s="514">
        <f t="shared" si="8"/>
        <v>72</v>
      </c>
      <c r="CD11" s="514">
        <f t="shared" si="8"/>
        <v>73</v>
      </c>
      <c r="CE11" s="514">
        <f t="shared" si="8"/>
        <v>74</v>
      </c>
      <c r="CF11" s="514">
        <f t="shared" si="8"/>
        <v>75</v>
      </c>
      <c r="CG11" s="514">
        <f t="shared" si="8"/>
        <v>76</v>
      </c>
      <c r="CH11" s="514">
        <f t="shared" si="8"/>
        <v>77</v>
      </c>
      <c r="CI11" s="514">
        <f t="shared" si="8"/>
        <v>78</v>
      </c>
      <c r="CJ11" s="514">
        <f t="shared" si="8"/>
        <v>79</v>
      </c>
      <c r="CK11" s="514">
        <f t="shared" si="8"/>
        <v>80</v>
      </c>
      <c r="CL11" s="514">
        <f t="shared" si="8"/>
        <v>81</v>
      </c>
      <c r="CM11" s="514">
        <f t="shared" si="8"/>
        <v>82</v>
      </c>
      <c r="CN11" s="514">
        <f t="shared" si="8"/>
        <v>83</v>
      </c>
      <c r="CO11" s="514">
        <f t="shared" si="8"/>
        <v>84</v>
      </c>
      <c r="CP11" s="514">
        <f t="shared" si="8"/>
        <v>85</v>
      </c>
      <c r="CQ11" s="514">
        <f t="shared" si="8"/>
        <v>85</v>
      </c>
      <c r="CR11" s="514">
        <f t="shared" si="8"/>
        <v>86</v>
      </c>
      <c r="CS11" s="514">
        <f t="shared" si="8"/>
        <v>87</v>
      </c>
      <c r="CT11" s="514">
        <f t="shared" si="8"/>
        <v>88</v>
      </c>
      <c r="CU11" s="514">
        <f t="shared" si="8"/>
        <v>89</v>
      </c>
      <c r="CV11" s="514">
        <f t="shared" si="8"/>
        <v>90</v>
      </c>
      <c r="CW11" s="514">
        <f t="shared" si="8"/>
        <v>91</v>
      </c>
      <c r="CX11" s="514">
        <f t="shared" si="8"/>
        <v>92</v>
      </c>
      <c r="CY11" s="514">
        <f t="shared" si="8"/>
        <v>93</v>
      </c>
      <c r="CZ11" s="514">
        <f t="shared" si="8"/>
        <v>94</v>
      </c>
      <c r="DA11" s="514">
        <f t="shared" si="8"/>
        <v>95</v>
      </c>
      <c r="DB11" s="514">
        <f t="shared" si="8"/>
        <v>96</v>
      </c>
      <c r="DC11" s="514">
        <f t="shared" si="8"/>
        <v>97</v>
      </c>
      <c r="DD11" s="514">
        <f t="shared" si="8"/>
        <v>98</v>
      </c>
      <c r="DE11" s="514">
        <f t="shared" si="8"/>
        <v>99</v>
      </c>
      <c r="DF11" s="514">
        <f t="shared" si="8"/>
        <v>100</v>
      </c>
      <c r="DG11" s="514">
        <f t="shared" si="8"/>
        <v>101</v>
      </c>
      <c r="DH11" s="514">
        <f t="shared" si="8"/>
        <v>102</v>
      </c>
      <c r="DI11" s="514">
        <f t="shared" si="8"/>
        <v>103</v>
      </c>
      <c r="DJ11" s="514">
        <f t="shared" si="8"/>
        <v>104</v>
      </c>
    </row>
    <row r="12">
      <c r="A12" s="513" t="s">
        <v>1667</v>
      </c>
      <c r="B12" s="513" t="b">
        <f t="shared" si="6"/>
        <v>0</v>
      </c>
      <c r="C12" s="513" t="s">
        <v>144</v>
      </c>
      <c r="D12" s="516" t="str">
        <f>D10</f>
        <v/>
      </c>
      <c r="E12" s="516">
        <f>E11</f>
        <v>0.966</v>
      </c>
      <c r="F12" s="514">
        <f t="shared" ref="F12:DJ12" si="9">int(F$5*$E12)</f>
        <v>0</v>
      </c>
      <c r="G12" s="514">
        <f t="shared" si="9"/>
        <v>0</v>
      </c>
      <c r="H12" s="514">
        <f t="shared" si="9"/>
        <v>1</v>
      </c>
      <c r="I12" s="514">
        <f t="shared" si="9"/>
        <v>2</v>
      </c>
      <c r="J12" s="514">
        <f t="shared" si="9"/>
        <v>3</v>
      </c>
      <c r="K12" s="514">
        <f t="shared" si="9"/>
        <v>4</v>
      </c>
      <c r="L12" s="514">
        <f t="shared" si="9"/>
        <v>5</v>
      </c>
      <c r="M12" s="514">
        <f t="shared" si="9"/>
        <v>6</v>
      </c>
      <c r="N12" s="514">
        <f t="shared" si="9"/>
        <v>7</v>
      </c>
      <c r="O12" s="514">
        <f t="shared" si="9"/>
        <v>8</v>
      </c>
      <c r="P12" s="514">
        <f t="shared" si="9"/>
        <v>9</v>
      </c>
      <c r="Q12" s="514">
        <f t="shared" si="9"/>
        <v>10</v>
      </c>
      <c r="R12" s="514">
        <f t="shared" si="9"/>
        <v>11</v>
      </c>
      <c r="S12" s="514">
        <f t="shared" si="9"/>
        <v>12</v>
      </c>
      <c r="T12" s="514">
        <f t="shared" si="9"/>
        <v>13</v>
      </c>
      <c r="U12" s="514">
        <f t="shared" si="9"/>
        <v>14</v>
      </c>
      <c r="V12" s="514">
        <f t="shared" si="9"/>
        <v>15</v>
      </c>
      <c r="W12" s="514">
        <f t="shared" si="9"/>
        <v>16</v>
      </c>
      <c r="X12" s="514">
        <f t="shared" si="9"/>
        <v>17</v>
      </c>
      <c r="Y12" s="514">
        <f t="shared" si="9"/>
        <v>18</v>
      </c>
      <c r="Z12" s="514">
        <f t="shared" si="9"/>
        <v>19</v>
      </c>
      <c r="AA12" s="514">
        <f t="shared" si="9"/>
        <v>20</v>
      </c>
      <c r="AB12" s="514">
        <f t="shared" si="9"/>
        <v>21</v>
      </c>
      <c r="AC12" s="514">
        <f t="shared" si="9"/>
        <v>22</v>
      </c>
      <c r="AD12" s="514">
        <f t="shared" si="9"/>
        <v>23</v>
      </c>
      <c r="AE12" s="514">
        <f t="shared" si="9"/>
        <v>24</v>
      </c>
      <c r="AF12" s="514">
        <f t="shared" si="9"/>
        <v>25</v>
      </c>
      <c r="AG12" s="514">
        <f t="shared" si="9"/>
        <v>26</v>
      </c>
      <c r="AH12" s="514">
        <f t="shared" si="9"/>
        <v>27</v>
      </c>
      <c r="AI12" s="514">
        <f t="shared" si="9"/>
        <v>28</v>
      </c>
      <c r="AJ12" s="514">
        <f t="shared" si="9"/>
        <v>28</v>
      </c>
      <c r="AK12" s="514">
        <f t="shared" si="9"/>
        <v>29</v>
      </c>
      <c r="AL12" s="514">
        <f t="shared" si="9"/>
        <v>30</v>
      </c>
      <c r="AM12" s="514">
        <f t="shared" si="9"/>
        <v>31</v>
      </c>
      <c r="AN12" s="514">
        <f t="shared" si="9"/>
        <v>32</v>
      </c>
      <c r="AO12" s="514">
        <f t="shared" si="9"/>
        <v>33</v>
      </c>
      <c r="AP12" s="514">
        <f t="shared" si="9"/>
        <v>34</v>
      </c>
      <c r="AQ12" s="514">
        <f t="shared" si="9"/>
        <v>35</v>
      </c>
      <c r="AR12" s="514">
        <f t="shared" si="9"/>
        <v>36</v>
      </c>
      <c r="AS12" s="514">
        <f t="shared" si="9"/>
        <v>37</v>
      </c>
      <c r="AT12" s="514">
        <f t="shared" si="9"/>
        <v>38</v>
      </c>
      <c r="AU12" s="514">
        <f t="shared" si="9"/>
        <v>39</v>
      </c>
      <c r="AV12" s="514">
        <f t="shared" si="9"/>
        <v>40</v>
      </c>
      <c r="AW12" s="514">
        <f t="shared" si="9"/>
        <v>41</v>
      </c>
      <c r="AX12" s="514">
        <f t="shared" si="9"/>
        <v>42</v>
      </c>
      <c r="AY12" s="514">
        <f t="shared" si="9"/>
        <v>43</v>
      </c>
      <c r="AZ12" s="514">
        <f t="shared" si="9"/>
        <v>44</v>
      </c>
      <c r="BA12" s="514">
        <f t="shared" si="9"/>
        <v>45</v>
      </c>
      <c r="BB12" s="514">
        <f t="shared" si="9"/>
        <v>46</v>
      </c>
      <c r="BC12" s="514">
        <f t="shared" si="9"/>
        <v>47</v>
      </c>
      <c r="BD12" s="514">
        <f t="shared" si="9"/>
        <v>48</v>
      </c>
      <c r="BE12" s="514">
        <f t="shared" si="9"/>
        <v>49</v>
      </c>
      <c r="BF12" s="514">
        <f t="shared" si="9"/>
        <v>50</v>
      </c>
      <c r="BG12" s="514">
        <f t="shared" si="9"/>
        <v>51</v>
      </c>
      <c r="BH12" s="514">
        <f t="shared" si="9"/>
        <v>52</v>
      </c>
      <c r="BI12" s="514">
        <f t="shared" si="9"/>
        <v>53</v>
      </c>
      <c r="BJ12" s="514">
        <f t="shared" si="9"/>
        <v>54</v>
      </c>
      <c r="BK12" s="514">
        <f t="shared" si="9"/>
        <v>55</v>
      </c>
      <c r="BL12" s="514">
        <f t="shared" si="9"/>
        <v>56</v>
      </c>
      <c r="BM12" s="514">
        <f t="shared" si="9"/>
        <v>56</v>
      </c>
      <c r="BN12" s="514">
        <f t="shared" si="9"/>
        <v>57</v>
      </c>
      <c r="BO12" s="514">
        <f t="shared" si="9"/>
        <v>58</v>
      </c>
      <c r="BP12" s="514">
        <f t="shared" si="9"/>
        <v>59</v>
      </c>
      <c r="BQ12" s="514">
        <f t="shared" si="9"/>
        <v>60</v>
      </c>
      <c r="BR12" s="514">
        <f t="shared" si="9"/>
        <v>61</v>
      </c>
      <c r="BS12" s="514">
        <f t="shared" si="9"/>
        <v>62</v>
      </c>
      <c r="BT12" s="514">
        <f t="shared" si="9"/>
        <v>63</v>
      </c>
      <c r="BU12" s="514">
        <f t="shared" si="9"/>
        <v>64</v>
      </c>
      <c r="BV12" s="514">
        <f t="shared" si="9"/>
        <v>65</v>
      </c>
      <c r="BW12" s="514">
        <f t="shared" si="9"/>
        <v>66</v>
      </c>
      <c r="BX12" s="514">
        <f t="shared" si="9"/>
        <v>67</v>
      </c>
      <c r="BY12" s="514">
        <f t="shared" si="9"/>
        <v>68</v>
      </c>
      <c r="BZ12" s="514">
        <f t="shared" si="9"/>
        <v>69</v>
      </c>
      <c r="CA12" s="514">
        <f t="shared" si="9"/>
        <v>70</v>
      </c>
      <c r="CB12" s="514">
        <f t="shared" si="9"/>
        <v>71</v>
      </c>
      <c r="CC12" s="514">
        <f t="shared" si="9"/>
        <v>72</v>
      </c>
      <c r="CD12" s="514">
        <f t="shared" si="9"/>
        <v>73</v>
      </c>
      <c r="CE12" s="514">
        <f t="shared" si="9"/>
        <v>74</v>
      </c>
      <c r="CF12" s="514">
        <f t="shared" si="9"/>
        <v>75</v>
      </c>
      <c r="CG12" s="514">
        <f t="shared" si="9"/>
        <v>76</v>
      </c>
      <c r="CH12" s="514">
        <f t="shared" si="9"/>
        <v>77</v>
      </c>
      <c r="CI12" s="514">
        <f t="shared" si="9"/>
        <v>78</v>
      </c>
      <c r="CJ12" s="514">
        <f t="shared" si="9"/>
        <v>79</v>
      </c>
      <c r="CK12" s="514">
        <f t="shared" si="9"/>
        <v>80</v>
      </c>
      <c r="CL12" s="514">
        <f t="shared" si="9"/>
        <v>81</v>
      </c>
      <c r="CM12" s="514">
        <f t="shared" si="9"/>
        <v>82</v>
      </c>
      <c r="CN12" s="514">
        <f t="shared" si="9"/>
        <v>83</v>
      </c>
      <c r="CO12" s="514">
        <f t="shared" si="9"/>
        <v>84</v>
      </c>
      <c r="CP12" s="514">
        <f t="shared" si="9"/>
        <v>85</v>
      </c>
      <c r="CQ12" s="514">
        <f t="shared" si="9"/>
        <v>85</v>
      </c>
      <c r="CR12" s="514">
        <f t="shared" si="9"/>
        <v>86</v>
      </c>
      <c r="CS12" s="514">
        <f t="shared" si="9"/>
        <v>87</v>
      </c>
      <c r="CT12" s="514">
        <f t="shared" si="9"/>
        <v>88</v>
      </c>
      <c r="CU12" s="514">
        <f t="shared" si="9"/>
        <v>89</v>
      </c>
      <c r="CV12" s="514">
        <f t="shared" si="9"/>
        <v>90</v>
      </c>
      <c r="CW12" s="514">
        <f t="shared" si="9"/>
        <v>91</v>
      </c>
      <c r="CX12" s="514">
        <f t="shared" si="9"/>
        <v>92</v>
      </c>
      <c r="CY12" s="514">
        <f t="shared" si="9"/>
        <v>93</v>
      </c>
      <c r="CZ12" s="514">
        <f t="shared" si="9"/>
        <v>94</v>
      </c>
      <c r="DA12" s="514">
        <f t="shared" si="9"/>
        <v>95</v>
      </c>
      <c r="DB12" s="514">
        <f t="shared" si="9"/>
        <v>96</v>
      </c>
      <c r="DC12" s="514">
        <f t="shared" si="9"/>
        <v>97</v>
      </c>
      <c r="DD12" s="514">
        <f t="shared" si="9"/>
        <v>98</v>
      </c>
      <c r="DE12" s="514">
        <f t="shared" si="9"/>
        <v>99</v>
      </c>
      <c r="DF12" s="514">
        <f t="shared" si="9"/>
        <v>100</v>
      </c>
      <c r="DG12" s="514">
        <f t="shared" si="9"/>
        <v>101</v>
      </c>
      <c r="DH12" s="514">
        <f t="shared" si="9"/>
        <v>102</v>
      </c>
      <c r="DI12" s="514">
        <f t="shared" si="9"/>
        <v>103</v>
      </c>
      <c r="DJ12" s="514">
        <f t="shared" si="9"/>
        <v>104</v>
      </c>
    </row>
    <row r="13">
      <c r="A13" s="513" t="s">
        <v>1640</v>
      </c>
      <c r="B13" s="513" t="b">
        <f t="shared" si="6"/>
        <v>0</v>
      </c>
      <c r="C13" s="513" t="s">
        <v>35</v>
      </c>
      <c r="D13" s="516">
        <f>if(B14,0.25,if(B13,1,0))</f>
        <v>0</v>
      </c>
      <c r="E13" s="516">
        <f>1-'Sheet 1'!K51/3000</f>
        <v>0.9606666667</v>
      </c>
      <c r="F13" s="514">
        <f t="shared" ref="F13:DJ13" si="10">int(F$1*$E13)</f>
        <v>0</v>
      </c>
      <c r="G13" s="514">
        <f t="shared" si="10"/>
        <v>0</v>
      </c>
      <c r="H13" s="514">
        <f t="shared" si="10"/>
        <v>1</v>
      </c>
      <c r="I13" s="514">
        <f t="shared" si="10"/>
        <v>2</v>
      </c>
      <c r="J13" s="514">
        <f t="shared" si="10"/>
        <v>3</v>
      </c>
      <c r="K13" s="514">
        <f t="shared" si="10"/>
        <v>4</v>
      </c>
      <c r="L13" s="514">
        <f t="shared" si="10"/>
        <v>5</v>
      </c>
      <c r="M13" s="514">
        <f t="shared" si="10"/>
        <v>6</v>
      </c>
      <c r="N13" s="514">
        <f t="shared" si="10"/>
        <v>7</v>
      </c>
      <c r="O13" s="514">
        <f t="shared" si="10"/>
        <v>8</v>
      </c>
      <c r="P13" s="514">
        <f t="shared" si="10"/>
        <v>9</v>
      </c>
      <c r="Q13" s="514">
        <f t="shared" si="10"/>
        <v>10</v>
      </c>
      <c r="R13" s="514">
        <f t="shared" si="10"/>
        <v>11</v>
      </c>
      <c r="S13" s="514">
        <f t="shared" si="10"/>
        <v>12</v>
      </c>
      <c r="T13" s="514">
        <f t="shared" si="10"/>
        <v>13</v>
      </c>
      <c r="U13" s="514">
        <f t="shared" si="10"/>
        <v>14</v>
      </c>
      <c r="V13" s="514">
        <f t="shared" si="10"/>
        <v>15</v>
      </c>
      <c r="W13" s="514">
        <f t="shared" si="10"/>
        <v>16</v>
      </c>
      <c r="X13" s="514">
        <f t="shared" si="10"/>
        <v>17</v>
      </c>
      <c r="Y13" s="514">
        <f t="shared" si="10"/>
        <v>18</v>
      </c>
      <c r="Z13" s="514">
        <f t="shared" si="10"/>
        <v>19</v>
      </c>
      <c r="AA13" s="514">
        <f t="shared" si="10"/>
        <v>20</v>
      </c>
      <c r="AB13" s="514">
        <f t="shared" si="10"/>
        <v>21</v>
      </c>
      <c r="AC13" s="514">
        <f t="shared" si="10"/>
        <v>22</v>
      </c>
      <c r="AD13" s="514">
        <f t="shared" si="10"/>
        <v>23</v>
      </c>
      <c r="AE13" s="514">
        <f t="shared" si="10"/>
        <v>24</v>
      </c>
      <c r="AF13" s="514">
        <f t="shared" si="10"/>
        <v>24</v>
      </c>
      <c r="AG13" s="514">
        <f t="shared" si="10"/>
        <v>25</v>
      </c>
      <c r="AH13" s="514">
        <f t="shared" si="10"/>
        <v>26</v>
      </c>
      <c r="AI13" s="514">
        <f t="shared" si="10"/>
        <v>27</v>
      </c>
      <c r="AJ13" s="514">
        <f t="shared" si="10"/>
        <v>28</v>
      </c>
      <c r="AK13" s="514">
        <f t="shared" si="10"/>
        <v>29</v>
      </c>
      <c r="AL13" s="514">
        <f t="shared" si="10"/>
        <v>30</v>
      </c>
      <c r="AM13" s="514">
        <f t="shared" si="10"/>
        <v>31</v>
      </c>
      <c r="AN13" s="514">
        <f t="shared" si="10"/>
        <v>32</v>
      </c>
      <c r="AO13" s="514">
        <f t="shared" si="10"/>
        <v>33</v>
      </c>
      <c r="AP13" s="514">
        <f t="shared" si="10"/>
        <v>34</v>
      </c>
      <c r="AQ13" s="514">
        <f t="shared" si="10"/>
        <v>35</v>
      </c>
      <c r="AR13" s="514">
        <f t="shared" si="10"/>
        <v>36</v>
      </c>
      <c r="AS13" s="514">
        <f t="shared" si="10"/>
        <v>37</v>
      </c>
      <c r="AT13" s="514">
        <f t="shared" si="10"/>
        <v>38</v>
      </c>
      <c r="AU13" s="514">
        <f t="shared" si="10"/>
        <v>39</v>
      </c>
      <c r="AV13" s="514">
        <f t="shared" si="10"/>
        <v>40</v>
      </c>
      <c r="AW13" s="514">
        <f t="shared" si="10"/>
        <v>41</v>
      </c>
      <c r="AX13" s="514">
        <f t="shared" si="10"/>
        <v>42</v>
      </c>
      <c r="AY13" s="514">
        <f t="shared" si="10"/>
        <v>43</v>
      </c>
      <c r="AZ13" s="514">
        <f t="shared" si="10"/>
        <v>44</v>
      </c>
      <c r="BA13" s="514">
        <f t="shared" si="10"/>
        <v>45</v>
      </c>
      <c r="BB13" s="514">
        <f t="shared" si="10"/>
        <v>46</v>
      </c>
      <c r="BC13" s="514">
        <f t="shared" si="10"/>
        <v>47</v>
      </c>
      <c r="BD13" s="514">
        <f t="shared" si="10"/>
        <v>48</v>
      </c>
      <c r="BE13" s="514">
        <f t="shared" si="10"/>
        <v>48</v>
      </c>
      <c r="BF13" s="514">
        <f t="shared" si="10"/>
        <v>49</v>
      </c>
      <c r="BG13" s="514">
        <f t="shared" si="10"/>
        <v>50</v>
      </c>
      <c r="BH13" s="514">
        <f t="shared" si="10"/>
        <v>51</v>
      </c>
      <c r="BI13" s="514">
        <f t="shared" si="10"/>
        <v>52</v>
      </c>
      <c r="BJ13" s="514">
        <f t="shared" si="10"/>
        <v>53</v>
      </c>
      <c r="BK13" s="514">
        <f t="shared" si="10"/>
        <v>54</v>
      </c>
      <c r="BL13" s="514">
        <f t="shared" si="10"/>
        <v>55</v>
      </c>
      <c r="BM13" s="514">
        <f t="shared" si="10"/>
        <v>56</v>
      </c>
      <c r="BN13" s="514">
        <f t="shared" si="10"/>
        <v>57</v>
      </c>
      <c r="BO13" s="514">
        <f t="shared" si="10"/>
        <v>58</v>
      </c>
      <c r="BP13" s="514">
        <f t="shared" si="10"/>
        <v>59</v>
      </c>
      <c r="BQ13" s="514">
        <f t="shared" si="10"/>
        <v>60</v>
      </c>
      <c r="BR13" s="514">
        <f t="shared" si="10"/>
        <v>61</v>
      </c>
      <c r="BS13" s="514">
        <f t="shared" si="10"/>
        <v>62</v>
      </c>
      <c r="BT13" s="514">
        <f t="shared" si="10"/>
        <v>63</v>
      </c>
      <c r="BU13" s="514">
        <f t="shared" si="10"/>
        <v>64</v>
      </c>
      <c r="BV13" s="514">
        <f t="shared" si="10"/>
        <v>65</v>
      </c>
      <c r="BW13" s="514">
        <f t="shared" si="10"/>
        <v>66</v>
      </c>
      <c r="BX13" s="514">
        <f t="shared" si="10"/>
        <v>67</v>
      </c>
      <c r="BY13" s="514">
        <f t="shared" si="10"/>
        <v>68</v>
      </c>
      <c r="BZ13" s="514">
        <f t="shared" si="10"/>
        <v>69</v>
      </c>
      <c r="CA13" s="514">
        <f t="shared" si="10"/>
        <v>70</v>
      </c>
      <c r="CB13" s="514">
        <f t="shared" si="10"/>
        <v>71</v>
      </c>
      <c r="CC13" s="514">
        <f t="shared" si="10"/>
        <v>72</v>
      </c>
      <c r="CD13" s="514">
        <f t="shared" si="10"/>
        <v>73</v>
      </c>
      <c r="CE13" s="514">
        <f t="shared" si="10"/>
        <v>73</v>
      </c>
      <c r="CF13" s="514">
        <f t="shared" si="10"/>
        <v>74</v>
      </c>
      <c r="CG13" s="514">
        <f t="shared" si="10"/>
        <v>75</v>
      </c>
      <c r="CH13" s="514">
        <f t="shared" si="10"/>
        <v>76</v>
      </c>
      <c r="CI13" s="514">
        <f t="shared" si="10"/>
        <v>77</v>
      </c>
      <c r="CJ13" s="514">
        <f t="shared" si="10"/>
        <v>78</v>
      </c>
      <c r="CK13" s="514">
        <f t="shared" si="10"/>
        <v>79</v>
      </c>
      <c r="CL13" s="514">
        <f t="shared" si="10"/>
        <v>80</v>
      </c>
      <c r="CM13" s="514">
        <f t="shared" si="10"/>
        <v>81</v>
      </c>
      <c r="CN13" s="514">
        <f t="shared" si="10"/>
        <v>82</v>
      </c>
      <c r="CO13" s="514">
        <f t="shared" si="10"/>
        <v>83</v>
      </c>
      <c r="CP13" s="514">
        <f t="shared" si="10"/>
        <v>84</v>
      </c>
      <c r="CQ13" s="514">
        <f t="shared" si="10"/>
        <v>85</v>
      </c>
      <c r="CR13" s="514">
        <f t="shared" si="10"/>
        <v>86</v>
      </c>
      <c r="CS13" s="514">
        <f t="shared" si="10"/>
        <v>87</v>
      </c>
      <c r="CT13" s="514">
        <f t="shared" si="10"/>
        <v>88</v>
      </c>
      <c r="CU13" s="514">
        <f t="shared" si="10"/>
        <v>89</v>
      </c>
      <c r="CV13" s="514">
        <f t="shared" si="10"/>
        <v>90</v>
      </c>
      <c r="CW13" s="514">
        <f t="shared" si="10"/>
        <v>91</v>
      </c>
      <c r="CX13" s="514">
        <f t="shared" si="10"/>
        <v>92</v>
      </c>
      <c r="CY13" s="514">
        <f t="shared" si="10"/>
        <v>93</v>
      </c>
      <c r="CZ13" s="514">
        <f t="shared" si="10"/>
        <v>94</v>
      </c>
      <c r="DA13" s="514">
        <f t="shared" si="10"/>
        <v>95</v>
      </c>
      <c r="DB13" s="514">
        <f t="shared" si="10"/>
        <v>96</v>
      </c>
      <c r="DC13" s="514">
        <f t="shared" si="10"/>
        <v>97</v>
      </c>
      <c r="DD13" s="514">
        <f t="shared" si="10"/>
        <v>97</v>
      </c>
      <c r="DE13" s="514">
        <f t="shared" si="10"/>
        <v>98</v>
      </c>
      <c r="DF13" s="514">
        <f t="shared" si="10"/>
        <v>99</v>
      </c>
      <c r="DG13" s="514">
        <f t="shared" si="10"/>
        <v>100</v>
      </c>
      <c r="DH13" s="514">
        <f t="shared" si="10"/>
        <v>101</v>
      </c>
      <c r="DI13" s="514">
        <f t="shared" si="10"/>
        <v>102</v>
      </c>
      <c r="DJ13" s="514">
        <f t="shared" si="10"/>
        <v>103</v>
      </c>
    </row>
    <row r="14">
      <c r="A14" s="513" t="s">
        <v>1667</v>
      </c>
      <c r="B14" s="513" t="b">
        <f t="shared" si="6"/>
        <v>0</v>
      </c>
      <c r="C14" s="513" t="s">
        <v>35</v>
      </c>
      <c r="D14" s="516" t="str">
        <f>D12</f>
        <v/>
      </c>
      <c r="E14" s="516">
        <f>E13</f>
        <v>0.9606666667</v>
      </c>
      <c r="F14" s="514">
        <f t="shared" ref="F14:DJ14" si="11">int(F$5*$E14)</f>
        <v>0</v>
      </c>
      <c r="G14" s="514">
        <f t="shared" si="11"/>
        <v>0</v>
      </c>
      <c r="H14" s="514">
        <f t="shared" si="11"/>
        <v>1</v>
      </c>
      <c r="I14" s="514">
        <f t="shared" si="11"/>
        <v>2</v>
      </c>
      <c r="J14" s="514">
        <f t="shared" si="11"/>
        <v>3</v>
      </c>
      <c r="K14" s="514">
        <f t="shared" si="11"/>
        <v>4</v>
      </c>
      <c r="L14" s="514">
        <f t="shared" si="11"/>
        <v>5</v>
      </c>
      <c r="M14" s="514">
        <f t="shared" si="11"/>
        <v>6</v>
      </c>
      <c r="N14" s="514">
        <f t="shared" si="11"/>
        <v>7</v>
      </c>
      <c r="O14" s="514">
        <f t="shared" si="11"/>
        <v>8</v>
      </c>
      <c r="P14" s="514">
        <f t="shared" si="11"/>
        <v>9</v>
      </c>
      <c r="Q14" s="514">
        <f t="shared" si="11"/>
        <v>10</v>
      </c>
      <c r="R14" s="514">
        <f t="shared" si="11"/>
        <v>11</v>
      </c>
      <c r="S14" s="514">
        <f t="shared" si="11"/>
        <v>12</v>
      </c>
      <c r="T14" s="514">
        <f t="shared" si="11"/>
        <v>13</v>
      </c>
      <c r="U14" s="514">
        <f t="shared" si="11"/>
        <v>14</v>
      </c>
      <c r="V14" s="514">
        <f t="shared" si="11"/>
        <v>15</v>
      </c>
      <c r="W14" s="514">
        <f t="shared" si="11"/>
        <v>16</v>
      </c>
      <c r="X14" s="514">
        <f t="shared" si="11"/>
        <v>17</v>
      </c>
      <c r="Y14" s="514">
        <f t="shared" si="11"/>
        <v>18</v>
      </c>
      <c r="Z14" s="514">
        <f t="shared" si="11"/>
        <v>19</v>
      </c>
      <c r="AA14" s="514">
        <f t="shared" si="11"/>
        <v>20</v>
      </c>
      <c r="AB14" s="514">
        <f t="shared" si="11"/>
        <v>21</v>
      </c>
      <c r="AC14" s="514">
        <f t="shared" si="11"/>
        <v>22</v>
      </c>
      <c r="AD14" s="514">
        <f t="shared" si="11"/>
        <v>23</v>
      </c>
      <c r="AE14" s="514">
        <f t="shared" si="11"/>
        <v>24</v>
      </c>
      <c r="AF14" s="514">
        <f t="shared" si="11"/>
        <v>24</v>
      </c>
      <c r="AG14" s="514">
        <f t="shared" si="11"/>
        <v>25</v>
      </c>
      <c r="AH14" s="514">
        <f t="shared" si="11"/>
        <v>26</v>
      </c>
      <c r="AI14" s="514">
        <f t="shared" si="11"/>
        <v>27</v>
      </c>
      <c r="AJ14" s="514">
        <f t="shared" si="11"/>
        <v>28</v>
      </c>
      <c r="AK14" s="514">
        <f t="shared" si="11"/>
        <v>29</v>
      </c>
      <c r="AL14" s="514">
        <f t="shared" si="11"/>
        <v>30</v>
      </c>
      <c r="AM14" s="514">
        <f t="shared" si="11"/>
        <v>31</v>
      </c>
      <c r="AN14" s="514">
        <f t="shared" si="11"/>
        <v>32</v>
      </c>
      <c r="AO14" s="514">
        <f t="shared" si="11"/>
        <v>33</v>
      </c>
      <c r="AP14" s="514">
        <f t="shared" si="11"/>
        <v>34</v>
      </c>
      <c r="AQ14" s="514">
        <f t="shared" si="11"/>
        <v>35</v>
      </c>
      <c r="AR14" s="514">
        <f t="shared" si="11"/>
        <v>36</v>
      </c>
      <c r="AS14" s="514">
        <f t="shared" si="11"/>
        <v>37</v>
      </c>
      <c r="AT14" s="514">
        <f t="shared" si="11"/>
        <v>38</v>
      </c>
      <c r="AU14" s="514">
        <f t="shared" si="11"/>
        <v>39</v>
      </c>
      <c r="AV14" s="514">
        <f t="shared" si="11"/>
        <v>40</v>
      </c>
      <c r="AW14" s="514">
        <f t="shared" si="11"/>
        <v>41</v>
      </c>
      <c r="AX14" s="514">
        <f t="shared" si="11"/>
        <v>42</v>
      </c>
      <c r="AY14" s="514">
        <f t="shared" si="11"/>
        <v>43</v>
      </c>
      <c r="AZ14" s="514">
        <f t="shared" si="11"/>
        <v>44</v>
      </c>
      <c r="BA14" s="514">
        <f t="shared" si="11"/>
        <v>45</v>
      </c>
      <c r="BB14" s="514">
        <f t="shared" si="11"/>
        <v>46</v>
      </c>
      <c r="BC14" s="514">
        <f t="shared" si="11"/>
        <v>47</v>
      </c>
      <c r="BD14" s="514">
        <f t="shared" si="11"/>
        <v>48</v>
      </c>
      <c r="BE14" s="514">
        <f t="shared" si="11"/>
        <v>48</v>
      </c>
      <c r="BF14" s="514">
        <f t="shared" si="11"/>
        <v>49</v>
      </c>
      <c r="BG14" s="514">
        <f t="shared" si="11"/>
        <v>50</v>
      </c>
      <c r="BH14" s="514">
        <f t="shared" si="11"/>
        <v>51</v>
      </c>
      <c r="BI14" s="514">
        <f t="shared" si="11"/>
        <v>52</v>
      </c>
      <c r="BJ14" s="514">
        <f t="shared" si="11"/>
        <v>53</v>
      </c>
      <c r="BK14" s="514">
        <f t="shared" si="11"/>
        <v>54</v>
      </c>
      <c r="BL14" s="514">
        <f t="shared" si="11"/>
        <v>55</v>
      </c>
      <c r="BM14" s="514">
        <f t="shared" si="11"/>
        <v>56</v>
      </c>
      <c r="BN14" s="514">
        <f t="shared" si="11"/>
        <v>57</v>
      </c>
      <c r="BO14" s="514">
        <f t="shared" si="11"/>
        <v>58</v>
      </c>
      <c r="BP14" s="514">
        <f t="shared" si="11"/>
        <v>59</v>
      </c>
      <c r="BQ14" s="514">
        <f t="shared" si="11"/>
        <v>60</v>
      </c>
      <c r="BR14" s="514">
        <f t="shared" si="11"/>
        <v>61</v>
      </c>
      <c r="BS14" s="514">
        <f t="shared" si="11"/>
        <v>62</v>
      </c>
      <c r="BT14" s="514">
        <f t="shared" si="11"/>
        <v>63</v>
      </c>
      <c r="BU14" s="514">
        <f t="shared" si="11"/>
        <v>64</v>
      </c>
      <c r="BV14" s="514">
        <f t="shared" si="11"/>
        <v>65</v>
      </c>
      <c r="BW14" s="514">
        <f t="shared" si="11"/>
        <v>66</v>
      </c>
      <c r="BX14" s="514">
        <f t="shared" si="11"/>
        <v>67</v>
      </c>
      <c r="BY14" s="514">
        <f t="shared" si="11"/>
        <v>68</v>
      </c>
      <c r="BZ14" s="514">
        <f t="shared" si="11"/>
        <v>69</v>
      </c>
      <c r="CA14" s="514">
        <f t="shared" si="11"/>
        <v>70</v>
      </c>
      <c r="CB14" s="514">
        <f t="shared" si="11"/>
        <v>71</v>
      </c>
      <c r="CC14" s="514">
        <f t="shared" si="11"/>
        <v>72</v>
      </c>
      <c r="CD14" s="514">
        <f t="shared" si="11"/>
        <v>73</v>
      </c>
      <c r="CE14" s="514">
        <f t="shared" si="11"/>
        <v>73</v>
      </c>
      <c r="CF14" s="514">
        <f t="shared" si="11"/>
        <v>74</v>
      </c>
      <c r="CG14" s="514">
        <f t="shared" si="11"/>
        <v>75</v>
      </c>
      <c r="CH14" s="514">
        <f t="shared" si="11"/>
        <v>76</v>
      </c>
      <c r="CI14" s="514">
        <f t="shared" si="11"/>
        <v>77</v>
      </c>
      <c r="CJ14" s="514">
        <f t="shared" si="11"/>
        <v>78</v>
      </c>
      <c r="CK14" s="514">
        <f t="shared" si="11"/>
        <v>79</v>
      </c>
      <c r="CL14" s="514">
        <f t="shared" si="11"/>
        <v>80</v>
      </c>
      <c r="CM14" s="514">
        <f t="shared" si="11"/>
        <v>81</v>
      </c>
      <c r="CN14" s="514">
        <f t="shared" si="11"/>
        <v>82</v>
      </c>
      <c r="CO14" s="514">
        <f t="shared" si="11"/>
        <v>83</v>
      </c>
      <c r="CP14" s="514">
        <f t="shared" si="11"/>
        <v>84</v>
      </c>
      <c r="CQ14" s="514">
        <f t="shared" si="11"/>
        <v>85</v>
      </c>
      <c r="CR14" s="514">
        <f t="shared" si="11"/>
        <v>86</v>
      </c>
      <c r="CS14" s="514">
        <f t="shared" si="11"/>
        <v>87</v>
      </c>
      <c r="CT14" s="514">
        <f t="shared" si="11"/>
        <v>88</v>
      </c>
      <c r="CU14" s="514">
        <f t="shared" si="11"/>
        <v>89</v>
      </c>
      <c r="CV14" s="514">
        <f t="shared" si="11"/>
        <v>90</v>
      </c>
      <c r="CW14" s="514">
        <f t="shared" si="11"/>
        <v>91</v>
      </c>
      <c r="CX14" s="514">
        <f t="shared" si="11"/>
        <v>92</v>
      </c>
      <c r="CY14" s="514">
        <f t="shared" si="11"/>
        <v>93</v>
      </c>
      <c r="CZ14" s="514">
        <f t="shared" si="11"/>
        <v>94</v>
      </c>
      <c r="DA14" s="514">
        <f t="shared" si="11"/>
        <v>95</v>
      </c>
      <c r="DB14" s="514">
        <f t="shared" si="11"/>
        <v>96</v>
      </c>
      <c r="DC14" s="514">
        <f t="shared" si="11"/>
        <v>97</v>
      </c>
      <c r="DD14" s="514">
        <f t="shared" si="11"/>
        <v>97</v>
      </c>
      <c r="DE14" s="514">
        <f t="shared" si="11"/>
        <v>98</v>
      </c>
      <c r="DF14" s="514">
        <f t="shared" si="11"/>
        <v>99</v>
      </c>
      <c r="DG14" s="514">
        <f t="shared" si="11"/>
        <v>100</v>
      </c>
      <c r="DH14" s="514">
        <f t="shared" si="11"/>
        <v>101</v>
      </c>
      <c r="DI14" s="514">
        <f t="shared" si="11"/>
        <v>102</v>
      </c>
      <c r="DJ14" s="514">
        <f t="shared" si="11"/>
        <v>103</v>
      </c>
    </row>
    <row r="15">
      <c r="A15" s="513" t="s">
        <v>1640</v>
      </c>
      <c r="B15" s="513" t="b">
        <f t="shared" si="6"/>
        <v>0</v>
      </c>
      <c r="C15" s="513" t="s">
        <v>39</v>
      </c>
      <c r="D15" s="516">
        <f>if(B16,0.25,if(B15,1,0))</f>
        <v>0</v>
      </c>
      <c r="E15" s="516">
        <f>1-'Sheet 1'!L51/3000</f>
        <v>0.9983333333</v>
      </c>
      <c r="F15" s="514">
        <f t="shared" ref="F15:DJ15" si="12">int(F$1*$E15)</f>
        <v>0</v>
      </c>
      <c r="G15" s="514">
        <f t="shared" si="12"/>
        <v>0</v>
      </c>
      <c r="H15" s="514">
        <f t="shared" si="12"/>
        <v>1</v>
      </c>
      <c r="I15" s="514">
        <f t="shared" si="12"/>
        <v>2</v>
      </c>
      <c r="J15" s="514">
        <f t="shared" si="12"/>
        <v>3</v>
      </c>
      <c r="K15" s="514">
        <f t="shared" si="12"/>
        <v>4</v>
      </c>
      <c r="L15" s="514">
        <f t="shared" si="12"/>
        <v>5</v>
      </c>
      <c r="M15" s="514">
        <f t="shared" si="12"/>
        <v>6</v>
      </c>
      <c r="N15" s="514">
        <f t="shared" si="12"/>
        <v>7</v>
      </c>
      <c r="O15" s="514">
        <f t="shared" si="12"/>
        <v>8</v>
      </c>
      <c r="P15" s="514">
        <f t="shared" si="12"/>
        <v>9</v>
      </c>
      <c r="Q15" s="514">
        <f t="shared" si="12"/>
        <v>10</v>
      </c>
      <c r="R15" s="514">
        <f t="shared" si="12"/>
        <v>11</v>
      </c>
      <c r="S15" s="514">
        <f t="shared" si="12"/>
        <v>12</v>
      </c>
      <c r="T15" s="514">
        <f t="shared" si="12"/>
        <v>13</v>
      </c>
      <c r="U15" s="514">
        <f t="shared" si="12"/>
        <v>14</v>
      </c>
      <c r="V15" s="514">
        <f t="shared" si="12"/>
        <v>15</v>
      </c>
      <c r="W15" s="514">
        <f t="shared" si="12"/>
        <v>16</v>
      </c>
      <c r="X15" s="514">
        <f t="shared" si="12"/>
        <v>17</v>
      </c>
      <c r="Y15" s="514">
        <f t="shared" si="12"/>
        <v>18</v>
      </c>
      <c r="Z15" s="514">
        <f t="shared" si="12"/>
        <v>19</v>
      </c>
      <c r="AA15" s="514">
        <f t="shared" si="12"/>
        <v>20</v>
      </c>
      <c r="AB15" s="514">
        <f t="shared" si="12"/>
        <v>21</v>
      </c>
      <c r="AC15" s="514">
        <f t="shared" si="12"/>
        <v>22</v>
      </c>
      <c r="AD15" s="514">
        <f t="shared" si="12"/>
        <v>23</v>
      </c>
      <c r="AE15" s="514">
        <f t="shared" si="12"/>
        <v>24</v>
      </c>
      <c r="AF15" s="514">
        <f t="shared" si="12"/>
        <v>25</v>
      </c>
      <c r="AG15" s="514">
        <f t="shared" si="12"/>
        <v>26</v>
      </c>
      <c r="AH15" s="514">
        <f t="shared" si="12"/>
        <v>27</v>
      </c>
      <c r="AI15" s="514">
        <f t="shared" si="12"/>
        <v>28</v>
      </c>
      <c r="AJ15" s="514">
        <f t="shared" si="12"/>
        <v>29</v>
      </c>
      <c r="AK15" s="514">
        <f t="shared" si="12"/>
        <v>30</v>
      </c>
      <c r="AL15" s="514">
        <f t="shared" si="12"/>
        <v>31</v>
      </c>
      <c r="AM15" s="514">
        <f t="shared" si="12"/>
        <v>32</v>
      </c>
      <c r="AN15" s="514">
        <f t="shared" si="12"/>
        <v>33</v>
      </c>
      <c r="AO15" s="514">
        <f t="shared" si="12"/>
        <v>34</v>
      </c>
      <c r="AP15" s="514">
        <f t="shared" si="12"/>
        <v>35</v>
      </c>
      <c r="AQ15" s="514">
        <f t="shared" si="12"/>
        <v>36</v>
      </c>
      <c r="AR15" s="514">
        <f t="shared" si="12"/>
        <v>37</v>
      </c>
      <c r="AS15" s="514">
        <f t="shared" si="12"/>
        <v>38</v>
      </c>
      <c r="AT15" s="514">
        <f t="shared" si="12"/>
        <v>39</v>
      </c>
      <c r="AU15" s="514">
        <f t="shared" si="12"/>
        <v>40</v>
      </c>
      <c r="AV15" s="514">
        <f t="shared" si="12"/>
        <v>41</v>
      </c>
      <c r="AW15" s="514">
        <f t="shared" si="12"/>
        <v>42</v>
      </c>
      <c r="AX15" s="514">
        <f t="shared" si="12"/>
        <v>43</v>
      </c>
      <c r="AY15" s="514">
        <f t="shared" si="12"/>
        <v>44</v>
      </c>
      <c r="AZ15" s="514">
        <f t="shared" si="12"/>
        <v>45</v>
      </c>
      <c r="BA15" s="514">
        <f t="shared" si="12"/>
        <v>46</v>
      </c>
      <c r="BB15" s="514">
        <f t="shared" si="12"/>
        <v>47</v>
      </c>
      <c r="BC15" s="514">
        <f t="shared" si="12"/>
        <v>48</v>
      </c>
      <c r="BD15" s="514">
        <f t="shared" si="12"/>
        <v>49</v>
      </c>
      <c r="BE15" s="514">
        <f t="shared" si="12"/>
        <v>50</v>
      </c>
      <c r="BF15" s="514">
        <f t="shared" si="12"/>
        <v>51</v>
      </c>
      <c r="BG15" s="514">
        <f t="shared" si="12"/>
        <v>52</v>
      </c>
      <c r="BH15" s="514">
        <f t="shared" si="12"/>
        <v>53</v>
      </c>
      <c r="BI15" s="514">
        <f t="shared" si="12"/>
        <v>54</v>
      </c>
      <c r="BJ15" s="514">
        <f t="shared" si="12"/>
        <v>55</v>
      </c>
      <c r="BK15" s="514">
        <f t="shared" si="12"/>
        <v>56</v>
      </c>
      <c r="BL15" s="514">
        <f t="shared" si="12"/>
        <v>57</v>
      </c>
      <c r="BM15" s="514">
        <f t="shared" si="12"/>
        <v>58</v>
      </c>
      <c r="BN15" s="514">
        <f t="shared" si="12"/>
        <v>59</v>
      </c>
      <c r="BO15" s="514">
        <f t="shared" si="12"/>
        <v>60</v>
      </c>
      <c r="BP15" s="514">
        <f t="shared" si="12"/>
        <v>61</v>
      </c>
      <c r="BQ15" s="514">
        <f t="shared" si="12"/>
        <v>62</v>
      </c>
      <c r="BR15" s="514">
        <f t="shared" si="12"/>
        <v>63</v>
      </c>
      <c r="BS15" s="514">
        <f t="shared" si="12"/>
        <v>64</v>
      </c>
      <c r="BT15" s="514">
        <f t="shared" si="12"/>
        <v>65</v>
      </c>
      <c r="BU15" s="514">
        <f t="shared" si="12"/>
        <v>66</v>
      </c>
      <c r="BV15" s="514">
        <f t="shared" si="12"/>
        <v>67</v>
      </c>
      <c r="BW15" s="514">
        <f t="shared" si="12"/>
        <v>68</v>
      </c>
      <c r="BX15" s="514">
        <f t="shared" si="12"/>
        <v>69</v>
      </c>
      <c r="BY15" s="514">
        <f t="shared" si="12"/>
        <v>70</v>
      </c>
      <c r="BZ15" s="514">
        <f t="shared" si="12"/>
        <v>71</v>
      </c>
      <c r="CA15" s="514">
        <f t="shared" si="12"/>
        <v>72</v>
      </c>
      <c r="CB15" s="514">
        <f t="shared" si="12"/>
        <v>73</v>
      </c>
      <c r="CC15" s="514">
        <f t="shared" si="12"/>
        <v>74</v>
      </c>
      <c r="CD15" s="514">
        <f t="shared" si="12"/>
        <v>75</v>
      </c>
      <c r="CE15" s="514">
        <f t="shared" si="12"/>
        <v>76</v>
      </c>
      <c r="CF15" s="514">
        <f t="shared" si="12"/>
        <v>77</v>
      </c>
      <c r="CG15" s="514">
        <f t="shared" si="12"/>
        <v>78</v>
      </c>
      <c r="CH15" s="514">
        <f t="shared" si="12"/>
        <v>79</v>
      </c>
      <c r="CI15" s="514">
        <f t="shared" si="12"/>
        <v>80</v>
      </c>
      <c r="CJ15" s="514">
        <f t="shared" si="12"/>
        <v>81</v>
      </c>
      <c r="CK15" s="514">
        <f t="shared" si="12"/>
        <v>82</v>
      </c>
      <c r="CL15" s="514">
        <f t="shared" si="12"/>
        <v>83</v>
      </c>
      <c r="CM15" s="514">
        <f t="shared" si="12"/>
        <v>84</v>
      </c>
      <c r="CN15" s="514">
        <f t="shared" si="12"/>
        <v>85</v>
      </c>
      <c r="CO15" s="514">
        <f t="shared" si="12"/>
        <v>86</v>
      </c>
      <c r="CP15" s="514">
        <f t="shared" si="12"/>
        <v>87</v>
      </c>
      <c r="CQ15" s="514">
        <f t="shared" si="12"/>
        <v>88</v>
      </c>
      <c r="CR15" s="514">
        <f t="shared" si="12"/>
        <v>89</v>
      </c>
      <c r="CS15" s="514">
        <f t="shared" si="12"/>
        <v>90</v>
      </c>
      <c r="CT15" s="514">
        <f t="shared" si="12"/>
        <v>91</v>
      </c>
      <c r="CU15" s="514">
        <f t="shared" si="12"/>
        <v>92</v>
      </c>
      <c r="CV15" s="514">
        <f t="shared" si="12"/>
        <v>93</v>
      </c>
      <c r="CW15" s="514">
        <f t="shared" si="12"/>
        <v>94</v>
      </c>
      <c r="CX15" s="514">
        <f t="shared" si="12"/>
        <v>95</v>
      </c>
      <c r="CY15" s="514">
        <f t="shared" si="12"/>
        <v>96</v>
      </c>
      <c r="CZ15" s="514">
        <f t="shared" si="12"/>
        <v>97</v>
      </c>
      <c r="DA15" s="514">
        <f t="shared" si="12"/>
        <v>98</v>
      </c>
      <c r="DB15" s="514">
        <f t="shared" si="12"/>
        <v>99</v>
      </c>
      <c r="DC15" s="514">
        <f t="shared" si="12"/>
        <v>100</v>
      </c>
      <c r="DD15" s="514">
        <f t="shared" si="12"/>
        <v>101</v>
      </c>
      <c r="DE15" s="514">
        <f t="shared" si="12"/>
        <v>102</v>
      </c>
      <c r="DF15" s="514">
        <f t="shared" si="12"/>
        <v>103</v>
      </c>
      <c r="DG15" s="514">
        <f t="shared" si="12"/>
        <v>104</v>
      </c>
      <c r="DH15" s="514">
        <f t="shared" si="12"/>
        <v>105</v>
      </c>
      <c r="DI15" s="514">
        <f t="shared" si="12"/>
        <v>106</v>
      </c>
      <c r="DJ15" s="514">
        <f t="shared" si="12"/>
        <v>107</v>
      </c>
    </row>
    <row r="16">
      <c r="A16" s="513" t="s">
        <v>1667</v>
      </c>
      <c r="B16" s="513" t="b">
        <f t="shared" si="6"/>
        <v>0</v>
      </c>
      <c r="C16" s="513" t="s">
        <v>39</v>
      </c>
      <c r="D16" s="516" t="str">
        <f>D14</f>
        <v/>
      </c>
      <c r="E16" s="516">
        <f>E15</f>
        <v>0.9983333333</v>
      </c>
      <c r="F16" s="514">
        <f t="shared" ref="F16:DJ16" si="13">int(F$5*$E16)</f>
        <v>0</v>
      </c>
      <c r="G16" s="514">
        <f t="shared" si="13"/>
        <v>0</v>
      </c>
      <c r="H16" s="514">
        <f t="shared" si="13"/>
        <v>1</v>
      </c>
      <c r="I16" s="514">
        <f t="shared" si="13"/>
        <v>2</v>
      </c>
      <c r="J16" s="514">
        <f t="shared" si="13"/>
        <v>3</v>
      </c>
      <c r="K16" s="514">
        <f t="shared" si="13"/>
        <v>4</v>
      </c>
      <c r="L16" s="514">
        <f t="shared" si="13"/>
        <v>5</v>
      </c>
      <c r="M16" s="514">
        <f t="shared" si="13"/>
        <v>6</v>
      </c>
      <c r="N16" s="514">
        <f t="shared" si="13"/>
        <v>7</v>
      </c>
      <c r="O16" s="514">
        <f t="shared" si="13"/>
        <v>8</v>
      </c>
      <c r="P16" s="514">
        <f t="shared" si="13"/>
        <v>9</v>
      </c>
      <c r="Q16" s="514">
        <f t="shared" si="13"/>
        <v>10</v>
      </c>
      <c r="R16" s="514">
        <f t="shared" si="13"/>
        <v>11</v>
      </c>
      <c r="S16" s="514">
        <f t="shared" si="13"/>
        <v>12</v>
      </c>
      <c r="T16" s="514">
        <f t="shared" si="13"/>
        <v>13</v>
      </c>
      <c r="U16" s="514">
        <f t="shared" si="13"/>
        <v>14</v>
      </c>
      <c r="V16" s="514">
        <f t="shared" si="13"/>
        <v>15</v>
      </c>
      <c r="W16" s="514">
        <f t="shared" si="13"/>
        <v>16</v>
      </c>
      <c r="X16" s="514">
        <f t="shared" si="13"/>
        <v>17</v>
      </c>
      <c r="Y16" s="514">
        <f t="shared" si="13"/>
        <v>18</v>
      </c>
      <c r="Z16" s="514">
        <f t="shared" si="13"/>
        <v>19</v>
      </c>
      <c r="AA16" s="514">
        <f t="shared" si="13"/>
        <v>20</v>
      </c>
      <c r="AB16" s="514">
        <f t="shared" si="13"/>
        <v>21</v>
      </c>
      <c r="AC16" s="514">
        <f t="shared" si="13"/>
        <v>22</v>
      </c>
      <c r="AD16" s="514">
        <f t="shared" si="13"/>
        <v>23</v>
      </c>
      <c r="AE16" s="514">
        <f t="shared" si="13"/>
        <v>24</v>
      </c>
      <c r="AF16" s="514">
        <f t="shared" si="13"/>
        <v>25</v>
      </c>
      <c r="AG16" s="514">
        <f t="shared" si="13"/>
        <v>26</v>
      </c>
      <c r="AH16" s="514">
        <f t="shared" si="13"/>
        <v>27</v>
      </c>
      <c r="AI16" s="514">
        <f t="shared" si="13"/>
        <v>28</v>
      </c>
      <c r="AJ16" s="514">
        <f t="shared" si="13"/>
        <v>29</v>
      </c>
      <c r="AK16" s="514">
        <f t="shared" si="13"/>
        <v>30</v>
      </c>
      <c r="AL16" s="514">
        <f t="shared" si="13"/>
        <v>31</v>
      </c>
      <c r="AM16" s="514">
        <f t="shared" si="13"/>
        <v>32</v>
      </c>
      <c r="AN16" s="514">
        <f t="shared" si="13"/>
        <v>33</v>
      </c>
      <c r="AO16" s="514">
        <f t="shared" si="13"/>
        <v>34</v>
      </c>
      <c r="AP16" s="514">
        <f t="shared" si="13"/>
        <v>35</v>
      </c>
      <c r="AQ16" s="514">
        <f t="shared" si="13"/>
        <v>36</v>
      </c>
      <c r="AR16" s="514">
        <f t="shared" si="13"/>
        <v>37</v>
      </c>
      <c r="AS16" s="514">
        <f t="shared" si="13"/>
        <v>38</v>
      </c>
      <c r="AT16" s="514">
        <f t="shared" si="13"/>
        <v>39</v>
      </c>
      <c r="AU16" s="514">
        <f t="shared" si="13"/>
        <v>40</v>
      </c>
      <c r="AV16" s="514">
        <f t="shared" si="13"/>
        <v>41</v>
      </c>
      <c r="AW16" s="514">
        <f t="shared" si="13"/>
        <v>42</v>
      </c>
      <c r="AX16" s="514">
        <f t="shared" si="13"/>
        <v>43</v>
      </c>
      <c r="AY16" s="514">
        <f t="shared" si="13"/>
        <v>44</v>
      </c>
      <c r="AZ16" s="514">
        <f t="shared" si="13"/>
        <v>45</v>
      </c>
      <c r="BA16" s="514">
        <f t="shared" si="13"/>
        <v>46</v>
      </c>
      <c r="BB16" s="514">
        <f t="shared" si="13"/>
        <v>47</v>
      </c>
      <c r="BC16" s="514">
        <f t="shared" si="13"/>
        <v>48</v>
      </c>
      <c r="BD16" s="514">
        <f t="shared" si="13"/>
        <v>49</v>
      </c>
      <c r="BE16" s="514">
        <f t="shared" si="13"/>
        <v>50</v>
      </c>
      <c r="BF16" s="514">
        <f t="shared" si="13"/>
        <v>51</v>
      </c>
      <c r="BG16" s="514">
        <f t="shared" si="13"/>
        <v>52</v>
      </c>
      <c r="BH16" s="514">
        <f t="shared" si="13"/>
        <v>53</v>
      </c>
      <c r="BI16" s="514">
        <f t="shared" si="13"/>
        <v>54</v>
      </c>
      <c r="BJ16" s="514">
        <f t="shared" si="13"/>
        <v>55</v>
      </c>
      <c r="BK16" s="514">
        <f t="shared" si="13"/>
        <v>56</v>
      </c>
      <c r="BL16" s="514">
        <f t="shared" si="13"/>
        <v>57</v>
      </c>
      <c r="BM16" s="514">
        <f t="shared" si="13"/>
        <v>58</v>
      </c>
      <c r="BN16" s="514">
        <f t="shared" si="13"/>
        <v>59</v>
      </c>
      <c r="BO16" s="514">
        <f t="shared" si="13"/>
        <v>60</v>
      </c>
      <c r="BP16" s="514">
        <f t="shared" si="13"/>
        <v>61</v>
      </c>
      <c r="BQ16" s="514">
        <f t="shared" si="13"/>
        <v>62</v>
      </c>
      <c r="BR16" s="514">
        <f t="shared" si="13"/>
        <v>63</v>
      </c>
      <c r="BS16" s="514">
        <f t="shared" si="13"/>
        <v>64</v>
      </c>
      <c r="BT16" s="514">
        <f t="shared" si="13"/>
        <v>65</v>
      </c>
      <c r="BU16" s="514">
        <f t="shared" si="13"/>
        <v>66</v>
      </c>
      <c r="BV16" s="514">
        <f t="shared" si="13"/>
        <v>67</v>
      </c>
      <c r="BW16" s="514">
        <f t="shared" si="13"/>
        <v>68</v>
      </c>
      <c r="BX16" s="514">
        <f t="shared" si="13"/>
        <v>69</v>
      </c>
      <c r="BY16" s="514">
        <f t="shared" si="13"/>
        <v>70</v>
      </c>
      <c r="BZ16" s="514">
        <f t="shared" si="13"/>
        <v>71</v>
      </c>
      <c r="CA16" s="514">
        <f t="shared" si="13"/>
        <v>72</v>
      </c>
      <c r="CB16" s="514">
        <f t="shared" si="13"/>
        <v>73</v>
      </c>
      <c r="CC16" s="514">
        <f t="shared" si="13"/>
        <v>74</v>
      </c>
      <c r="CD16" s="514">
        <f t="shared" si="13"/>
        <v>75</v>
      </c>
      <c r="CE16" s="514">
        <f t="shared" si="13"/>
        <v>76</v>
      </c>
      <c r="CF16" s="514">
        <f t="shared" si="13"/>
        <v>77</v>
      </c>
      <c r="CG16" s="514">
        <f t="shared" si="13"/>
        <v>78</v>
      </c>
      <c r="CH16" s="514">
        <f t="shared" si="13"/>
        <v>79</v>
      </c>
      <c r="CI16" s="514">
        <f t="shared" si="13"/>
        <v>80</v>
      </c>
      <c r="CJ16" s="514">
        <f t="shared" si="13"/>
        <v>81</v>
      </c>
      <c r="CK16" s="514">
        <f t="shared" si="13"/>
        <v>82</v>
      </c>
      <c r="CL16" s="514">
        <f t="shared" si="13"/>
        <v>83</v>
      </c>
      <c r="CM16" s="514">
        <f t="shared" si="13"/>
        <v>84</v>
      </c>
      <c r="CN16" s="514">
        <f t="shared" si="13"/>
        <v>85</v>
      </c>
      <c r="CO16" s="514">
        <f t="shared" si="13"/>
        <v>86</v>
      </c>
      <c r="CP16" s="514">
        <f t="shared" si="13"/>
        <v>87</v>
      </c>
      <c r="CQ16" s="514">
        <f t="shared" si="13"/>
        <v>88</v>
      </c>
      <c r="CR16" s="514">
        <f t="shared" si="13"/>
        <v>89</v>
      </c>
      <c r="CS16" s="514">
        <f t="shared" si="13"/>
        <v>90</v>
      </c>
      <c r="CT16" s="514">
        <f t="shared" si="13"/>
        <v>91</v>
      </c>
      <c r="CU16" s="514">
        <f t="shared" si="13"/>
        <v>92</v>
      </c>
      <c r="CV16" s="514">
        <f t="shared" si="13"/>
        <v>93</v>
      </c>
      <c r="CW16" s="514">
        <f t="shared" si="13"/>
        <v>94</v>
      </c>
      <c r="CX16" s="514">
        <f t="shared" si="13"/>
        <v>95</v>
      </c>
      <c r="CY16" s="514">
        <f t="shared" si="13"/>
        <v>96</v>
      </c>
      <c r="CZ16" s="514">
        <f t="shared" si="13"/>
        <v>97</v>
      </c>
      <c r="DA16" s="514">
        <f t="shared" si="13"/>
        <v>98</v>
      </c>
      <c r="DB16" s="514">
        <f t="shared" si="13"/>
        <v>99</v>
      </c>
      <c r="DC16" s="514">
        <f t="shared" si="13"/>
        <v>100</v>
      </c>
      <c r="DD16" s="514">
        <f t="shared" si="13"/>
        <v>101</v>
      </c>
      <c r="DE16" s="514">
        <f t="shared" si="13"/>
        <v>102</v>
      </c>
      <c r="DF16" s="514">
        <f t="shared" si="13"/>
        <v>103</v>
      </c>
      <c r="DG16" s="514">
        <f t="shared" si="13"/>
        <v>104</v>
      </c>
      <c r="DH16" s="514">
        <f t="shared" si="13"/>
        <v>105</v>
      </c>
      <c r="DI16" s="514">
        <f t="shared" si="13"/>
        <v>106</v>
      </c>
      <c r="DJ16" s="514">
        <f t="shared" si="13"/>
        <v>107</v>
      </c>
    </row>
    <row r="17">
      <c r="A17" s="513"/>
      <c r="B17" s="513"/>
      <c r="C17" s="513"/>
      <c r="D17" s="514"/>
      <c r="E17" s="514"/>
      <c r="F17" s="514"/>
      <c r="G17" s="514"/>
      <c r="H17" s="514"/>
      <c r="I17" s="514"/>
      <c r="J17" s="514"/>
      <c r="K17" s="514"/>
      <c r="L17" s="514"/>
      <c r="M17" s="514"/>
      <c r="N17" s="514"/>
      <c r="O17" s="514"/>
      <c r="P17" s="514"/>
      <c r="Q17" s="514"/>
      <c r="R17" s="514"/>
      <c r="S17" s="514"/>
      <c r="T17" s="514"/>
      <c r="U17" s="514"/>
      <c r="V17" s="514"/>
      <c r="W17" s="514"/>
      <c r="X17" s="514"/>
      <c r="Y17" s="514"/>
      <c r="Z17" s="514"/>
      <c r="AA17" s="514"/>
      <c r="AB17" s="514"/>
      <c r="AC17" s="514"/>
      <c r="AD17" s="514"/>
      <c r="AE17" s="514"/>
      <c r="AF17" s="514"/>
      <c r="AG17" s="514"/>
      <c r="AH17" s="514"/>
      <c r="AI17" s="514"/>
      <c r="AJ17" s="514"/>
      <c r="AK17" s="514"/>
      <c r="AL17" s="514"/>
      <c r="AM17" s="514"/>
      <c r="AN17" s="514"/>
      <c r="AO17" s="514"/>
      <c r="AP17" s="514"/>
      <c r="AQ17" s="514"/>
      <c r="AR17" s="514"/>
      <c r="AS17" s="514"/>
      <c r="AT17" s="514"/>
      <c r="AU17" s="514"/>
      <c r="AV17" s="514"/>
      <c r="AW17" s="514"/>
      <c r="AX17" s="514"/>
      <c r="AY17" s="514"/>
      <c r="AZ17" s="514"/>
      <c r="BA17" s="514"/>
      <c r="BB17" s="514"/>
      <c r="BC17" s="514"/>
      <c r="BD17" s="514"/>
      <c r="BE17" s="514"/>
      <c r="BF17" s="514"/>
      <c r="BG17" s="514"/>
      <c r="BH17" s="514"/>
      <c r="BI17" s="514"/>
      <c r="BJ17" s="514"/>
      <c r="BK17" s="514"/>
      <c r="BL17" s="514"/>
      <c r="BM17" s="514"/>
      <c r="BN17" s="514"/>
      <c r="BO17" s="514"/>
      <c r="BP17" s="514"/>
      <c r="BQ17" s="514"/>
      <c r="BR17" s="514"/>
      <c r="BS17" s="514"/>
      <c r="BT17" s="514"/>
      <c r="BU17" s="514"/>
      <c r="BV17" s="514"/>
      <c r="BW17" s="514"/>
      <c r="BX17" s="514"/>
      <c r="BY17" s="514"/>
      <c r="BZ17" s="514"/>
      <c r="CA17" s="514"/>
      <c r="CB17" s="514"/>
      <c r="CC17" s="514"/>
      <c r="CD17" s="514"/>
      <c r="CE17" s="514"/>
      <c r="CF17" s="514"/>
      <c r="CG17" s="514"/>
      <c r="CH17" s="514"/>
      <c r="CI17" s="514"/>
      <c r="CJ17" s="514"/>
      <c r="CK17" s="514"/>
      <c r="CL17" s="514"/>
      <c r="CM17" s="514"/>
      <c r="CN17" s="514"/>
      <c r="CO17" s="514"/>
      <c r="CP17" s="514"/>
      <c r="CQ17" s="514"/>
      <c r="CR17" s="514"/>
      <c r="CS17" s="514"/>
      <c r="CT17" s="514"/>
      <c r="CU17" s="514"/>
      <c r="CV17" s="514"/>
      <c r="CW17" s="514"/>
      <c r="CX17" s="514"/>
      <c r="CY17" s="514"/>
      <c r="CZ17" s="514"/>
      <c r="DA17" s="514"/>
      <c r="DB17" s="514"/>
      <c r="DC17" s="514"/>
      <c r="DD17" s="514"/>
      <c r="DE17" s="514"/>
      <c r="DF17" s="514"/>
      <c r="DG17" s="514"/>
      <c r="DH17" s="514"/>
      <c r="DI17" s="514"/>
      <c r="DJ17" s="514"/>
    </row>
    <row r="18">
      <c r="A18" s="513" t="s">
        <v>1668</v>
      </c>
      <c r="B18" s="513" t="b">
        <f>and(B5,B7=false)</f>
        <v>0</v>
      </c>
      <c r="C18" s="513"/>
      <c r="D18" s="514"/>
      <c r="E18" s="514"/>
      <c r="F18" s="514"/>
      <c r="G18" s="514"/>
      <c r="H18" s="514"/>
      <c r="I18" s="514"/>
      <c r="J18" s="514"/>
      <c r="K18" s="514"/>
      <c r="L18" s="514"/>
      <c r="M18" s="514"/>
      <c r="N18" s="514"/>
      <c r="O18" s="514"/>
      <c r="P18" s="514"/>
      <c r="Q18" s="514"/>
      <c r="R18" s="514"/>
      <c r="S18" s="514"/>
      <c r="T18" s="514"/>
      <c r="U18" s="514"/>
      <c r="V18" s="514"/>
      <c r="W18" s="514"/>
      <c r="X18" s="514"/>
      <c r="Y18" s="514"/>
      <c r="Z18" s="514"/>
      <c r="AA18" s="514"/>
      <c r="AB18" s="514"/>
      <c r="AC18" s="514"/>
      <c r="AD18" s="514"/>
      <c r="AE18" s="514"/>
      <c r="AF18" s="514"/>
      <c r="AG18" s="514"/>
      <c r="AH18" s="514"/>
      <c r="AI18" s="514"/>
      <c r="AJ18" s="514"/>
      <c r="AK18" s="514"/>
      <c r="AL18" s="514"/>
      <c r="AM18" s="514"/>
      <c r="AN18" s="514"/>
      <c r="AO18" s="514"/>
      <c r="AP18" s="514"/>
      <c r="AQ18" s="514"/>
      <c r="AR18" s="514"/>
      <c r="AS18" s="514"/>
      <c r="AT18" s="514"/>
      <c r="AU18" s="514"/>
      <c r="AV18" s="514"/>
      <c r="AW18" s="514"/>
      <c r="AX18" s="514"/>
      <c r="AY18" s="514"/>
      <c r="AZ18" s="514"/>
      <c r="BA18" s="514"/>
      <c r="BB18" s="514"/>
      <c r="BC18" s="514"/>
      <c r="BD18" s="514"/>
      <c r="BE18" s="514"/>
      <c r="BF18" s="514"/>
      <c r="BG18" s="514"/>
      <c r="BH18" s="514"/>
      <c r="BI18" s="514"/>
      <c r="BJ18" s="514"/>
      <c r="BK18" s="514"/>
      <c r="BL18" s="514"/>
      <c r="BM18" s="514"/>
      <c r="BN18" s="514"/>
      <c r="BO18" s="514"/>
      <c r="BP18" s="514"/>
      <c r="BQ18" s="514"/>
      <c r="BR18" s="514"/>
      <c r="BS18" s="514"/>
      <c r="BT18" s="514"/>
      <c r="BU18" s="514"/>
      <c r="BV18" s="514"/>
      <c r="BW18" s="514"/>
      <c r="BX18" s="514"/>
      <c r="BY18" s="514"/>
      <c r="BZ18" s="514"/>
      <c r="CA18" s="514"/>
      <c r="CB18" s="514"/>
      <c r="CC18" s="514"/>
      <c r="CD18" s="514"/>
      <c r="CE18" s="514"/>
      <c r="CF18" s="514"/>
      <c r="CG18" s="514"/>
      <c r="CH18" s="514"/>
      <c r="CI18" s="514"/>
      <c r="CJ18" s="514"/>
      <c r="CK18" s="514"/>
      <c r="CL18" s="514"/>
      <c r="CM18" s="514"/>
      <c r="CN18" s="514"/>
      <c r="CO18" s="514"/>
      <c r="CP18" s="514"/>
      <c r="CQ18" s="514"/>
      <c r="CR18" s="514"/>
      <c r="CS18" s="514"/>
      <c r="CT18" s="514"/>
      <c r="CU18" s="514"/>
      <c r="CV18" s="514"/>
      <c r="CW18" s="514"/>
      <c r="CX18" s="514"/>
      <c r="CY18" s="514"/>
      <c r="CZ18" s="514"/>
      <c r="DA18" s="514"/>
      <c r="DB18" s="514"/>
      <c r="DC18" s="514"/>
      <c r="DD18" s="514"/>
      <c r="DE18" s="514"/>
      <c r="DF18" s="514"/>
      <c r="DG18" s="514"/>
      <c r="DH18" s="514"/>
      <c r="DI18" s="514"/>
      <c r="DJ18" s="514"/>
    </row>
    <row r="19">
      <c r="A19" s="513" t="s">
        <v>1669</v>
      </c>
      <c r="B19" s="513" t="b">
        <f>D7=1</f>
        <v>0</v>
      </c>
      <c r="C19" s="513"/>
      <c r="D19" s="514"/>
      <c r="E19" s="514"/>
      <c r="F19" s="514"/>
      <c r="G19" s="514"/>
      <c r="H19" s="514"/>
      <c r="I19" s="514"/>
      <c r="J19" s="514"/>
      <c r="K19" s="514"/>
      <c r="L19" s="514"/>
      <c r="M19" s="514"/>
      <c r="N19" s="514"/>
      <c r="O19" s="514"/>
      <c r="P19" s="514"/>
      <c r="Q19" s="514"/>
      <c r="R19" s="514"/>
      <c r="S19" s="514"/>
      <c r="T19" s="514"/>
      <c r="U19" s="514"/>
      <c r="V19" s="514"/>
      <c r="W19" s="514"/>
      <c r="X19" s="514"/>
      <c r="Y19" s="514"/>
      <c r="Z19" s="514"/>
      <c r="AA19" s="514"/>
      <c r="AB19" s="514"/>
      <c r="AC19" s="514"/>
      <c r="AD19" s="514"/>
      <c r="AE19" s="514"/>
      <c r="AF19" s="514"/>
      <c r="AG19" s="514"/>
      <c r="AH19" s="514"/>
      <c r="AI19" s="514"/>
      <c r="AJ19" s="514"/>
      <c r="AK19" s="514"/>
      <c r="AL19" s="514"/>
      <c r="AM19" s="514"/>
      <c r="AN19" s="514"/>
      <c r="AO19" s="514"/>
      <c r="AP19" s="514"/>
      <c r="AQ19" s="514"/>
      <c r="AR19" s="514"/>
      <c r="AS19" s="514"/>
      <c r="AT19" s="514"/>
      <c r="AU19" s="514"/>
      <c r="AV19" s="514"/>
      <c r="AW19" s="514"/>
      <c r="AX19" s="514"/>
      <c r="AY19" s="514"/>
      <c r="AZ19" s="514"/>
      <c r="BA19" s="514"/>
      <c r="BB19" s="514"/>
      <c r="BC19" s="514"/>
      <c r="BD19" s="514"/>
      <c r="BE19" s="514"/>
      <c r="BF19" s="514"/>
      <c r="BG19" s="514"/>
      <c r="BH19" s="514"/>
      <c r="BI19" s="514"/>
      <c r="BJ19" s="514"/>
      <c r="BK19" s="514"/>
      <c r="BL19" s="514"/>
      <c r="BM19" s="514"/>
      <c r="BN19" s="514"/>
      <c r="BO19" s="514"/>
      <c r="BP19" s="514"/>
      <c r="BQ19" s="514"/>
      <c r="BR19" s="514"/>
      <c r="BS19" s="514"/>
      <c r="BT19" s="514"/>
      <c r="BU19" s="514"/>
      <c r="BV19" s="514"/>
      <c r="BW19" s="514"/>
      <c r="BX19" s="514"/>
      <c r="BY19" s="514"/>
      <c r="BZ19" s="514"/>
      <c r="CA19" s="514"/>
      <c r="CB19" s="514"/>
      <c r="CC19" s="514"/>
      <c r="CD19" s="514"/>
      <c r="CE19" s="514"/>
      <c r="CF19" s="514"/>
      <c r="CG19" s="514"/>
      <c r="CH19" s="514"/>
      <c r="CI19" s="514"/>
      <c r="CJ19" s="514"/>
      <c r="CK19" s="514"/>
      <c r="CL19" s="514"/>
      <c r="CM19" s="514"/>
      <c r="CN19" s="514"/>
      <c r="CO19" s="514"/>
      <c r="CP19" s="514"/>
      <c r="CQ19" s="514"/>
      <c r="CR19" s="514"/>
      <c r="CS19" s="514"/>
      <c r="CT19" s="514"/>
      <c r="CU19" s="514"/>
      <c r="CV19" s="514"/>
      <c r="CW19" s="514"/>
      <c r="CX19" s="514"/>
      <c r="CY19" s="514"/>
      <c r="CZ19" s="514"/>
      <c r="DA19" s="514"/>
      <c r="DB19" s="514"/>
      <c r="DC19" s="514"/>
      <c r="DD19" s="514"/>
      <c r="DE19" s="514"/>
      <c r="DF19" s="514"/>
      <c r="DG19" s="514"/>
      <c r="DH19" s="514"/>
      <c r="DI19" s="514"/>
      <c r="DJ19" s="514"/>
    </row>
    <row r="20">
      <c r="A20" s="513" t="s">
        <v>1670</v>
      </c>
      <c r="B20" s="513" t="b">
        <f>B8</f>
        <v>0</v>
      </c>
      <c r="C20" s="513"/>
      <c r="D20" s="514"/>
      <c r="E20" s="514"/>
      <c r="F20" s="514"/>
      <c r="G20" s="514"/>
      <c r="H20" s="514"/>
      <c r="I20" s="514"/>
      <c r="J20" s="514"/>
      <c r="K20" s="514"/>
      <c r="L20" s="514"/>
      <c r="M20" s="514"/>
      <c r="N20" s="514"/>
      <c r="O20" s="514"/>
      <c r="P20" s="514"/>
      <c r="Q20" s="514"/>
      <c r="R20" s="514"/>
      <c r="S20" s="514"/>
      <c r="T20" s="514"/>
      <c r="U20" s="514"/>
      <c r="V20" s="514"/>
      <c r="W20" s="514"/>
      <c r="X20" s="514"/>
      <c r="Y20" s="514"/>
      <c r="Z20" s="514"/>
      <c r="AA20" s="514"/>
      <c r="AB20" s="514"/>
      <c r="AC20" s="514"/>
      <c r="AD20" s="514"/>
      <c r="AE20" s="514"/>
      <c r="AF20" s="514"/>
      <c r="AG20" s="514"/>
      <c r="AH20" s="514"/>
      <c r="AI20" s="514"/>
      <c r="AJ20" s="514"/>
      <c r="AK20" s="514"/>
      <c r="AL20" s="514"/>
      <c r="AM20" s="514"/>
      <c r="AN20" s="514"/>
      <c r="AO20" s="514"/>
      <c r="AP20" s="514"/>
      <c r="AQ20" s="514"/>
      <c r="AR20" s="514"/>
      <c r="AS20" s="514"/>
      <c r="AT20" s="514"/>
      <c r="AU20" s="514"/>
      <c r="AV20" s="514"/>
      <c r="AW20" s="514"/>
      <c r="AX20" s="514"/>
      <c r="AY20" s="514"/>
      <c r="AZ20" s="514"/>
      <c r="BA20" s="514"/>
      <c r="BB20" s="514"/>
      <c r="BC20" s="514"/>
      <c r="BD20" s="514"/>
      <c r="BE20" s="514"/>
      <c r="BF20" s="514"/>
      <c r="BG20" s="514"/>
      <c r="BH20" s="514"/>
      <c r="BI20" s="514"/>
      <c r="BJ20" s="514"/>
      <c r="BK20" s="514"/>
      <c r="BL20" s="514"/>
      <c r="BM20" s="514"/>
      <c r="BN20" s="514"/>
      <c r="BO20" s="514"/>
      <c r="BP20" s="514"/>
      <c r="BQ20" s="514"/>
      <c r="BR20" s="514"/>
      <c r="BS20" s="514"/>
      <c r="BT20" s="514"/>
      <c r="BU20" s="514"/>
      <c r="BV20" s="514"/>
      <c r="BW20" s="514"/>
      <c r="BX20" s="514"/>
      <c r="BY20" s="514"/>
      <c r="BZ20" s="514"/>
      <c r="CA20" s="514"/>
      <c r="CB20" s="514"/>
      <c r="CC20" s="514"/>
      <c r="CD20" s="514"/>
      <c r="CE20" s="514"/>
      <c r="CF20" s="514"/>
      <c r="CG20" s="514"/>
      <c r="CH20" s="514"/>
      <c r="CI20" s="514"/>
      <c r="CJ20" s="514"/>
      <c r="CK20" s="514"/>
      <c r="CL20" s="514"/>
      <c r="CM20" s="514"/>
      <c r="CN20" s="514"/>
      <c r="CO20" s="514"/>
      <c r="CP20" s="514"/>
      <c r="CQ20" s="514"/>
      <c r="CR20" s="514"/>
      <c r="CS20" s="514"/>
      <c r="CT20" s="514"/>
      <c r="CU20" s="514"/>
      <c r="CV20" s="514"/>
      <c r="CW20" s="514"/>
      <c r="CX20" s="514"/>
      <c r="CY20" s="514"/>
      <c r="CZ20" s="514"/>
      <c r="DA20" s="514"/>
      <c r="DB20" s="514"/>
      <c r="DC20" s="514"/>
      <c r="DD20" s="514"/>
      <c r="DE20" s="514"/>
      <c r="DF20" s="514"/>
      <c r="DG20" s="514"/>
      <c r="DH20" s="514"/>
      <c r="DI20" s="514"/>
      <c r="DJ20" s="514"/>
    </row>
    <row r="21">
      <c r="A21" s="513"/>
      <c r="B21" s="513"/>
      <c r="C21" s="513"/>
      <c r="D21" s="514"/>
      <c r="E21" s="514"/>
      <c r="F21" s="514"/>
      <c r="G21" s="514"/>
      <c r="H21" s="514"/>
      <c r="I21" s="514"/>
      <c r="J21" s="514"/>
      <c r="K21" s="514"/>
      <c r="L21" s="514"/>
      <c r="M21" s="514"/>
      <c r="N21" s="514"/>
      <c r="O21" s="514"/>
      <c r="P21" s="514"/>
      <c r="Q21" s="514"/>
      <c r="R21" s="514"/>
      <c r="S21" s="514"/>
      <c r="T21" s="514"/>
      <c r="U21" s="514"/>
      <c r="V21" s="514"/>
      <c r="W21" s="514"/>
      <c r="X21" s="514"/>
      <c r="Y21" s="514"/>
      <c r="Z21" s="514"/>
      <c r="AA21" s="514"/>
      <c r="AB21" s="514"/>
      <c r="AC21" s="514"/>
      <c r="AD21" s="514"/>
      <c r="AE21" s="514"/>
      <c r="AF21" s="514"/>
      <c r="AG21" s="514"/>
      <c r="AH21" s="514"/>
      <c r="AI21" s="514"/>
      <c r="AJ21" s="514"/>
      <c r="AK21" s="514"/>
      <c r="AL21" s="514"/>
      <c r="AM21" s="514"/>
      <c r="AN21" s="514"/>
      <c r="AO21" s="514"/>
      <c r="AP21" s="514"/>
      <c r="AQ21" s="514"/>
      <c r="AR21" s="514"/>
      <c r="AS21" s="514"/>
      <c r="AT21" s="514"/>
      <c r="AU21" s="514"/>
      <c r="AV21" s="514"/>
      <c r="AW21" s="514"/>
      <c r="AX21" s="514"/>
      <c r="AY21" s="514"/>
      <c r="AZ21" s="514"/>
      <c r="BA21" s="514"/>
      <c r="BB21" s="514"/>
      <c r="BC21" s="514"/>
      <c r="BD21" s="514"/>
      <c r="BE21" s="514"/>
      <c r="BF21" s="514"/>
      <c r="BG21" s="514"/>
      <c r="BH21" s="514"/>
      <c r="BI21" s="514"/>
      <c r="BJ21" s="514"/>
      <c r="BK21" s="514"/>
      <c r="BL21" s="514"/>
      <c r="BM21" s="514"/>
      <c r="BN21" s="514"/>
      <c r="BO21" s="514"/>
      <c r="BP21" s="514"/>
      <c r="BQ21" s="514"/>
      <c r="BR21" s="514"/>
      <c r="BS21" s="514"/>
      <c r="BT21" s="514"/>
      <c r="BU21" s="514"/>
      <c r="BV21" s="514"/>
      <c r="BW21" s="514"/>
      <c r="BX21" s="514"/>
      <c r="BY21" s="514"/>
      <c r="BZ21" s="514"/>
      <c r="CA21" s="514"/>
      <c r="CB21" s="514"/>
      <c r="CC21" s="514"/>
      <c r="CD21" s="514"/>
      <c r="CE21" s="514"/>
      <c r="CF21" s="514"/>
      <c r="CG21" s="514"/>
      <c r="CH21" s="514"/>
      <c r="CI21" s="514"/>
      <c r="CJ21" s="514"/>
      <c r="CK21" s="514"/>
      <c r="CL21" s="514"/>
      <c r="CM21" s="514"/>
      <c r="CN21" s="514"/>
      <c r="CO21" s="514"/>
      <c r="CP21" s="514"/>
      <c r="CQ21" s="514"/>
      <c r="CR21" s="514"/>
      <c r="CS21" s="514"/>
      <c r="CT21" s="514"/>
      <c r="CU21" s="514"/>
      <c r="CV21" s="514"/>
      <c r="CW21" s="514"/>
      <c r="CX21" s="514"/>
      <c r="CY21" s="514"/>
      <c r="CZ21" s="514"/>
      <c r="DA21" s="514"/>
      <c r="DB21" s="514"/>
      <c r="DC21" s="514"/>
      <c r="DD21" s="514"/>
      <c r="DE21" s="514"/>
      <c r="DF21" s="514"/>
      <c r="DG21" s="514"/>
      <c r="DH21" s="514"/>
      <c r="DI21" s="514"/>
      <c r="DJ21" s="514"/>
    </row>
    <row r="22">
      <c r="A22" s="513" t="s">
        <v>1671</v>
      </c>
      <c r="B22" s="513"/>
      <c r="C22" s="513"/>
      <c r="D22" s="514"/>
      <c r="E22" s="514"/>
      <c r="F22" s="514"/>
      <c r="G22" s="514"/>
      <c r="H22" s="514"/>
      <c r="I22" s="514"/>
      <c r="J22" s="514"/>
      <c r="K22" s="514"/>
      <c r="L22" s="514"/>
      <c r="M22" s="514"/>
      <c r="N22" s="514"/>
      <c r="O22" s="514"/>
      <c r="P22" s="514"/>
      <c r="Q22" s="514"/>
      <c r="R22" s="514"/>
      <c r="S22" s="514"/>
      <c r="T22" s="514"/>
      <c r="U22" s="514"/>
      <c r="V22" s="514"/>
      <c r="W22" s="514"/>
      <c r="X22" s="514"/>
      <c r="Y22" s="514"/>
      <c r="Z22" s="514"/>
      <c r="AA22" s="514"/>
      <c r="AB22" s="514"/>
      <c r="AC22" s="514"/>
      <c r="AD22" s="514"/>
      <c r="AE22" s="514"/>
      <c r="AF22" s="514"/>
      <c r="AG22" s="514"/>
      <c r="AH22" s="514"/>
      <c r="AI22" s="514"/>
      <c r="AJ22" s="514"/>
      <c r="AK22" s="514"/>
      <c r="AL22" s="514"/>
      <c r="AM22" s="514"/>
      <c r="AN22" s="514"/>
      <c r="AO22" s="514"/>
      <c r="AP22" s="514"/>
      <c r="AQ22" s="514"/>
      <c r="AR22" s="514"/>
      <c r="AS22" s="514"/>
      <c r="AT22" s="514"/>
      <c r="AU22" s="514"/>
      <c r="AV22" s="514"/>
      <c r="AW22" s="514"/>
      <c r="AX22" s="514"/>
      <c r="AY22" s="514"/>
      <c r="AZ22" s="514"/>
      <c r="BA22" s="514"/>
      <c r="BB22" s="514"/>
      <c r="BC22" s="514"/>
      <c r="BD22" s="514"/>
      <c r="BE22" s="514"/>
      <c r="BF22" s="514"/>
      <c r="BG22" s="514"/>
      <c r="BH22" s="514"/>
      <c r="BI22" s="514"/>
      <c r="BJ22" s="514"/>
      <c r="BK22" s="514"/>
      <c r="BL22" s="514"/>
      <c r="BM22" s="514"/>
      <c r="BN22" s="514"/>
      <c r="BO22" s="514"/>
      <c r="BP22" s="514"/>
      <c r="BQ22" s="514"/>
      <c r="BR22" s="514"/>
      <c r="BS22" s="514"/>
      <c r="BT22" s="514"/>
      <c r="BU22" s="514"/>
      <c r="BV22" s="514"/>
      <c r="BW22" s="514"/>
      <c r="BX22" s="514"/>
      <c r="BY22" s="514"/>
      <c r="BZ22" s="514"/>
      <c r="CA22" s="514"/>
      <c r="CB22" s="514"/>
      <c r="CC22" s="514"/>
      <c r="CD22" s="514"/>
      <c r="CE22" s="514"/>
      <c r="CF22" s="514"/>
      <c r="CG22" s="514"/>
      <c r="CH22" s="514"/>
      <c r="CI22" s="514"/>
      <c r="CJ22" s="514"/>
      <c r="CK22" s="514"/>
      <c r="CL22" s="514"/>
      <c r="CM22" s="514"/>
      <c r="CN22" s="514"/>
      <c r="CO22" s="514"/>
      <c r="CP22" s="514"/>
      <c r="CQ22" s="514"/>
      <c r="CR22" s="514"/>
      <c r="CS22" s="514"/>
      <c r="CT22" s="514"/>
      <c r="CU22" s="514"/>
      <c r="CV22" s="514"/>
      <c r="CW22" s="514"/>
      <c r="CX22" s="514"/>
      <c r="CY22" s="514"/>
      <c r="CZ22" s="514"/>
      <c r="DA22" s="514"/>
      <c r="DB22" s="514"/>
      <c r="DC22" s="514"/>
      <c r="DD22" s="514"/>
      <c r="DE22" s="514"/>
      <c r="DF22" s="514"/>
      <c r="DG22" s="514"/>
      <c r="DH22" s="514"/>
      <c r="DI22" s="514"/>
      <c r="DJ22" s="514"/>
    </row>
    <row r="23">
      <c r="A23" s="513"/>
      <c r="B23" s="513"/>
      <c r="C23" s="513"/>
      <c r="D23" s="514"/>
      <c r="E23" s="514"/>
      <c r="F23" s="514"/>
      <c r="G23" s="514"/>
      <c r="H23" s="514"/>
      <c r="I23" s="514"/>
      <c r="J23" s="514"/>
      <c r="K23" s="514"/>
      <c r="L23" s="514"/>
      <c r="M23" s="514"/>
      <c r="N23" s="514"/>
      <c r="O23" s="514"/>
      <c r="P23" s="514"/>
      <c r="Q23" s="514"/>
      <c r="R23" s="514"/>
      <c r="S23" s="514"/>
      <c r="T23" s="514"/>
      <c r="U23" s="514"/>
      <c r="V23" s="514"/>
      <c r="W23" s="514"/>
      <c r="X23" s="514"/>
      <c r="Y23" s="514"/>
      <c r="Z23" s="514"/>
      <c r="AA23" s="514"/>
      <c r="AB23" s="514"/>
      <c r="AC23" s="514"/>
      <c r="AD23" s="514"/>
      <c r="AE23" s="514"/>
      <c r="AF23" s="514"/>
      <c r="AG23" s="514"/>
      <c r="AH23" s="514"/>
      <c r="AI23" s="514"/>
      <c r="AJ23" s="514"/>
      <c r="AK23" s="514"/>
      <c r="AL23" s="514"/>
      <c r="AM23" s="514"/>
      <c r="AN23" s="514"/>
      <c r="AO23" s="514"/>
      <c r="AP23" s="514"/>
      <c r="AQ23" s="514"/>
      <c r="AR23" s="514"/>
      <c r="AS23" s="514"/>
      <c r="AT23" s="514"/>
      <c r="AU23" s="514"/>
      <c r="AV23" s="514"/>
      <c r="AW23" s="514"/>
      <c r="AX23" s="514"/>
      <c r="AY23" s="514"/>
      <c r="AZ23" s="514"/>
      <c r="BA23" s="514"/>
      <c r="BB23" s="514"/>
      <c r="BC23" s="514"/>
      <c r="BD23" s="514"/>
      <c r="BE23" s="514"/>
      <c r="BF23" s="514"/>
      <c r="BG23" s="514"/>
      <c r="BH23" s="514"/>
      <c r="BI23" s="514"/>
      <c r="BJ23" s="514"/>
      <c r="BK23" s="514"/>
      <c r="BL23" s="514"/>
      <c r="BM23" s="514"/>
      <c r="BN23" s="514"/>
      <c r="BO23" s="514"/>
      <c r="BP23" s="514"/>
      <c r="BQ23" s="514"/>
      <c r="BR23" s="514"/>
      <c r="BS23" s="514"/>
      <c r="BT23" s="514"/>
      <c r="BU23" s="514"/>
      <c r="BV23" s="514"/>
      <c r="BW23" s="514"/>
      <c r="BX23" s="514"/>
      <c r="BY23" s="514"/>
      <c r="BZ23" s="514"/>
      <c r="CA23" s="514"/>
      <c r="CB23" s="514"/>
      <c r="CC23" s="514"/>
      <c r="CD23" s="514"/>
      <c r="CE23" s="514"/>
      <c r="CF23" s="514"/>
      <c r="CG23" s="514"/>
      <c r="CH23" s="514"/>
      <c r="CI23" s="514"/>
      <c r="CJ23" s="514"/>
      <c r="CK23" s="514"/>
      <c r="CL23" s="514"/>
      <c r="CM23" s="514"/>
      <c r="CN23" s="514"/>
      <c r="CO23" s="514"/>
      <c r="CP23" s="514"/>
      <c r="CQ23" s="514"/>
      <c r="CR23" s="514"/>
      <c r="CS23" s="514"/>
      <c r="CT23" s="514"/>
      <c r="CU23" s="514"/>
      <c r="CV23" s="514"/>
      <c r="CW23" s="514"/>
      <c r="CX23" s="514"/>
      <c r="CY23" s="514"/>
      <c r="CZ23" s="514"/>
      <c r="DA23" s="514"/>
      <c r="DB23" s="514"/>
      <c r="DC23" s="514"/>
      <c r="DD23" s="514"/>
      <c r="DE23" s="514"/>
      <c r="DF23" s="514"/>
      <c r="DG23" s="514"/>
      <c r="DH23" s="514"/>
      <c r="DI23" s="514"/>
      <c r="DJ23" s="514"/>
    </row>
    <row r="24">
      <c r="A24" s="513" t="s">
        <v>1672</v>
      </c>
      <c r="B24" s="513" t="str">
        <f>'NPC dps'!D11</f>
        <v>Stab</v>
      </c>
      <c r="C24" s="513">
        <f>'NPC dps'!L11</f>
        <v>0</v>
      </c>
      <c r="D24" s="513">
        <f>'NPC dps'!M11</f>
        <v>33</v>
      </c>
      <c r="E24" s="514">
        <f t="shared" ref="E24:E29" si="15">average(F24:DJ24)</f>
        <v>16.5</v>
      </c>
      <c r="F24" s="514">
        <f t="shared" ref="F24:DJ24" si="14">if(and(F$1&gt;=$C24,F$1&lt;=$D24),if($B$18,(1-$D$5)*F$1+$D$5*F$5,if($B$19,index($F$7:$DJ$16,match($B24,$C$7:$C$16),columns($F:F)),if($B$20,0.25*index($F$7:$DJ$16,match($B24,$C$7:$C$16)-1,columns($F:F))+0.75*index($F$7:$DJ$16,match($B24,$C$7:$C$16),columns($F:F)),F$1))),"")</f>
        <v>0</v>
      </c>
      <c r="G24" s="514">
        <f t="shared" si="14"/>
        <v>1</v>
      </c>
      <c r="H24" s="514">
        <f t="shared" si="14"/>
        <v>2</v>
      </c>
      <c r="I24" s="514">
        <f t="shared" si="14"/>
        <v>3</v>
      </c>
      <c r="J24" s="514">
        <f t="shared" si="14"/>
        <v>4</v>
      </c>
      <c r="K24" s="514">
        <f t="shared" si="14"/>
        <v>5</v>
      </c>
      <c r="L24" s="514">
        <f t="shared" si="14"/>
        <v>6</v>
      </c>
      <c r="M24" s="514">
        <f t="shared" si="14"/>
        <v>7</v>
      </c>
      <c r="N24" s="514">
        <f t="shared" si="14"/>
        <v>8</v>
      </c>
      <c r="O24" s="514">
        <f t="shared" si="14"/>
        <v>9</v>
      </c>
      <c r="P24" s="514">
        <f t="shared" si="14"/>
        <v>10</v>
      </c>
      <c r="Q24" s="514">
        <f t="shared" si="14"/>
        <v>11</v>
      </c>
      <c r="R24" s="514">
        <f t="shared" si="14"/>
        <v>12</v>
      </c>
      <c r="S24" s="514">
        <f t="shared" si="14"/>
        <v>13</v>
      </c>
      <c r="T24" s="514">
        <f t="shared" si="14"/>
        <v>14</v>
      </c>
      <c r="U24" s="514">
        <f t="shared" si="14"/>
        <v>15</v>
      </c>
      <c r="V24" s="514">
        <f t="shared" si="14"/>
        <v>16</v>
      </c>
      <c r="W24" s="514">
        <f t="shared" si="14"/>
        <v>17</v>
      </c>
      <c r="X24" s="514">
        <f t="shared" si="14"/>
        <v>18</v>
      </c>
      <c r="Y24" s="514">
        <f t="shared" si="14"/>
        <v>19</v>
      </c>
      <c r="Z24" s="514">
        <f t="shared" si="14"/>
        <v>20</v>
      </c>
      <c r="AA24" s="514">
        <f t="shared" si="14"/>
        <v>21</v>
      </c>
      <c r="AB24" s="514">
        <f t="shared" si="14"/>
        <v>22</v>
      </c>
      <c r="AC24" s="514">
        <f t="shared" si="14"/>
        <v>23</v>
      </c>
      <c r="AD24" s="514">
        <f t="shared" si="14"/>
        <v>24</v>
      </c>
      <c r="AE24" s="514">
        <f t="shared" si="14"/>
        <v>25</v>
      </c>
      <c r="AF24" s="514">
        <f t="shared" si="14"/>
        <v>26</v>
      </c>
      <c r="AG24" s="514">
        <f t="shared" si="14"/>
        <v>27</v>
      </c>
      <c r="AH24" s="514">
        <f t="shared" si="14"/>
        <v>28</v>
      </c>
      <c r="AI24" s="514">
        <f t="shared" si="14"/>
        <v>29</v>
      </c>
      <c r="AJ24" s="514">
        <f t="shared" si="14"/>
        <v>30</v>
      </c>
      <c r="AK24" s="514">
        <f t="shared" si="14"/>
        <v>31</v>
      </c>
      <c r="AL24" s="514">
        <f t="shared" si="14"/>
        <v>32</v>
      </c>
      <c r="AM24" s="514">
        <f t="shared" si="14"/>
        <v>33</v>
      </c>
      <c r="AN24" s="514" t="str">
        <f t="shared" si="14"/>
        <v/>
      </c>
      <c r="AO24" s="514" t="str">
        <f t="shared" si="14"/>
        <v/>
      </c>
      <c r="AP24" s="514" t="str">
        <f t="shared" si="14"/>
        <v/>
      </c>
      <c r="AQ24" s="514" t="str">
        <f t="shared" si="14"/>
        <v/>
      </c>
      <c r="AR24" s="514" t="str">
        <f t="shared" si="14"/>
        <v/>
      </c>
      <c r="AS24" s="514" t="str">
        <f t="shared" si="14"/>
        <v/>
      </c>
      <c r="AT24" s="514" t="str">
        <f t="shared" si="14"/>
        <v/>
      </c>
      <c r="AU24" s="514" t="str">
        <f t="shared" si="14"/>
        <v/>
      </c>
      <c r="AV24" s="514" t="str">
        <f t="shared" si="14"/>
        <v/>
      </c>
      <c r="AW24" s="514" t="str">
        <f t="shared" si="14"/>
        <v/>
      </c>
      <c r="AX24" s="514" t="str">
        <f t="shared" si="14"/>
        <v/>
      </c>
      <c r="AY24" s="514" t="str">
        <f t="shared" si="14"/>
        <v/>
      </c>
      <c r="AZ24" s="514" t="str">
        <f t="shared" si="14"/>
        <v/>
      </c>
      <c r="BA24" s="514" t="str">
        <f t="shared" si="14"/>
        <v/>
      </c>
      <c r="BB24" s="514" t="str">
        <f t="shared" si="14"/>
        <v/>
      </c>
      <c r="BC24" s="514" t="str">
        <f t="shared" si="14"/>
        <v/>
      </c>
      <c r="BD24" s="514" t="str">
        <f t="shared" si="14"/>
        <v/>
      </c>
      <c r="BE24" s="514" t="str">
        <f t="shared" si="14"/>
        <v/>
      </c>
      <c r="BF24" s="514" t="str">
        <f t="shared" si="14"/>
        <v/>
      </c>
      <c r="BG24" s="514" t="str">
        <f t="shared" si="14"/>
        <v/>
      </c>
      <c r="BH24" s="514" t="str">
        <f t="shared" si="14"/>
        <v/>
      </c>
      <c r="BI24" s="514" t="str">
        <f t="shared" si="14"/>
        <v/>
      </c>
      <c r="BJ24" s="514" t="str">
        <f t="shared" si="14"/>
        <v/>
      </c>
      <c r="BK24" s="514" t="str">
        <f t="shared" si="14"/>
        <v/>
      </c>
      <c r="BL24" s="514" t="str">
        <f t="shared" si="14"/>
        <v/>
      </c>
      <c r="BM24" s="514" t="str">
        <f t="shared" si="14"/>
        <v/>
      </c>
      <c r="BN24" s="514" t="str">
        <f t="shared" si="14"/>
        <v/>
      </c>
      <c r="BO24" s="514" t="str">
        <f t="shared" si="14"/>
        <v/>
      </c>
      <c r="BP24" s="514" t="str">
        <f t="shared" si="14"/>
        <v/>
      </c>
      <c r="BQ24" s="514" t="str">
        <f t="shared" si="14"/>
        <v/>
      </c>
      <c r="BR24" s="514" t="str">
        <f t="shared" si="14"/>
        <v/>
      </c>
      <c r="BS24" s="514" t="str">
        <f t="shared" si="14"/>
        <v/>
      </c>
      <c r="BT24" s="514" t="str">
        <f t="shared" si="14"/>
        <v/>
      </c>
      <c r="BU24" s="514" t="str">
        <f t="shared" si="14"/>
        <v/>
      </c>
      <c r="BV24" s="514" t="str">
        <f t="shared" si="14"/>
        <v/>
      </c>
      <c r="BW24" s="514" t="str">
        <f t="shared" si="14"/>
        <v/>
      </c>
      <c r="BX24" s="514" t="str">
        <f t="shared" si="14"/>
        <v/>
      </c>
      <c r="BY24" s="514" t="str">
        <f t="shared" si="14"/>
        <v/>
      </c>
      <c r="BZ24" s="514" t="str">
        <f t="shared" si="14"/>
        <v/>
      </c>
      <c r="CA24" s="514" t="str">
        <f t="shared" si="14"/>
        <v/>
      </c>
      <c r="CB24" s="514" t="str">
        <f t="shared" si="14"/>
        <v/>
      </c>
      <c r="CC24" s="514" t="str">
        <f t="shared" si="14"/>
        <v/>
      </c>
      <c r="CD24" s="514" t="str">
        <f t="shared" si="14"/>
        <v/>
      </c>
      <c r="CE24" s="514" t="str">
        <f t="shared" si="14"/>
        <v/>
      </c>
      <c r="CF24" s="514" t="str">
        <f t="shared" si="14"/>
        <v/>
      </c>
      <c r="CG24" s="514" t="str">
        <f t="shared" si="14"/>
        <v/>
      </c>
      <c r="CH24" s="514" t="str">
        <f t="shared" si="14"/>
        <v/>
      </c>
      <c r="CI24" s="514" t="str">
        <f t="shared" si="14"/>
        <v/>
      </c>
      <c r="CJ24" s="514" t="str">
        <f t="shared" si="14"/>
        <v/>
      </c>
      <c r="CK24" s="514" t="str">
        <f t="shared" si="14"/>
        <v/>
      </c>
      <c r="CL24" s="514" t="str">
        <f t="shared" si="14"/>
        <v/>
      </c>
      <c r="CM24" s="514" t="str">
        <f t="shared" si="14"/>
        <v/>
      </c>
      <c r="CN24" s="514" t="str">
        <f t="shared" si="14"/>
        <v/>
      </c>
      <c r="CO24" s="514" t="str">
        <f t="shared" si="14"/>
        <v/>
      </c>
      <c r="CP24" s="514" t="str">
        <f t="shared" si="14"/>
        <v/>
      </c>
      <c r="CQ24" s="514" t="str">
        <f t="shared" si="14"/>
        <v/>
      </c>
      <c r="CR24" s="514" t="str">
        <f t="shared" si="14"/>
        <v/>
      </c>
      <c r="CS24" s="514" t="str">
        <f t="shared" si="14"/>
        <v/>
      </c>
      <c r="CT24" s="514" t="str">
        <f t="shared" si="14"/>
        <v/>
      </c>
      <c r="CU24" s="514" t="str">
        <f t="shared" si="14"/>
        <v/>
      </c>
      <c r="CV24" s="514" t="str">
        <f t="shared" si="14"/>
        <v/>
      </c>
      <c r="CW24" s="514" t="str">
        <f t="shared" si="14"/>
        <v/>
      </c>
      <c r="CX24" s="514" t="str">
        <f t="shared" si="14"/>
        <v/>
      </c>
      <c r="CY24" s="514" t="str">
        <f t="shared" si="14"/>
        <v/>
      </c>
      <c r="CZ24" s="514" t="str">
        <f t="shared" si="14"/>
        <v/>
      </c>
      <c r="DA24" s="514" t="str">
        <f t="shared" si="14"/>
        <v/>
      </c>
      <c r="DB24" s="514" t="str">
        <f t="shared" si="14"/>
        <v/>
      </c>
      <c r="DC24" s="514" t="str">
        <f t="shared" si="14"/>
        <v/>
      </c>
      <c r="DD24" s="514" t="str">
        <f t="shared" si="14"/>
        <v/>
      </c>
      <c r="DE24" s="514" t="str">
        <f t="shared" si="14"/>
        <v/>
      </c>
      <c r="DF24" s="514" t="str">
        <f t="shared" si="14"/>
        <v/>
      </c>
      <c r="DG24" s="514" t="str">
        <f t="shared" si="14"/>
        <v/>
      </c>
      <c r="DH24" s="514" t="str">
        <f t="shared" si="14"/>
        <v/>
      </c>
      <c r="DI24" s="514" t="str">
        <f t="shared" si="14"/>
        <v/>
      </c>
      <c r="DJ24" s="514" t="str">
        <f t="shared" si="14"/>
        <v/>
      </c>
    </row>
    <row r="25">
      <c r="A25" s="513" t="s">
        <v>1673</v>
      </c>
      <c r="B25" s="513" t="str">
        <f>'NPC dps'!D12</f>
        <v>Slash</v>
      </c>
      <c r="C25" s="513">
        <f>'NPC dps'!L12</f>
        <v>0</v>
      </c>
      <c r="D25" s="513">
        <f>'NPC dps'!M12</f>
        <v>33</v>
      </c>
      <c r="E25" s="514">
        <f t="shared" si="15"/>
        <v>16.5</v>
      </c>
      <c r="F25" s="514">
        <f t="shared" ref="F25:DJ25" si="16">if(and(F$1&gt;=$C25,F$1&lt;=$D25),if($B$18,(1-$D$5)*F$1+$D$5*F$5,if($B$19,index($F$7:$DJ$16,match($B25,$C$7:$C$16),columns($F:F)),if($B$20,0.25*index($F$7:$DJ$16,match($B25,$C$7:$C$16)-1,columns($F:F))+0.75*index($F$7:$DJ$16,match($B25,$C$7:$C$16),columns($F:F)),F$1))),"")</f>
        <v>0</v>
      </c>
      <c r="G25" s="514">
        <f t="shared" si="16"/>
        <v>1</v>
      </c>
      <c r="H25" s="514">
        <f t="shared" si="16"/>
        <v>2</v>
      </c>
      <c r="I25" s="514">
        <f t="shared" si="16"/>
        <v>3</v>
      </c>
      <c r="J25" s="514">
        <f t="shared" si="16"/>
        <v>4</v>
      </c>
      <c r="K25" s="514">
        <f t="shared" si="16"/>
        <v>5</v>
      </c>
      <c r="L25" s="514">
        <f t="shared" si="16"/>
        <v>6</v>
      </c>
      <c r="M25" s="514">
        <f t="shared" si="16"/>
        <v>7</v>
      </c>
      <c r="N25" s="514">
        <f t="shared" si="16"/>
        <v>8</v>
      </c>
      <c r="O25" s="514">
        <f t="shared" si="16"/>
        <v>9</v>
      </c>
      <c r="P25" s="514">
        <f t="shared" si="16"/>
        <v>10</v>
      </c>
      <c r="Q25" s="514">
        <f t="shared" si="16"/>
        <v>11</v>
      </c>
      <c r="R25" s="514">
        <f t="shared" si="16"/>
        <v>12</v>
      </c>
      <c r="S25" s="514">
        <f t="shared" si="16"/>
        <v>13</v>
      </c>
      <c r="T25" s="514">
        <f t="shared" si="16"/>
        <v>14</v>
      </c>
      <c r="U25" s="514">
        <f t="shared" si="16"/>
        <v>15</v>
      </c>
      <c r="V25" s="514">
        <f t="shared" si="16"/>
        <v>16</v>
      </c>
      <c r="W25" s="514">
        <f t="shared" si="16"/>
        <v>17</v>
      </c>
      <c r="X25" s="514">
        <f t="shared" si="16"/>
        <v>18</v>
      </c>
      <c r="Y25" s="514">
        <f t="shared" si="16"/>
        <v>19</v>
      </c>
      <c r="Z25" s="514">
        <f t="shared" si="16"/>
        <v>20</v>
      </c>
      <c r="AA25" s="514">
        <f t="shared" si="16"/>
        <v>21</v>
      </c>
      <c r="AB25" s="514">
        <f t="shared" si="16"/>
        <v>22</v>
      </c>
      <c r="AC25" s="514">
        <f t="shared" si="16"/>
        <v>23</v>
      </c>
      <c r="AD25" s="514">
        <f t="shared" si="16"/>
        <v>24</v>
      </c>
      <c r="AE25" s="514">
        <f t="shared" si="16"/>
        <v>25</v>
      </c>
      <c r="AF25" s="514">
        <f t="shared" si="16"/>
        <v>26</v>
      </c>
      <c r="AG25" s="514">
        <f t="shared" si="16"/>
        <v>27</v>
      </c>
      <c r="AH25" s="514">
        <f t="shared" si="16"/>
        <v>28</v>
      </c>
      <c r="AI25" s="514">
        <f t="shared" si="16"/>
        <v>29</v>
      </c>
      <c r="AJ25" s="514">
        <f t="shared" si="16"/>
        <v>30</v>
      </c>
      <c r="AK25" s="514">
        <f t="shared" si="16"/>
        <v>31</v>
      </c>
      <c r="AL25" s="514">
        <f t="shared" si="16"/>
        <v>32</v>
      </c>
      <c r="AM25" s="514">
        <f t="shared" si="16"/>
        <v>33</v>
      </c>
      <c r="AN25" s="514" t="str">
        <f t="shared" si="16"/>
        <v/>
      </c>
      <c r="AO25" s="514" t="str">
        <f t="shared" si="16"/>
        <v/>
      </c>
      <c r="AP25" s="514" t="str">
        <f t="shared" si="16"/>
        <v/>
      </c>
      <c r="AQ25" s="514" t="str">
        <f t="shared" si="16"/>
        <v/>
      </c>
      <c r="AR25" s="514" t="str">
        <f t="shared" si="16"/>
        <v/>
      </c>
      <c r="AS25" s="514" t="str">
        <f t="shared" si="16"/>
        <v/>
      </c>
      <c r="AT25" s="514" t="str">
        <f t="shared" si="16"/>
        <v/>
      </c>
      <c r="AU25" s="514" t="str">
        <f t="shared" si="16"/>
        <v/>
      </c>
      <c r="AV25" s="514" t="str">
        <f t="shared" si="16"/>
        <v/>
      </c>
      <c r="AW25" s="514" t="str">
        <f t="shared" si="16"/>
        <v/>
      </c>
      <c r="AX25" s="514" t="str">
        <f t="shared" si="16"/>
        <v/>
      </c>
      <c r="AY25" s="514" t="str">
        <f t="shared" si="16"/>
        <v/>
      </c>
      <c r="AZ25" s="514" t="str">
        <f t="shared" si="16"/>
        <v/>
      </c>
      <c r="BA25" s="514" t="str">
        <f t="shared" si="16"/>
        <v/>
      </c>
      <c r="BB25" s="514" t="str">
        <f t="shared" si="16"/>
        <v/>
      </c>
      <c r="BC25" s="514" t="str">
        <f t="shared" si="16"/>
        <v/>
      </c>
      <c r="BD25" s="514" t="str">
        <f t="shared" si="16"/>
        <v/>
      </c>
      <c r="BE25" s="514" t="str">
        <f t="shared" si="16"/>
        <v/>
      </c>
      <c r="BF25" s="514" t="str">
        <f t="shared" si="16"/>
        <v/>
      </c>
      <c r="BG25" s="514" t="str">
        <f t="shared" si="16"/>
        <v/>
      </c>
      <c r="BH25" s="514" t="str">
        <f t="shared" si="16"/>
        <v/>
      </c>
      <c r="BI25" s="514" t="str">
        <f t="shared" si="16"/>
        <v/>
      </c>
      <c r="BJ25" s="514" t="str">
        <f t="shared" si="16"/>
        <v/>
      </c>
      <c r="BK25" s="514" t="str">
        <f t="shared" si="16"/>
        <v/>
      </c>
      <c r="BL25" s="514" t="str">
        <f t="shared" si="16"/>
        <v/>
      </c>
      <c r="BM25" s="514" t="str">
        <f t="shared" si="16"/>
        <v/>
      </c>
      <c r="BN25" s="514" t="str">
        <f t="shared" si="16"/>
        <v/>
      </c>
      <c r="BO25" s="514" t="str">
        <f t="shared" si="16"/>
        <v/>
      </c>
      <c r="BP25" s="514" t="str">
        <f t="shared" si="16"/>
        <v/>
      </c>
      <c r="BQ25" s="514" t="str">
        <f t="shared" si="16"/>
        <v/>
      </c>
      <c r="BR25" s="514" t="str">
        <f t="shared" si="16"/>
        <v/>
      </c>
      <c r="BS25" s="514" t="str">
        <f t="shared" si="16"/>
        <v/>
      </c>
      <c r="BT25" s="514" t="str">
        <f t="shared" si="16"/>
        <v/>
      </c>
      <c r="BU25" s="514" t="str">
        <f t="shared" si="16"/>
        <v/>
      </c>
      <c r="BV25" s="514" t="str">
        <f t="shared" si="16"/>
        <v/>
      </c>
      <c r="BW25" s="514" t="str">
        <f t="shared" si="16"/>
        <v/>
      </c>
      <c r="BX25" s="514" t="str">
        <f t="shared" si="16"/>
        <v/>
      </c>
      <c r="BY25" s="514" t="str">
        <f t="shared" si="16"/>
        <v/>
      </c>
      <c r="BZ25" s="514" t="str">
        <f t="shared" si="16"/>
        <v/>
      </c>
      <c r="CA25" s="514" t="str">
        <f t="shared" si="16"/>
        <v/>
      </c>
      <c r="CB25" s="514" t="str">
        <f t="shared" si="16"/>
        <v/>
      </c>
      <c r="CC25" s="514" t="str">
        <f t="shared" si="16"/>
        <v/>
      </c>
      <c r="CD25" s="514" t="str">
        <f t="shared" si="16"/>
        <v/>
      </c>
      <c r="CE25" s="514" t="str">
        <f t="shared" si="16"/>
        <v/>
      </c>
      <c r="CF25" s="514" t="str">
        <f t="shared" si="16"/>
        <v/>
      </c>
      <c r="CG25" s="514" t="str">
        <f t="shared" si="16"/>
        <v/>
      </c>
      <c r="CH25" s="514" t="str">
        <f t="shared" si="16"/>
        <v/>
      </c>
      <c r="CI25" s="514" t="str">
        <f t="shared" si="16"/>
        <v/>
      </c>
      <c r="CJ25" s="514" t="str">
        <f t="shared" si="16"/>
        <v/>
      </c>
      <c r="CK25" s="514" t="str">
        <f t="shared" si="16"/>
        <v/>
      </c>
      <c r="CL25" s="514" t="str">
        <f t="shared" si="16"/>
        <v/>
      </c>
      <c r="CM25" s="514" t="str">
        <f t="shared" si="16"/>
        <v/>
      </c>
      <c r="CN25" s="514" t="str">
        <f t="shared" si="16"/>
        <v/>
      </c>
      <c r="CO25" s="514" t="str">
        <f t="shared" si="16"/>
        <v/>
      </c>
      <c r="CP25" s="514" t="str">
        <f t="shared" si="16"/>
        <v/>
      </c>
      <c r="CQ25" s="514" t="str">
        <f t="shared" si="16"/>
        <v/>
      </c>
      <c r="CR25" s="514" t="str">
        <f t="shared" si="16"/>
        <v/>
      </c>
      <c r="CS25" s="514" t="str">
        <f t="shared" si="16"/>
        <v/>
      </c>
      <c r="CT25" s="514" t="str">
        <f t="shared" si="16"/>
        <v/>
      </c>
      <c r="CU25" s="514" t="str">
        <f t="shared" si="16"/>
        <v/>
      </c>
      <c r="CV25" s="514" t="str">
        <f t="shared" si="16"/>
        <v/>
      </c>
      <c r="CW25" s="514" t="str">
        <f t="shared" si="16"/>
        <v/>
      </c>
      <c r="CX25" s="514" t="str">
        <f t="shared" si="16"/>
        <v/>
      </c>
      <c r="CY25" s="514" t="str">
        <f t="shared" si="16"/>
        <v/>
      </c>
      <c r="CZ25" s="514" t="str">
        <f t="shared" si="16"/>
        <v/>
      </c>
      <c r="DA25" s="514" t="str">
        <f t="shared" si="16"/>
        <v/>
      </c>
      <c r="DB25" s="514" t="str">
        <f t="shared" si="16"/>
        <v/>
      </c>
      <c r="DC25" s="514" t="str">
        <f t="shared" si="16"/>
        <v/>
      </c>
      <c r="DD25" s="514" t="str">
        <f t="shared" si="16"/>
        <v/>
      </c>
      <c r="DE25" s="514" t="str">
        <f t="shared" si="16"/>
        <v/>
      </c>
      <c r="DF25" s="514" t="str">
        <f t="shared" si="16"/>
        <v/>
      </c>
      <c r="DG25" s="514" t="str">
        <f t="shared" si="16"/>
        <v/>
      </c>
      <c r="DH25" s="514" t="str">
        <f t="shared" si="16"/>
        <v/>
      </c>
      <c r="DI25" s="514" t="str">
        <f t="shared" si="16"/>
        <v/>
      </c>
      <c r="DJ25" s="514" t="str">
        <f t="shared" si="16"/>
        <v/>
      </c>
    </row>
    <row r="26">
      <c r="A26" s="513" t="s">
        <v>1674</v>
      </c>
      <c r="B26" s="513" t="str">
        <f>'NPC dps'!D13</f>
        <v>Crush</v>
      </c>
      <c r="C26" s="513">
        <f>'NPC dps'!L13</f>
        <v>0</v>
      </c>
      <c r="D26" s="513">
        <f>'NPC dps'!M13</f>
        <v>33</v>
      </c>
      <c r="E26" s="514">
        <f t="shared" si="15"/>
        <v>16.5</v>
      </c>
      <c r="F26" s="514">
        <f t="shared" ref="F26:DJ26" si="17">if(and(F$1&gt;=$C26,F$1&lt;=$D26),if($B$18,(1-$D$5)*F$1+$D$5*F$5,if($B$19,index($F$7:$DJ$16,match($B26,$C$7:$C$16),columns($F:F)),if($B$20,0.25*index($F$7:$DJ$16,match($B26,$C$7:$C$16)-1,columns($F:F))+0.75*index($F$7:$DJ$16,match($B26,$C$7:$C$16),columns($F:F)),F$1))),"")</f>
        <v>0</v>
      </c>
      <c r="G26" s="514">
        <f t="shared" si="17"/>
        <v>1</v>
      </c>
      <c r="H26" s="514">
        <f t="shared" si="17"/>
        <v>2</v>
      </c>
      <c r="I26" s="514">
        <f t="shared" si="17"/>
        <v>3</v>
      </c>
      <c r="J26" s="514">
        <f t="shared" si="17"/>
        <v>4</v>
      </c>
      <c r="K26" s="514">
        <f t="shared" si="17"/>
        <v>5</v>
      </c>
      <c r="L26" s="514">
        <f t="shared" si="17"/>
        <v>6</v>
      </c>
      <c r="M26" s="514">
        <f t="shared" si="17"/>
        <v>7</v>
      </c>
      <c r="N26" s="514">
        <f t="shared" si="17"/>
        <v>8</v>
      </c>
      <c r="O26" s="514">
        <f t="shared" si="17"/>
        <v>9</v>
      </c>
      <c r="P26" s="514">
        <f t="shared" si="17"/>
        <v>10</v>
      </c>
      <c r="Q26" s="514">
        <f t="shared" si="17"/>
        <v>11</v>
      </c>
      <c r="R26" s="514">
        <f t="shared" si="17"/>
        <v>12</v>
      </c>
      <c r="S26" s="514">
        <f t="shared" si="17"/>
        <v>13</v>
      </c>
      <c r="T26" s="514">
        <f t="shared" si="17"/>
        <v>14</v>
      </c>
      <c r="U26" s="514">
        <f t="shared" si="17"/>
        <v>15</v>
      </c>
      <c r="V26" s="514">
        <f t="shared" si="17"/>
        <v>16</v>
      </c>
      <c r="W26" s="514">
        <f t="shared" si="17"/>
        <v>17</v>
      </c>
      <c r="X26" s="514">
        <f t="shared" si="17"/>
        <v>18</v>
      </c>
      <c r="Y26" s="514">
        <f t="shared" si="17"/>
        <v>19</v>
      </c>
      <c r="Z26" s="514">
        <f t="shared" si="17"/>
        <v>20</v>
      </c>
      <c r="AA26" s="514">
        <f t="shared" si="17"/>
        <v>21</v>
      </c>
      <c r="AB26" s="514">
        <f t="shared" si="17"/>
        <v>22</v>
      </c>
      <c r="AC26" s="514">
        <f t="shared" si="17"/>
        <v>23</v>
      </c>
      <c r="AD26" s="514">
        <f t="shared" si="17"/>
        <v>24</v>
      </c>
      <c r="AE26" s="514">
        <f t="shared" si="17"/>
        <v>25</v>
      </c>
      <c r="AF26" s="514">
        <f t="shared" si="17"/>
        <v>26</v>
      </c>
      <c r="AG26" s="514">
        <f t="shared" si="17"/>
        <v>27</v>
      </c>
      <c r="AH26" s="514">
        <f t="shared" si="17"/>
        <v>28</v>
      </c>
      <c r="AI26" s="514">
        <f t="shared" si="17"/>
        <v>29</v>
      </c>
      <c r="AJ26" s="514">
        <f t="shared" si="17"/>
        <v>30</v>
      </c>
      <c r="AK26" s="514">
        <f t="shared" si="17"/>
        <v>31</v>
      </c>
      <c r="AL26" s="514">
        <f t="shared" si="17"/>
        <v>32</v>
      </c>
      <c r="AM26" s="514">
        <f t="shared" si="17"/>
        <v>33</v>
      </c>
      <c r="AN26" s="514" t="str">
        <f t="shared" si="17"/>
        <v/>
      </c>
      <c r="AO26" s="514" t="str">
        <f t="shared" si="17"/>
        <v/>
      </c>
      <c r="AP26" s="514" t="str">
        <f t="shared" si="17"/>
        <v/>
      </c>
      <c r="AQ26" s="514" t="str">
        <f t="shared" si="17"/>
        <v/>
      </c>
      <c r="AR26" s="514" t="str">
        <f t="shared" si="17"/>
        <v/>
      </c>
      <c r="AS26" s="514" t="str">
        <f t="shared" si="17"/>
        <v/>
      </c>
      <c r="AT26" s="514" t="str">
        <f t="shared" si="17"/>
        <v/>
      </c>
      <c r="AU26" s="514" t="str">
        <f t="shared" si="17"/>
        <v/>
      </c>
      <c r="AV26" s="514" t="str">
        <f t="shared" si="17"/>
        <v/>
      </c>
      <c r="AW26" s="514" t="str">
        <f t="shared" si="17"/>
        <v/>
      </c>
      <c r="AX26" s="514" t="str">
        <f t="shared" si="17"/>
        <v/>
      </c>
      <c r="AY26" s="514" t="str">
        <f t="shared" si="17"/>
        <v/>
      </c>
      <c r="AZ26" s="514" t="str">
        <f t="shared" si="17"/>
        <v/>
      </c>
      <c r="BA26" s="514" t="str">
        <f t="shared" si="17"/>
        <v/>
      </c>
      <c r="BB26" s="514" t="str">
        <f t="shared" si="17"/>
        <v/>
      </c>
      <c r="BC26" s="514" t="str">
        <f t="shared" si="17"/>
        <v/>
      </c>
      <c r="BD26" s="514" t="str">
        <f t="shared" si="17"/>
        <v/>
      </c>
      <c r="BE26" s="514" t="str">
        <f t="shared" si="17"/>
        <v/>
      </c>
      <c r="BF26" s="514" t="str">
        <f t="shared" si="17"/>
        <v/>
      </c>
      <c r="BG26" s="514" t="str">
        <f t="shared" si="17"/>
        <v/>
      </c>
      <c r="BH26" s="514" t="str">
        <f t="shared" si="17"/>
        <v/>
      </c>
      <c r="BI26" s="514" t="str">
        <f t="shared" si="17"/>
        <v/>
      </c>
      <c r="BJ26" s="514" t="str">
        <f t="shared" si="17"/>
        <v/>
      </c>
      <c r="BK26" s="514" t="str">
        <f t="shared" si="17"/>
        <v/>
      </c>
      <c r="BL26" s="514" t="str">
        <f t="shared" si="17"/>
        <v/>
      </c>
      <c r="BM26" s="514" t="str">
        <f t="shared" si="17"/>
        <v/>
      </c>
      <c r="BN26" s="514" t="str">
        <f t="shared" si="17"/>
        <v/>
      </c>
      <c r="BO26" s="514" t="str">
        <f t="shared" si="17"/>
        <v/>
      </c>
      <c r="BP26" s="514" t="str">
        <f t="shared" si="17"/>
        <v/>
      </c>
      <c r="BQ26" s="514" t="str">
        <f t="shared" si="17"/>
        <v/>
      </c>
      <c r="BR26" s="514" t="str">
        <f t="shared" si="17"/>
        <v/>
      </c>
      <c r="BS26" s="514" t="str">
        <f t="shared" si="17"/>
        <v/>
      </c>
      <c r="BT26" s="514" t="str">
        <f t="shared" si="17"/>
        <v/>
      </c>
      <c r="BU26" s="514" t="str">
        <f t="shared" si="17"/>
        <v/>
      </c>
      <c r="BV26" s="514" t="str">
        <f t="shared" si="17"/>
        <v/>
      </c>
      <c r="BW26" s="514" t="str">
        <f t="shared" si="17"/>
        <v/>
      </c>
      <c r="BX26" s="514" t="str">
        <f t="shared" si="17"/>
        <v/>
      </c>
      <c r="BY26" s="514" t="str">
        <f t="shared" si="17"/>
        <v/>
      </c>
      <c r="BZ26" s="514" t="str">
        <f t="shared" si="17"/>
        <v/>
      </c>
      <c r="CA26" s="514" t="str">
        <f t="shared" si="17"/>
        <v/>
      </c>
      <c r="CB26" s="514" t="str">
        <f t="shared" si="17"/>
        <v/>
      </c>
      <c r="CC26" s="514" t="str">
        <f t="shared" si="17"/>
        <v/>
      </c>
      <c r="CD26" s="514" t="str">
        <f t="shared" si="17"/>
        <v/>
      </c>
      <c r="CE26" s="514" t="str">
        <f t="shared" si="17"/>
        <v/>
      </c>
      <c r="CF26" s="514" t="str">
        <f t="shared" si="17"/>
        <v/>
      </c>
      <c r="CG26" s="514" t="str">
        <f t="shared" si="17"/>
        <v/>
      </c>
      <c r="CH26" s="514" t="str">
        <f t="shared" si="17"/>
        <v/>
      </c>
      <c r="CI26" s="514" t="str">
        <f t="shared" si="17"/>
        <v/>
      </c>
      <c r="CJ26" s="514" t="str">
        <f t="shared" si="17"/>
        <v/>
      </c>
      <c r="CK26" s="514" t="str">
        <f t="shared" si="17"/>
        <v/>
      </c>
      <c r="CL26" s="514" t="str">
        <f t="shared" si="17"/>
        <v/>
      </c>
      <c r="CM26" s="514" t="str">
        <f t="shared" si="17"/>
        <v/>
      </c>
      <c r="CN26" s="514" t="str">
        <f t="shared" si="17"/>
        <v/>
      </c>
      <c r="CO26" s="514" t="str">
        <f t="shared" si="17"/>
        <v/>
      </c>
      <c r="CP26" s="514" t="str">
        <f t="shared" si="17"/>
        <v/>
      </c>
      <c r="CQ26" s="514" t="str">
        <f t="shared" si="17"/>
        <v/>
      </c>
      <c r="CR26" s="514" t="str">
        <f t="shared" si="17"/>
        <v/>
      </c>
      <c r="CS26" s="514" t="str">
        <f t="shared" si="17"/>
        <v/>
      </c>
      <c r="CT26" s="514" t="str">
        <f t="shared" si="17"/>
        <v/>
      </c>
      <c r="CU26" s="514" t="str">
        <f t="shared" si="17"/>
        <v/>
      </c>
      <c r="CV26" s="514" t="str">
        <f t="shared" si="17"/>
        <v/>
      </c>
      <c r="CW26" s="514" t="str">
        <f t="shared" si="17"/>
        <v/>
      </c>
      <c r="CX26" s="514" t="str">
        <f t="shared" si="17"/>
        <v/>
      </c>
      <c r="CY26" s="514" t="str">
        <f t="shared" si="17"/>
        <v/>
      </c>
      <c r="CZ26" s="514" t="str">
        <f t="shared" si="17"/>
        <v/>
      </c>
      <c r="DA26" s="514" t="str">
        <f t="shared" si="17"/>
        <v/>
      </c>
      <c r="DB26" s="514" t="str">
        <f t="shared" si="17"/>
        <v/>
      </c>
      <c r="DC26" s="514" t="str">
        <f t="shared" si="17"/>
        <v/>
      </c>
      <c r="DD26" s="514" t="str">
        <f t="shared" si="17"/>
        <v/>
      </c>
      <c r="DE26" s="514" t="str">
        <f t="shared" si="17"/>
        <v/>
      </c>
      <c r="DF26" s="514" t="str">
        <f t="shared" si="17"/>
        <v/>
      </c>
      <c r="DG26" s="514" t="str">
        <f t="shared" si="17"/>
        <v/>
      </c>
      <c r="DH26" s="514" t="str">
        <f t="shared" si="17"/>
        <v/>
      </c>
      <c r="DI26" s="514" t="str">
        <f t="shared" si="17"/>
        <v/>
      </c>
      <c r="DJ26" s="514" t="str">
        <f t="shared" si="17"/>
        <v/>
      </c>
    </row>
    <row r="27">
      <c r="A27" s="513" t="s">
        <v>1675</v>
      </c>
      <c r="B27" s="513" t="str">
        <f>'NPC dps'!D15</f>
        <v>Magic</v>
      </c>
      <c r="C27" s="513">
        <f>'NPC dps'!L15</f>
        <v>0</v>
      </c>
      <c r="D27" s="513">
        <f>'NPC dps'!M15</f>
        <v>36</v>
      </c>
      <c r="E27" s="514">
        <f t="shared" si="15"/>
        <v>18</v>
      </c>
      <c r="F27" s="514">
        <f t="shared" ref="F27:DJ27" si="18">if(and(F$1&gt;=$C27,F$1&lt;=$D27),if($B$18,(1-$D$5)*F$1+$D$5*F$5,if($B$19,index($F$7:$DJ$16,match($B27,$C$7:$C$16),columns($F:F)),if($B$20,0.25*index($F$7:$DJ$16,match($B27,$C$7:$C$16)-1,columns($F:F))+0.75*index($F$7:$DJ$16,match($B27,$C$7:$C$16),columns($F:F)),F1))),"")</f>
        <v>0</v>
      </c>
      <c r="G27" s="514">
        <f t="shared" si="18"/>
        <v>1</v>
      </c>
      <c r="H27" s="514">
        <f t="shared" si="18"/>
        <v>2</v>
      </c>
      <c r="I27" s="514">
        <f t="shared" si="18"/>
        <v>3</v>
      </c>
      <c r="J27" s="514">
        <f t="shared" si="18"/>
        <v>4</v>
      </c>
      <c r="K27" s="514">
        <f t="shared" si="18"/>
        <v>5</v>
      </c>
      <c r="L27" s="514">
        <f t="shared" si="18"/>
        <v>6</v>
      </c>
      <c r="M27" s="514">
        <f t="shared" si="18"/>
        <v>7</v>
      </c>
      <c r="N27" s="514">
        <f t="shared" si="18"/>
        <v>8</v>
      </c>
      <c r="O27" s="514">
        <f t="shared" si="18"/>
        <v>9</v>
      </c>
      <c r="P27" s="514">
        <f t="shared" si="18"/>
        <v>10</v>
      </c>
      <c r="Q27" s="514">
        <f t="shared" si="18"/>
        <v>11</v>
      </c>
      <c r="R27" s="514">
        <f t="shared" si="18"/>
        <v>12</v>
      </c>
      <c r="S27" s="514">
        <f t="shared" si="18"/>
        <v>13</v>
      </c>
      <c r="T27" s="514">
        <f t="shared" si="18"/>
        <v>14</v>
      </c>
      <c r="U27" s="514">
        <f t="shared" si="18"/>
        <v>15</v>
      </c>
      <c r="V27" s="514">
        <f t="shared" si="18"/>
        <v>16</v>
      </c>
      <c r="W27" s="514">
        <f t="shared" si="18"/>
        <v>17</v>
      </c>
      <c r="X27" s="514">
        <f t="shared" si="18"/>
        <v>18</v>
      </c>
      <c r="Y27" s="514">
        <f t="shared" si="18"/>
        <v>19</v>
      </c>
      <c r="Z27" s="514">
        <f t="shared" si="18"/>
        <v>20</v>
      </c>
      <c r="AA27" s="514">
        <f t="shared" si="18"/>
        <v>21</v>
      </c>
      <c r="AB27" s="514">
        <f t="shared" si="18"/>
        <v>22</v>
      </c>
      <c r="AC27" s="514">
        <f t="shared" si="18"/>
        <v>23</v>
      </c>
      <c r="AD27" s="514">
        <f t="shared" si="18"/>
        <v>24</v>
      </c>
      <c r="AE27" s="514">
        <f t="shared" si="18"/>
        <v>25</v>
      </c>
      <c r="AF27" s="514">
        <f t="shared" si="18"/>
        <v>26</v>
      </c>
      <c r="AG27" s="514">
        <f t="shared" si="18"/>
        <v>27</v>
      </c>
      <c r="AH27" s="514">
        <f t="shared" si="18"/>
        <v>28</v>
      </c>
      <c r="AI27" s="514">
        <f t="shared" si="18"/>
        <v>29</v>
      </c>
      <c r="AJ27" s="514">
        <f t="shared" si="18"/>
        <v>30</v>
      </c>
      <c r="AK27" s="514">
        <f t="shared" si="18"/>
        <v>31</v>
      </c>
      <c r="AL27" s="514">
        <f t="shared" si="18"/>
        <v>32</v>
      </c>
      <c r="AM27" s="514">
        <f t="shared" si="18"/>
        <v>33</v>
      </c>
      <c r="AN27" s="514">
        <f t="shared" si="18"/>
        <v>34</v>
      </c>
      <c r="AO27" s="514">
        <f t="shared" si="18"/>
        <v>35</v>
      </c>
      <c r="AP27" s="514">
        <f t="shared" si="18"/>
        <v>36</v>
      </c>
      <c r="AQ27" s="514" t="str">
        <f t="shared" si="18"/>
        <v/>
      </c>
      <c r="AR27" s="514" t="str">
        <f t="shared" si="18"/>
        <v/>
      </c>
      <c r="AS27" s="514" t="str">
        <f t="shared" si="18"/>
        <v/>
      </c>
      <c r="AT27" s="514" t="str">
        <f t="shared" si="18"/>
        <v/>
      </c>
      <c r="AU27" s="514" t="str">
        <f t="shared" si="18"/>
        <v/>
      </c>
      <c r="AV27" s="514" t="str">
        <f t="shared" si="18"/>
        <v/>
      </c>
      <c r="AW27" s="514" t="str">
        <f t="shared" si="18"/>
        <v/>
      </c>
      <c r="AX27" s="514" t="str">
        <f t="shared" si="18"/>
        <v/>
      </c>
      <c r="AY27" s="514" t="str">
        <f t="shared" si="18"/>
        <v/>
      </c>
      <c r="AZ27" s="514" t="str">
        <f t="shared" si="18"/>
        <v/>
      </c>
      <c r="BA27" s="514" t="str">
        <f t="shared" si="18"/>
        <v/>
      </c>
      <c r="BB27" s="514" t="str">
        <f t="shared" si="18"/>
        <v/>
      </c>
      <c r="BC27" s="514" t="str">
        <f t="shared" si="18"/>
        <v/>
      </c>
      <c r="BD27" s="514" t="str">
        <f t="shared" si="18"/>
        <v/>
      </c>
      <c r="BE27" s="514" t="str">
        <f t="shared" si="18"/>
        <v/>
      </c>
      <c r="BF27" s="514" t="str">
        <f t="shared" si="18"/>
        <v/>
      </c>
      <c r="BG27" s="514" t="str">
        <f t="shared" si="18"/>
        <v/>
      </c>
      <c r="BH27" s="514" t="str">
        <f t="shared" si="18"/>
        <v/>
      </c>
      <c r="BI27" s="514" t="str">
        <f t="shared" si="18"/>
        <v/>
      </c>
      <c r="BJ27" s="514" t="str">
        <f t="shared" si="18"/>
        <v/>
      </c>
      <c r="BK27" s="514" t="str">
        <f t="shared" si="18"/>
        <v/>
      </c>
      <c r="BL27" s="514" t="str">
        <f t="shared" si="18"/>
        <v/>
      </c>
      <c r="BM27" s="514" t="str">
        <f t="shared" si="18"/>
        <v/>
      </c>
      <c r="BN27" s="514" t="str">
        <f t="shared" si="18"/>
        <v/>
      </c>
      <c r="BO27" s="514" t="str">
        <f t="shared" si="18"/>
        <v/>
      </c>
      <c r="BP27" s="514" t="str">
        <f t="shared" si="18"/>
        <v/>
      </c>
      <c r="BQ27" s="514" t="str">
        <f t="shared" si="18"/>
        <v/>
      </c>
      <c r="BR27" s="514" t="str">
        <f t="shared" si="18"/>
        <v/>
      </c>
      <c r="BS27" s="514" t="str">
        <f t="shared" si="18"/>
        <v/>
      </c>
      <c r="BT27" s="514" t="str">
        <f t="shared" si="18"/>
        <v/>
      </c>
      <c r="BU27" s="514" t="str">
        <f t="shared" si="18"/>
        <v/>
      </c>
      <c r="BV27" s="514" t="str">
        <f t="shared" si="18"/>
        <v/>
      </c>
      <c r="BW27" s="514" t="str">
        <f t="shared" si="18"/>
        <v/>
      </c>
      <c r="BX27" s="514" t="str">
        <f t="shared" si="18"/>
        <v/>
      </c>
      <c r="BY27" s="514" t="str">
        <f t="shared" si="18"/>
        <v/>
      </c>
      <c r="BZ27" s="514" t="str">
        <f t="shared" si="18"/>
        <v/>
      </c>
      <c r="CA27" s="514" t="str">
        <f t="shared" si="18"/>
        <v/>
      </c>
      <c r="CB27" s="514" t="str">
        <f t="shared" si="18"/>
        <v/>
      </c>
      <c r="CC27" s="514" t="str">
        <f t="shared" si="18"/>
        <v/>
      </c>
      <c r="CD27" s="514" t="str">
        <f t="shared" si="18"/>
        <v/>
      </c>
      <c r="CE27" s="514" t="str">
        <f t="shared" si="18"/>
        <v/>
      </c>
      <c r="CF27" s="514" t="str">
        <f t="shared" si="18"/>
        <v/>
      </c>
      <c r="CG27" s="514" t="str">
        <f t="shared" si="18"/>
        <v/>
      </c>
      <c r="CH27" s="514" t="str">
        <f t="shared" si="18"/>
        <v/>
      </c>
      <c r="CI27" s="514" t="str">
        <f t="shared" si="18"/>
        <v/>
      </c>
      <c r="CJ27" s="514" t="str">
        <f t="shared" si="18"/>
        <v/>
      </c>
      <c r="CK27" s="514" t="str">
        <f t="shared" si="18"/>
        <v/>
      </c>
      <c r="CL27" s="514" t="str">
        <f t="shared" si="18"/>
        <v/>
      </c>
      <c r="CM27" s="514" t="str">
        <f t="shared" si="18"/>
        <v/>
      </c>
      <c r="CN27" s="514" t="str">
        <f t="shared" si="18"/>
        <v/>
      </c>
      <c r="CO27" s="514" t="str">
        <f t="shared" si="18"/>
        <v/>
      </c>
      <c r="CP27" s="514" t="str">
        <f t="shared" si="18"/>
        <v/>
      </c>
      <c r="CQ27" s="514" t="str">
        <f t="shared" si="18"/>
        <v/>
      </c>
      <c r="CR27" s="514" t="str">
        <f t="shared" si="18"/>
        <v/>
      </c>
      <c r="CS27" s="514" t="str">
        <f t="shared" si="18"/>
        <v/>
      </c>
      <c r="CT27" s="514" t="str">
        <f t="shared" si="18"/>
        <v/>
      </c>
      <c r="CU27" s="514" t="str">
        <f t="shared" si="18"/>
        <v/>
      </c>
      <c r="CV27" s="514" t="str">
        <f t="shared" si="18"/>
        <v/>
      </c>
      <c r="CW27" s="514" t="str">
        <f t="shared" si="18"/>
        <v/>
      </c>
      <c r="CX27" s="514" t="str">
        <f t="shared" si="18"/>
        <v/>
      </c>
      <c r="CY27" s="514" t="str">
        <f t="shared" si="18"/>
        <v/>
      </c>
      <c r="CZ27" s="514" t="str">
        <f t="shared" si="18"/>
        <v/>
      </c>
      <c r="DA27" s="514" t="str">
        <f t="shared" si="18"/>
        <v/>
      </c>
      <c r="DB27" s="514" t="str">
        <f t="shared" si="18"/>
        <v/>
      </c>
      <c r="DC27" s="514" t="str">
        <f t="shared" si="18"/>
        <v/>
      </c>
      <c r="DD27" s="514" t="str">
        <f t="shared" si="18"/>
        <v/>
      </c>
      <c r="DE27" s="514" t="str">
        <f t="shared" si="18"/>
        <v/>
      </c>
      <c r="DF27" s="514" t="str">
        <f t="shared" si="18"/>
        <v/>
      </c>
      <c r="DG27" s="514" t="str">
        <f t="shared" si="18"/>
        <v/>
      </c>
      <c r="DH27" s="514" t="str">
        <f t="shared" si="18"/>
        <v/>
      </c>
      <c r="DI27" s="514" t="str">
        <f t="shared" si="18"/>
        <v/>
      </c>
      <c r="DJ27" s="514" t="str">
        <f t="shared" si="18"/>
        <v/>
      </c>
    </row>
    <row r="28">
      <c r="A28" s="513" t="s">
        <v>1676</v>
      </c>
      <c r="B28" s="513" t="str">
        <f>'NPC dps'!D16</f>
        <v>Ranged</v>
      </c>
      <c r="C28" s="513">
        <f>'NPC dps'!L16</f>
        <v>0</v>
      </c>
      <c r="D28" s="513">
        <f>'NPC dps'!M16</f>
        <v>16</v>
      </c>
      <c r="E28" s="514">
        <f t="shared" si="15"/>
        <v>8</v>
      </c>
      <c r="F28" s="514">
        <f t="shared" ref="F28:DJ28" si="19">if(and(F$1&gt;=$C28,F$1&lt;=$D28),if($B$18,(1-$D$5)*F$1+$D$5*F$5,if($B$19,index($F$7:$DJ$16,match($B28,$C$7:$C$16),columns($F:F)),if($B$20,0.25*index($F$7:$DJ$16,match($B28,$C$7:$C$16)-1,columns($F:F))+0.75*index($F$7:$DJ$16,match($B28,$C$7:$C$16),columns($F:F)),F1))),"")</f>
        <v>0</v>
      </c>
      <c r="G28" s="514">
        <f t="shared" si="19"/>
        <v>1</v>
      </c>
      <c r="H28" s="514">
        <f t="shared" si="19"/>
        <v>2</v>
      </c>
      <c r="I28" s="514">
        <f t="shared" si="19"/>
        <v>3</v>
      </c>
      <c r="J28" s="514">
        <f t="shared" si="19"/>
        <v>4</v>
      </c>
      <c r="K28" s="514">
        <f t="shared" si="19"/>
        <v>5</v>
      </c>
      <c r="L28" s="514">
        <f t="shared" si="19"/>
        <v>6</v>
      </c>
      <c r="M28" s="514">
        <f t="shared" si="19"/>
        <v>7</v>
      </c>
      <c r="N28" s="514">
        <f t="shared" si="19"/>
        <v>8</v>
      </c>
      <c r="O28" s="514">
        <f t="shared" si="19"/>
        <v>9</v>
      </c>
      <c r="P28" s="514">
        <f t="shared" si="19"/>
        <v>10</v>
      </c>
      <c r="Q28" s="514">
        <f t="shared" si="19"/>
        <v>11</v>
      </c>
      <c r="R28" s="514">
        <f t="shared" si="19"/>
        <v>12</v>
      </c>
      <c r="S28" s="514">
        <f t="shared" si="19"/>
        <v>13</v>
      </c>
      <c r="T28" s="514">
        <f t="shared" si="19"/>
        <v>14</v>
      </c>
      <c r="U28" s="514">
        <f t="shared" si="19"/>
        <v>15</v>
      </c>
      <c r="V28" s="514">
        <f t="shared" si="19"/>
        <v>16</v>
      </c>
      <c r="W28" s="514" t="str">
        <f t="shared" si="19"/>
        <v/>
      </c>
      <c r="X28" s="514" t="str">
        <f t="shared" si="19"/>
        <v/>
      </c>
      <c r="Y28" s="514" t="str">
        <f t="shared" si="19"/>
        <v/>
      </c>
      <c r="Z28" s="514" t="str">
        <f t="shared" si="19"/>
        <v/>
      </c>
      <c r="AA28" s="514" t="str">
        <f t="shared" si="19"/>
        <v/>
      </c>
      <c r="AB28" s="514" t="str">
        <f t="shared" si="19"/>
        <v/>
      </c>
      <c r="AC28" s="514" t="str">
        <f t="shared" si="19"/>
        <v/>
      </c>
      <c r="AD28" s="514" t="str">
        <f t="shared" si="19"/>
        <v/>
      </c>
      <c r="AE28" s="514" t="str">
        <f t="shared" si="19"/>
        <v/>
      </c>
      <c r="AF28" s="514" t="str">
        <f t="shared" si="19"/>
        <v/>
      </c>
      <c r="AG28" s="514" t="str">
        <f t="shared" si="19"/>
        <v/>
      </c>
      <c r="AH28" s="514" t="str">
        <f t="shared" si="19"/>
        <v/>
      </c>
      <c r="AI28" s="514" t="str">
        <f t="shared" si="19"/>
        <v/>
      </c>
      <c r="AJ28" s="514" t="str">
        <f t="shared" si="19"/>
        <v/>
      </c>
      <c r="AK28" s="514" t="str">
        <f t="shared" si="19"/>
        <v/>
      </c>
      <c r="AL28" s="514" t="str">
        <f t="shared" si="19"/>
        <v/>
      </c>
      <c r="AM28" s="514" t="str">
        <f t="shared" si="19"/>
        <v/>
      </c>
      <c r="AN28" s="514" t="str">
        <f t="shared" si="19"/>
        <v/>
      </c>
      <c r="AO28" s="514" t="str">
        <f t="shared" si="19"/>
        <v/>
      </c>
      <c r="AP28" s="514" t="str">
        <f t="shared" si="19"/>
        <v/>
      </c>
      <c r="AQ28" s="514" t="str">
        <f t="shared" si="19"/>
        <v/>
      </c>
      <c r="AR28" s="514" t="str">
        <f t="shared" si="19"/>
        <v/>
      </c>
      <c r="AS28" s="514" t="str">
        <f t="shared" si="19"/>
        <v/>
      </c>
      <c r="AT28" s="514" t="str">
        <f t="shared" si="19"/>
        <v/>
      </c>
      <c r="AU28" s="514" t="str">
        <f t="shared" si="19"/>
        <v/>
      </c>
      <c r="AV28" s="514" t="str">
        <f t="shared" si="19"/>
        <v/>
      </c>
      <c r="AW28" s="514" t="str">
        <f t="shared" si="19"/>
        <v/>
      </c>
      <c r="AX28" s="514" t="str">
        <f t="shared" si="19"/>
        <v/>
      </c>
      <c r="AY28" s="514" t="str">
        <f t="shared" si="19"/>
        <v/>
      </c>
      <c r="AZ28" s="514" t="str">
        <f t="shared" si="19"/>
        <v/>
      </c>
      <c r="BA28" s="514" t="str">
        <f t="shared" si="19"/>
        <v/>
      </c>
      <c r="BB28" s="514" t="str">
        <f t="shared" si="19"/>
        <v/>
      </c>
      <c r="BC28" s="514" t="str">
        <f t="shared" si="19"/>
        <v/>
      </c>
      <c r="BD28" s="514" t="str">
        <f t="shared" si="19"/>
        <v/>
      </c>
      <c r="BE28" s="514" t="str">
        <f t="shared" si="19"/>
        <v/>
      </c>
      <c r="BF28" s="514" t="str">
        <f t="shared" si="19"/>
        <v/>
      </c>
      <c r="BG28" s="514" t="str">
        <f t="shared" si="19"/>
        <v/>
      </c>
      <c r="BH28" s="514" t="str">
        <f t="shared" si="19"/>
        <v/>
      </c>
      <c r="BI28" s="514" t="str">
        <f t="shared" si="19"/>
        <v/>
      </c>
      <c r="BJ28" s="514" t="str">
        <f t="shared" si="19"/>
        <v/>
      </c>
      <c r="BK28" s="514" t="str">
        <f t="shared" si="19"/>
        <v/>
      </c>
      <c r="BL28" s="514" t="str">
        <f t="shared" si="19"/>
        <v/>
      </c>
      <c r="BM28" s="514" t="str">
        <f t="shared" si="19"/>
        <v/>
      </c>
      <c r="BN28" s="514" t="str">
        <f t="shared" si="19"/>
        <v/>
      </c>
      <c r="BO28" s="514" t="str">
        <f t="shared" si="19"/>
        <v/>
      </c>
      <c r="BP28" s="514" t="str">
        <f t="shared" si="19"/>
        <v/>
      </c>
      <c r="BQ28" s="514" t="str">
        <f t="shared" si="19"/>
        <v/>
      </c>
      <c r="BR28" s="514" t="str">
        <f t="shared" si="19"/>
        <v/>
      </c>
      <c r="BS28" s="514" t="str">
        <f t="shared" si="19"/>
        <v/>
      </c>
      <c r="BT28" s="514" t="str">
        <f t="shared" si="19"/>
        <v/>
      </c>
      <c r="BU28" s="514" t="str">
        <f t="shared" si="19"/>
        <v/>
      </c>
      <c r="BV28" s="514" t="str">
        <f t="shared" si="19"/>
        <v/>
      </c>
      <c r="BW28" s="514" t="str">
        <f t="shared" si="19"/>
        <v/>
      </c>
      <c r="BX28" s="514" t="str">
        <f t="shared" si="19"/>
        <v/>
      </c>
      <c r="BY28" s="514" t="str">
        <f t="shared" si="19"/>
        <v/>
      </c>
      <c r="BZ28" s="514" t="str">
        <f t="shared" si="19"/>
        <v/>
      </c>
      <c r="CA28" s="514" t="str">
        <f t="shared" si="19"/>
        <v/>
      </c>
      <c r="CB28" s="514" t="str">
        <f t="shared" si="19"/>
        <v/>
      </c>
      <c r="CC28" s="514" t="str">
        <f t="shared" si="19"/>
        <v/>
      </c>
      <c r="CD28" s="514" t="str">
        <f t="shared" si="19"/>
        <v/>
      </c>
      <c r="CE28" s="514" t="str">
        <f t="shared" si="19"/>
        <v/>
      </c>
      <c r="CF28" s="514" t="str">
        <f t="shared" si="19"/>
        <v/>
      </c>
      <c r="CG28" s="514" t="str">
        <f t="shared" si="19"/>
        <v/>
      </c>
      <c r="CH28" s="514" t="str">
        <f t="shared" si="19"/>
        <v/>
      </c>
      <c r="CI28" s="514" t="str">
        <f t="shared" si="19"/>
        <v/>
      </c>
      <c r="CJ28" s="514" t="str">
        <f t="shared" si="19"/>
        <v/>
      </c>
      <c r="CK28" s="514" t="str">
        <f t="shared" si="19"/>
        <v/>
      </c>
      <c r="CL28" s="514" t="str">
        <f t="shared" si="19"/>
        <v/>
      </c>
      <c r="CM28" s="514" t="str">
        <f t="shared" si="19"/>
        <v/>
      </c>
      <c r="CN28" s="514" t="str">
        <f t="shared" si="19"/>
        <v/>
      </c>
      <c r="CO28" s="514" t="str">
        <f t="shared" si="19"/>
        <v/>
      </c>
      <c r="CP28" s="514" t="str">
        <f t="shared" si="19"/>
        <v/>
      </c>
      <c r="CQ28" s="514" t="str">
        <f t="shared" si="19"/>
        <v/>
      </c>
      <c r="CR28" s="514" t="str">
        <f t="shared" si="19"/>
        <v/>
      </c>
      <c r="CS28" s="514" t="str">
        <f t="shared" si="19"/>
        <v/>
      </c>
      <c r="CT28" s="514" t="str">
        <f t="shared" si="19"/>
        <v/>
      </c>
      <c r="CU28" s="514" t="str">
        <f t="shared" si="19"/>
        <v/>
      </c>
      <c r="CV28" s="514" t="str">
        <f t="shared" si="19"/>
        <v/>
      </c>
      <c r="CW28" s="514" t="str">
        <f t="shared" si="19"/>
        <v/>
      </c>
      <c r="CX28" s="514" t="str">
        <f t="shared" si="19"/>
        <v/>
      </c>
      <c r="CY28" s="514" t="str">
        <f t="shared" si="19"/>
        <v/>
      </c>
      <c r="CZ28" s="514" t="str">
        <f t="shared" si="19"/>
        <v/>
      </c>
      <c r="DA28" s="514" t="str">
        <f t="shared" si="19"/>
        <v/>
      </c>
      <c r="DB28" s="514" t="str">
        <f t="shared" si="19"/>
        <v/>
      </c>
      <c r="DC28" s="514" t="str">
        <f t="shared" si="19"/>
        <v/>
      </c>
      <c r="DD28" s="514" t="str">
        <f t="shared" si="19"/>
        <v/>
      </c>
      <c r="DE28" s="514" t="str">
        <f t="shared" si="19"/>
        <v/>
      </c>
      <c r="DF28" s="514" t="str">
        <f t="shared" si="19"/>
        <v/>
      </c>
      <c r="DG28" s="514" t="str">
        <f t="shared" si="19"/>
        <v/>
      </c>
      <c r="DH28" s="514" t="str">
        <f t="shared" si="19"/>
        <v/>
      </c>
      <c r="DI28" s="514" t="str">
        <f t="shared" si="19"/>
        <v/>
      </c>
      <c r="DJ28" s="514" t="str">
        <f t="shared" si="19"/>
        <v/>
      </c>
    </row>
    <row r="29">
      <c r="A29" s="513" t="s">
        <v>1677</v>
      </c>
      <c r="B29" s="513" t="str">
        <f>'NPC dps'!D17</f>
        <v/>
      </c>
      <c r="C29" s="513" t="str">
        <f>'NPC dps'!L17</f>
        <v/>
      </c>
      <c r="D29" s="513" t="str">
        <f>'NPC dps'!M17</f>
        <v/>
      </c>
      <c r="E29" s="514">
        <f t="shared" si="15"/>
        <v>0</v>
      </c>
      <c r="F29" s="514">
        <f t="shared" ref="F29:DJ29" si="20">if(and(F$1&gt;=$C29,F$1&lt;=$D29),if($B$18,(1-$D$5)*F$1+$D$5*F$5,if($B$19,index($F$7:$DJ$16,match($B29,$C$7:$C$16),columns($F:F)),if($B$20,0.25*index($F$7:$DJ$16,match($B29,$C$7:$C$16)-1,columns($F:F))+0.75*index($F$7:$DJ$16,match($B29,$C$7:$C$16),columns($F:F)),F1))),"")</f>
        <v>0</v>
      </c>
      <c r="G29" s="514" t="str">
        <f t="shared" si="20"/>
        <v/>
      </c>
      <c r="H29" s="514" t="str">
        <f t="shared" si="20"/>
        <v/>
      </c>
      <c r="I29" s="514" t="str">
        <f t="shared" si="20"/>
        <v/>
      </c>
      <c r="J29" s="514" t="str">
        <f t="shared" si="20"/>
        <v/>
      </c>
      <c r="K29" s="514" t="str">
        <f t="shared" si="20"/>
        <v/>
      </c>
      <c r="L29" s="514" t="str">
        <f t="shared" si="20"/>
        <v/>
      </c>
      <c r="M29" s="514" t="str">
        <f t="shared" si="20"/>
        <v/>
      </c>
      <c r="N29" s="514" t="str">
        <f t="shared" si="20"/>
        <v/>
      </c>
      <c r="O29" s="514" t="str">
        <f t="shared" si="20"/>
        <v/>
      </c>
      <c r="P29" s="514" t="str">
        <f t="shared" si="20"/>
        <v/>
      </c>
      <c r="Q29" s="514" t="str">
        <f t="shared" si="20"/>
        <v/>
      </c>
      <c r="R29" s="514" t="str">
        <f t="shared" si="20"/>
        <v/>
      </c>
      <c r="S29" s="514" t="str">
        <f t="shared" si="20"/>
        <v/>
      </c>
      <c r="T29" s="514" t="str">
        <f t="shared" si="20"/>
        <v/>
      </c>
      <c r="U29" s="514" t="str">
        <f t="shared" si="20"/>
        <v/>
      </c>
      <c r="V29" s="514" t="str">
        <f t="shared" si="20"/>
        <v/>
      </c>
      <c r="W29" s="514" t="str">
        <f t="shared" si="20"/>
        <v/>
      </c>
      <c r="X29" s="514" t="str">
        <f t="shared" si="20"/>
        <v/>
      </c>
      <c r="Y29" s="514" t="str">
        <f t="shared" si="20"/>
        <v/>
      </c>
      <c r="Z29" s="514" t="str">
        <f t="shared" si="20"/>
        <v/>
      </c>
      <c r="AA29" s="514" t="str">
        <f t="shared" si="20"/>
        <v/>
      </c>
      <c r="AB29" s="514" t="str">
        <f t="shared" si="20"/>
        <v/>
      </c>
      <c r="AC29" s="514" t="str">
        <f t="shared" si="20"/>
        <v/>
      </c>
      <c r="AD29" s="514" t="str">
        <f t="shared" si="20"/>
        <v/>
      </c>
      <c r="AE29" s="514" t="str">
        <f t="shared" si="20"/>
        <v/>
      </c>
      <c r="AF29" s="514" t="str">
        <f t="shared" si="20"/>
        <v/>
      </c>
      <c r="AG29" s="514" t="str">
        <f t="shared" si="20"/>
        <v/>
      </c>
      <c r="AH29" s="514" t="str">
        <f t="shared" si="20"/>
        <v/>
      </c>
      <c r="AI29" s="514" t="str">
        <f t="shared" si="20"/>
        <v/>
      </c>
      <c r="AJ29" s="514" t="str">
        <f t="shared" si="20"/>
        <v/>
      </c>
      <c r="AK29" s="514" t="str">
        <f t="shared" si="20"/>
        <v/>
      </c>
      <c r="AL29" s="514" t="str">
        <f t="shared" si="20"/>
        <v/>
      </c>
      <c r="AM29" s="514" t="str">
        <f t="shared" si="20"/>
        <v/>
      </c>
      <c r="AN29" s="514" t="str">
        <f t="shared" si="20"/>
        <v/>
      </c>
      <c r="AO29" s="514" t="str">
        <f t="shared" si="20"/>
        <v/>
      </c>
      <c r="AP29" s="514" t="str">
        <f t="shared" si="20"/>
        <v/>
      </c>
      <c r="AQ29" s="514" t="str">
        <f t="shared" si="20"/>
        <v/>
      </c>
      <c r="AR29" s="514" t="str">
        <f t="shared" si="20"/>
        <v/>
      </c>
      <c r="AS29" s="514" t="str">
        <f t="shared" si="20"/>
        <v/>
      </c>
      <c r="AT29" s="514" t="str">
        <f t="shared" si="20"/>
        <v/>
      </c>
      <c r="AU29" s="514" t="str">
        <f t="shared" si="20"/>
        <v/>
      </c>
      <c r="AV29" s="514" t="str">
        <f t="shared" si="20"/>
        <v/>
      </c>
      <c r="AW29" s="514" t="str">
        <f t="shared" si="20"/>
        <v/>
      </c>
      <c r="AX29" s="514" t="str">
        <f t="shared" si="20"/>
        <v/>
      </c>
      <c r="AY29" s="514" t="str">
        <f t="shared" si="20"/>
        <v/>
      </c>
      <c r="AZ29" s="514" t="str">
        <f t="shared" si="20"/>
        <v/>
      </c>
      <c r="BA29" s="514" t="str">
        <f t="shared" si="20"/>
        <v/>
      </c>
      <c r="BB29" s="514" t="str">
        <f t="shared" si="20"/>
        <v/>
      </c>
      <c r="BC29" s="514" t="str">
        <f t="shared" si="20"/>
        <v/>
      </c>
      <c r="BD29" s="514" t="str">
        <f t="shared" si="20"/>
        <v/>
      </c>
      <c r="BE29" s="514" t="str">
        <f t="shared" si="20"/>
        <v/>
      </c>
      <c r="BF29" s="514" t="str">
        <f t="shared" si="20"/>
        <v/>
      </c>
      <c r="BG29" s="514" t="str">
        <f t="shared" si="20"/>
        <v/>
      </c>
      <c r="BH29" s="514" t="str">
        <f t="shared" si="20"/>
        <v/>
      </c>
      <c r="BI29" s="514" t="str">
        <f t="shared" si="20"/>
        <v/>
      </c>
      <c r="BJ29" s="514" t="str">
        <f t="shared" si="20"/>
        <v/>
      </c>
      <c r="BK29" s="514" t="str">
        <f t="shared" si="20"/>
        <v/>
      </c>
      <c r="BL29" s="514" t="str">
        <f t="shared" si="20"/>
        <v/>
      </c>
      <c r="BM29" s="514" t="str">
        <f t="shared" si="20"/>
        <v/>
      </c>
      <c r="BN29" s="514" t="str">
        <f t="shared" si="20"/>
        <v/>
      </c>
      <c r="BO29" s="514" t="str">
        <f t="shared" si="20"/>
        <v/>
      </c>
      <c r="BP29" s="514" t="str">
        <f t="shared" si="20"/>
        <v/>
      </c>
      <c r="BQ29" s="514" t="str">
        <f t="shared" si="20"/>
        <v/>
      </c>
      <c r="BR29" s="514" t="str">
        <f t="shared" si="20"/>
        <v/>
      </c>
      <c r="BS29" s="514" t="str">
        <f t="shared" si="20"/>
        <v/>
      </c>
      <c r="BT29" s="514" t="str">
        <f t="shared" si="20"/>
        <v/>
      </c>
      <c r="BU29" s="514" t="str">
        <f t="shared" si="20"/>
        <v/>
      </c>
      <c r="BV29" s="514" t="str">
        <f t="shared" si="20"/>
        <v/>
      </c>
      <c r="BW29" s="514" t="str">
        <f t="shared" si="20"/>
        <v/>
      </c>
      <c r="BX29" s="514" t="str">
        <f t="shared" si="20"/>
        <v/>
      </c>
      <c r="BY29" s="514" t="str">
        <f t="shared" si="20"/>
        <v/>
      </c>
      <c r="BZ29" s="514" t="str">
        <f t="shared" si="20"/>
        <v/>
      </c>
      <c r="CA29" s="514" t="str">
        <f t="shared" si="20"/>
        <v/>
      </c>
      <c r="CB29" s="514" t="str">
        <f t="shared" si="20"/>
        <v/>
      </c>
      <c r="CC29" s="514" t="str">
        <f t="shared" si="20"/>
        <v/>
      </c>
      <c r="CD29" s="514" t="str">
        <f t="shared" si="20"/>
        <v/>
      </c>
      <c r="CE29" s="514" t="str">
        <f t="shared" si="20"/>
        <v/>
      </c>
      <c r="CF29" s="514" t="str">
        <f t="shared" si="20"/>
        <v/>
      </c>
      <c r="CG29" s="514" t="str">
        <f t="shared" si="20"/>
        <v/>
      </c>
      <c r="CH29" s="514" t="str">
        <f t="shared" si="20"/>
        <v/>
      </c>
      <c r="CI29" s="514" t="str">
        <f t="shared" si="20"/>
        <v/>
      </c>
      <c r="CJ29" s="514" t="str">
        <f t="shared" si="20"/>
        <v/>
      </c>
      <c r="CK29" s="514" t="str">
        <f t="shared" si="20"/>
        <v/>
      </c>
      <c r="CL29" s="514" t="str">
        <f t="shared" si="20"/>
        <v/>
      </c>
      <c r="CM29" s="514" t="str">
        <f t="shared" si="20"/>
        <v/>
      </c>
      <c r="CN29" s="514" t="str">
        <f t="shared" si="20"/>
        <v/>
      </c>
      <c r="CO29" s="514" t="str">
        <f t="shared" si="20"/>
        <v/>
      </c>
      <c r="CP29" s="514" t="str">
        <f t="shared" si="20"/>
        <v/>
      </c>
      <c r="CQ29" s="514" t="str">
        <f t="shared" si="20"/>
        <v/>
      </c>
      <c r="CR29" s="514" t="str">
        <f t="shared" si="20"/>
        <v/>
      </c>
      <c r="CS29" s="514" t="str">
        <f t="shared" si="20"/>
        <v/>
      </c>
      <c r="CT29" s="514" t="str">
        <f t="shared" si="20"/>
        <v/>
      </c>
      <c r="CU29" s="514" t="str">
        <f t="shared" si="20"/>
        <v/>
      </c>
      <c r="CV29" s="514" t="str">
        <f t="shared" si="20"/>
        <v/>
      </c>
      <c r="CW29" s="514" t="str">
        <f t="shared" si="20"/>
        <v/>
      </c>
      <c r="CX29" s="514" t="str">
        <f t="shared" si="20"/>
        <v/>
      </c>
      <c r="CY29" s="514" t="str">
        <f t="shared" si="20"/>
        <v/>
      </c>
      <c r="CZ29" s="514" t="str">
        <f t="shared" si="20"/>
        <v/>
      </c>
      <c r="DA29" s="514" t="str">
        <f t="shared" si="20"/>
        <v/>
      </c>
      <c r="DB29" s="514" t="str">
        <f t="shared" si="20"/>
        <v/>
      </c>
      <c r="DC29" s="514" t="str">
        <f t="shared" si="20"/>
        <v/>
      </c>
      <c r="DD29" s="514" t="str">
        <f t="shared" si="20"/>
        <v/>
      </c>
      <c r="DE29" s="514" t="str">
        <f t="shared" si="20"/>
        <v/>
      </c>
      <c r="DF29" s="514" t="str">
        <f t="shared" si="20"/>
        <v/>
      </c>
      <c r="DG29" s="514" t="str">
        <f t="shared" si="20"/>
        <v/>
      </c>
      <c r="DH29" s="514" t="str">
        <f t="shared" si="20"/>
        <v/>
      </c>
      <c r="DI29" s="514" t="str">
        <f t="shared" si="20"/>
        <v/>
      </c>
      <c r="DJ29" s="514" t="str">
        <f t="shared" si="20"/>
        <v/>
      </c>
    </row>
    <row r="30">
      <c r="A30" s="513"/>
      <c r="B30" s="513"/>
      <c r="C30" s="513"/>
      <c r="D30" s="514"/>
      <c r="E30" s="514"/>
      <c r="F30" s="514"/>
      <c r="G30" s="514"/>
      <c r="H30" s="514"/>
      <c r="I30" s="514"/>
      <c r="J30" s="514"/>
      <c r="K30" s="514"/>
      <c r="L30" s="514"/>
      <c r="M30" s="514"/>
      <c r="N30" s="514"/>
      <c r="O30" s="514"/>
      <c r="P30" s="514"/>
      <c r="Q30" s="514"/>
      <c r="R30" s="514"/>
      <c r="S30" s="514"/>
      <c r="T30" s="514"/>
      <c r="U30" s="514"/>
      <c r="V30" s="514"/>
      <c r="W30" s="514"/>
      <c r="X30" s="514"/>
      <c r="Y30" s="514"/>
      <c r="Z30" s="514"/>
      <c r="AA30" s="514"/>
      <c r="AB30" s="514"/>
      <c r="AC30" s="514"/>
      <c r="AD30" s="514"/>
      <c r="AE30" s="514"/>
      <c r="AF30" s="514"/>
      <c r="AG30" s="514"/>
      <c r="AH30" s="514"/>
      <c r="AI30" s="514"/>
      <c r="AJ30" s="514"/>
      <c r="AK30" s="514"/>
      <c r="AL30" s="514"/>
      <c r="AM30" s="514"/>
      <c r="AN30" s="514"/>
      <c r="AO30" s="514"/>
      <c r="AP30" s="514"/>
      <c r="AQ30" s="514"/>
      <c r="AR30" s="514"/>
      <c r="AS30" s="514"/>
      <c r="AT30" s="514"/>
      <c r="AU30" s="514"/>
      <c r="AV30" s="514"/>
      <c r="AW30" s="514"/>
      <c r="AX30" s="514"/>
      <c r="AY30" s="514"/>
      <c r="AZ30" s="514"/>
      <c r="BA30" s="514"/>
      <c r="BB30" s="514"/>
      <c r="BC30" s="514"/>
      <c r="BD30" s="514"/>
      <c r="BE30" s="514"/>
      <c r="BF30" s="514"/>
      <c r="BG30" s="514"/>
      <c r="BH30" s="514"/>
      <c r="BI30" s="514"/>
      <c r="BJ30" s="514"/>
      <c r="BK30" s="514"/>
      <c r="BL30" s="514"/>
      <c r="BM30" s="514"/>
      <c r="BN30" s="514"/>
      <c r="BO30" s="514"/>
      <c r="BP30" s="514"/>
      <c r="BQ30" s="514"/>
      <c r="BR30" s="514"/>
      <c r="BS30" s="514"/>
      <c r="BT30" s="514"/>
      <c r="BU30" s="514"/>
      <c r="BV30" s="514"/>
      <c r="BW30" s="514"/>
      <c r="BX30" s="514"/>
      <c r="BY30" s="514"/>
      <c r="BZ30" s="514"/>
      <c r="CA30" s="514"/>
      <c r="CB30" s="514"/>
      <c r="CC30" s="514"/>
      <c r="CD30" s="514"/>
      <c r="CE30" s="514"/>
      <c r="CF30" s="514"/>
      <c r="CG30" s="514"/>
      <c r="CH30" s="514"/>
      <c r="CI30" s="514"/>
      <c r="CJ30" s="514"/>
      <c r="CK30" s="514"/>
      <c r="CL30" s="514"/>
      <c r="CM30" s="514"/>
      <c r="CN30" s="514"/>
      <c r="CO30" s="514"/>
      <c r="CP30" s="514"/>
      <c r="CQ30" s="514"/>
      <c r="CR30" s="514"/>
      <c r="CS30" s="514"/>
      <c r="CT30" s="514"/>
      <c r="CU30" s="514"/>
      <c r="CV30" s="514"/>
      <c r="CW30" s="514"/>
      <c r="CX30" s="514"/>
      <c r="CY30" s="514"/>
      <c r="CZ30" s="514"/>
      <c r="DA30" s="514"/>
      <c r="DB30" s="514"/>
      <c r="DC30" s="514"/>
      <c r="DD30" s="514"/>
      <c r="DE30" s="514"/>
      <c r="DF30" s="514"/>
      <c r="DG30" s="514"/>
      <c r="DH30" s="514"/>
      <c r="DI30" s="514"/>
      <c r="DJ30" s="514"/>
    </row>
    <row r="31">
      <c r="A31" s="513"/>
      <c r="B31" s="513"/>
      <c r="C31" s="513"/>
      <c r="D31" s="514"/>
      <c r="E31" s="514"/>
      <c r="F31" s="514"/>
      <c r="G31" s="514"/>
      <c r="H31" s="514"/>
      <c r="I31" s="514"/>
      <c r="J31" s="514"/>
      <c r="K31" s="514"/>
      <c r="L31" s="514"/>
      <c r="M31" s="514"/>
      <c r="N31" s="514"/>
      <c r="O31" s="514"/>
      <c r="P31" s="514"/>
      <c r="Q31" s="514"/>
      <c r="R31" s="514"/>
      <c r="S31" s="514"/>
      <c r="T31" s="514"/>
      <c r="U31" s="514"/>
      <c r="V31" s="514"/>
      <c r="W31" s="514"/>
      <c r="X31" s="514"/>
      <c r="Y31" s="514"/>
      <c r="Z31" s="514"/>
      <c r="AA31" s="514"/>
      <c r="AB31" s="514"/>
      <c r="AC31" s="514"/>
      <c r="AD31" s="514"/>
      <c r="AE31" s="514"/>
      <c r="AF31" s="514"/>
      <c r="AG31" s="514"/>
      <c r="AH31" s="514"/>
      <c r="AI31" s="514"/>
      <c r="AJ31" s="514"/>
      <c r="AK31" s="514"/>
      <c r="AL31" s="514"/>
      <c r="AM31" s="514"/>
      <c r="AN31" s="514"/>
      <c r="AO31" s="514"/>
      <c r="AP31" s="514"/>
      <c r="AQ31" s="514"/>
      <c r="AR31" s="514"/>
      <c r="AS31" s="514"/>
      <c r="AT31" s="514"/>
      <c r="AU31" s="514"/>
      <c r="AV31" s="514"/>
      <c r="AW31" s="514"/>
      <c r="AX31" s="514"/>
      <c r="AY31" s="514"/>
      <c r="AZ31" s="514"/>
      <c r="BA31" s="514"/>
      <c r="BB31" s="514"/>
      <c r="BC31" s="514"/>
      <c r="BD31" s="514"/>
      <c r="BE31" s="514"/>
      <c r="BF31" s="514"/>
      <c r="BG31" s="514"/>
      <c r="BH31" s="514"/>
      <c r="BI31" s="514"/>
      <c r="BJ31" s="514"/>
      <c r="BK31" s="514"/>
      <c r="BL31" s="514"/>
      <c r="BM31" s="514"/>
      <c r="BN31" s="514"/>
      <c r="BO31" s="514"/>
      <c r="BP31" s="514"/>
      <c r="BQ31" s="514"/>
      <c r="BR31" s="514"/>
      <c r="BS31" s="514"/>
      <c r="BT31" s="514"/>
      <c r="BU31" s="514"/>
      <c r="BV31" s="514"/>
      <c r="BW31" s="514"/>
      <c r="BX31" s="514"/>
      <c r="BY31" s="514"/>
      <c r="BZ31" s="514"/>
      <c r="CA31" s="514"/>
      <c r="CB31" s="514"/>
      <c r="CC31" s="514"/>
      <c r="CD31" s="514"/>
      <c r="CE31" s="514"/>
      <c r="CF31" s="514"/>
      <c r="CG31" s="514"/>
      <c r="CH31" s="514"/>
      <c r="CI31" s="514"/>
      <c r="CJ31" s="514"/>
      <c r="CK31" s="514"/>
      <c r="CL31" s="514"/>
      <c r="CM31" s="514"/>
      <c r="CN31" s="514"/>
      <c r="CO31" s="514"/>
      <c r="CP31" s="514"/>
      <c r="CQ31" s="514"/>
      <c r="CR31" s="514"/>
      <c r="CS31" s="514"/>
      <c r="CT31" s="514"/>
      <c r="CU31" s="514"/>
      <c r="CV31" s="514"/>
      <c r="CW31" s="514"/>
      <c r="CX31" s="514"/>
      <c r="CY31" s="514"/>
      <c r="CZ31" s="514"/>
      <c r="DA31" s="514"/>
      <c r="DB31" s="514"/>
      <c r="DC31" s="514"/>
      <c r="DD31" s="514"/>
      <c r="DE31" s="514"/>
      <c r="DF31" s="514"/>
      <c r="DG31" s="514"/>
      <c r="DH31" s="514"/>
      <c r="DI31" s="514"/>
      <c r="DJ31" s="514"/>
    </row>
    <row r="32">
      <c r="A32" s="513"/>
      <c r="B32" s="513"/>
      <c r="C32" s="513"/>
      <c r="D32" s="514"/>
      <c r="E32" s="514"/>
      <c r="F32" s="514"/>
      <c r="G32" s="514"/>
      <c r="H32" s="514"/>
      <c r="I32" s="514"/>
      <c r="J32" s="514"/>
      <c r="K32" s="514"/>
      <c r="L32" s="514"/>
      <c r="M32" s="514"/>
      <c r="N32" s="514"/>
      <c r="O32" s="514"/>
      <c r="P32" s="514"/>
      <c r="Q32" s="514"/>
      <c r="R32" s="514"/>
      <c r="S32" s="514"/>
      <c r="T32" s="514"/>
      <c r="U32" s="514"/>
      <c r="V32" s="514"/>
      <c r="W32" s="514"/>
      <c r="X32" s="514"/>
      <c r="Y32" s="514"/>
      <c r="Z32" s="514"/>
      <c r="AA32" s="514"/>
      <c r="AB32" s="514"/>
      <c r="AC32" s="514"/>
      <c r="AD32" s="514"/>
      <c r="AE32" s="514"/>
      <c r="AF32" s="514"/>
      <c r="AG32" s="514"/>
      <c r="AH32" s="514"/>
      <c r="AI32" s="514"/>
      <c r="AJ32" s="514"/>
      <c r="AK32" s="514"/>
      <c r="AL32" s="514"/>
      <c r="AM32" s="514"/>
      <c r="AN32" s="514"/>
      <c r="AO32" s="514"/>
      <c r="AP32" s="514"/>
      <c r="AQ32" s="514"/>
      <c r="AR32" s="514"/>
      <c r="AS32" s="514"/>
      <c r="AT32" s="514"/>
      <c r="AU32" s="514"/>
      <c r="AV32" s="514"/>
      <c r="AW32" s="514"/>
      <c r="AX32" s="514"/>
      <c r="AY32" s="514"/>
      <c r="AZ32" s="514"/>
      <c r="BA32" s="514"/>
      <c r="BB32" s="514"/>
      <c r="BC32" s="514"/>
      <c r="BD32" s="514"/>
      <c r="BE32" s="514"/>
      <c r="BF32" s="514"/>
      <c r="BG32" s="514"/>
      <c r="BH32" s="514"/>
      <c r="BI32" s="514"/>
      <c r="BJ32" s="514"/>
      <c r="BK32" s="514"/>
      <c r="BL32" s="514"/>
      <c r="BM32" s="514"/>
      <c r="BN32" s="514"/>
      <c r="BO32" s="514"/>
      <c r="BP32" s="514"/>
      <c r="BQ32" s="514"/>
      <c r="BR32" s="514"/>
      <c r="BS32" s="514"/>
      <c r="BT32" s="514"/>
      <c r="BU32" s="514"/>
      <c r="BV32" s="514"/>
      <c r="BW32" s="514"/>
      <c r="BX32" s="514"/>
      <c r="BY32" s="514"/>
      <c r="BZ32" s="514"/>
      <c r="CA32" s="514"/>
      <c r="CB32" s="514"/>
      <c r="CC32" s="514"/>
      <c r="CD32" s="514"/>
      <c r="CE32" s="514"/>
      <c r="CF32" s="514"/>
      <c r="CG32" s="514"/>
      <c r="CH32" s="514"/>
      <c r="CI32" s="514"/>
      <c r="CJ32" s="514"/>
      <c r="CK32" s="514"/>
      <c r="CL32" s="514"/>
      <c r="CM32" s="514"/>
      <c r="CN32" s="514"/>
      <c r="CO32" s="514"/>
      <c r="CP32" s="514"/>
      <c r="CQ32" s="514"/>
      <c r="CR32" s="514"/>
      <c r="CS32" s="514"/>
      <c r="CT32" s="514"/>
      <c r="CU32" s="514"/>
      <c r="CV32" s="514"/>
      <c r="CW32" s="514"/>
      <c r="CX32" s="514"/>
      <c r="CY32" s="514"/>
      <c r="CZ32" s="514"/>
      <c r="DA32" s="514"/>
      <c r="DB32" s="514"/>
      <c r="DC32" s="514"/>
      <c r="DD32" s="514"/>
      <c r="DE32" s="514"/>
      <c r="DF32" s="514"/>
      <c r="DG32" s="514"/>
      <c r="DH32" s="514"/>
      <c r="DI32" s="514"/>
      <c r="DJ32" s="514"/>
    </row>
    <row r="33">
      <c r="A33" s="513"/>
      <c r="B33" s="513"/>
      <c r="C33" s="513"/>
      <c r="D33" s="514"/>
      <c r="E33" s="514"/>
      <c r="F33" s="514"/>
      <c r="G33" s="514"/>
      <c r="H33" s="514"/>
      <c r="I33" s="514"/>
      <c r="J33" s="514"/>
      <c r="K33" s="514"/>
      <c r="L33" s="514"/>
      <c r="M33" s="514"/>
      <c r="N33" s="514"/>
      <c r="O33" s="514"/>
      <c r="P33" s="514"/>
      <c r="Q33" s="514"/>
      <c r="R33" s="514"/>
      <c r="S33" s="514"/>
      <c r="T33" s="514"/>
      <c r="U33" s="514"/>
      <c r="V33" s="514"/>
      <c r="W33" s="514"/>
      <c r="X33" s="514"/>
      <c r="Y33" s="514"/>
      <c r="Z33" s="514"/>
      <c r="AA33" s="514"/>
      <c r="AB33" s="514"/>
      <c r="AC33" s="514"/>
      <c r="AD33" s="514"/>
      <c r="AE33" s="514"/>
      <c r="AF33" s="514"/>
      <c r="AG33" s="514"/>
      <c r="AH33" s="514"/>
      <c r="AI33" s="514"/>
      <c r="AJ33" s="514"/>
      <c r="AK33" s="514"/>
      <c r="AL33" s="514"/>
      <c r="AM33" s="514"/>
      <c r="AN33" s="514"/>
      <c r="AO33" s="514"/>
      <c r="AP33" s="514"/>
      <c r="AQ33" s="514"/>
      <c r="AR33" s="514"/>
      <c r="AS33" s="514"/>
      <c r="AT33" s="514"/>
      <c r="AU33" s="514"/>
      <c r="AV33" s="514"/>
      <c r="AW33" s="514"/>
      <c r="AX33" s="514"/>
      <c r="AY33" s="514"/>
      <c r="AZ33" s="514"/>
      <c r="BA33" s="514"/>
      <c r="BB33" s="514"/>
      <c r="BC33" s="514"/>
      <c r="BD33" s="514"/>
      <c r="BE33" s="514"/>
      <c r="BF33" s="514"/>
      <c r="BG33" s="514"/>
      <c r="BH33" s="514"/>
      <c r="BI33" s="514"/>
      <c r="BJ33" s="514"/>
      <c r="BK33" s="514"/>
      <c r="BL33" s="514"/>
      <c r="BM33" s="514"/>
      <c r="BN33" s="514"/>
      <c r="BO33" s="514"/>
      <c r="BP33" s="514"/>
      <c r="BQ33" s="514"/>
      <c r="BR33" s="514"/>
      <c r="BS33" s="514"/>
      <c r="BT33" s="514"/>
      <c r="BU33" s="514"/>
      <c r="BV33" s="514"/>
      <c r="BW33" s="514"/>
      <c r="BX33" s="514"/>
      <c r="BY33" s="514"/>
      <c r="BZ33" s="514"/>
      <c r="CA33" s="514"/>
      <c r="CB33" s="514"/>
      <c r="CC33" s="514"/>
      <c r="CD33" s="514"/>
      <c r="CE33" s="514"/>
      <c r="CF33" s="514"/>
      <c r="CG33" s="514"/>
      <c r="CH33" s="514"/>
      <c r="CI33" s="514"/>
      <c r="CJ33" s="514"/>
      <c r="CK33" s="514"/>
      <c r="CL33" s="514"/>
      <c r="CM33" s="514"/>
      <c r="CN33" s="514"/>
      <c r="CO33" s="514"/>
      <c r="CP33" s="514"/>
      <c r="CQ33" s="514"/>
      <c r="CR33" s="514"/>
      <c r="CS33" s="514"/>
      <c r="CT33" s="514"/>
      <c r="CU33" s="514"/>
      <c r="CV33" s="514"/>
      <c r="CW33" s="514"/>
      <c r="CX33" s="514"/>
      <c r="CY33" s="514"/>
      <c r="CZ33" s="514"/>
      <c r="DA33" s="514"/>
      <c r="DB33" s="514"/>
      <c r="DC33" s="514"/>
      <c r="DD33" s="514"/>
      <c r="DE33" s="514"/>
      <c r="DF33" s="514"/>
      <c r="DG33" s="514"/>
      <c r="DH33" s="514"/>
      <c r="DI33" s="514"/>
      <c r="DJ33" s="514"/>
    </row>
    <row r="34">
      <c r="A34" s="513"/>
      <c r="B34" s="513"/>
      <c r="C34" s="513"/>
      <c r="D34" s="514"/>
      <c r="E34" s="514"/>
      <c r="F34" s="514"/>
      <c r="G34" s="514"/>
      <c r="H34" s="514"/>
      <c r="I34" s="514"/>
      <c r="J34" s="514"/>
      <c r="K34" s="514"/>
      <c r="L34" s="514"/>
      <c r="M34" s="514"/>
      <c r="N34" s="514"/>
      <c r="O34" s="514"/>
      <c r="P34" s="514"/>
      <c r="Q34" s="514"/>
      <c r="R34" s="514"/>
      <c r="S34" s="514"/>
      <c r="T34" s="514"/>
      <c r="U34" s="514"/>
      <c r="V34" s="514"/>
      <c r="W34" s="514"/>
      <c r="X34" s="514"/>
      <c r="Y34" s="514"/>
      <c r="Z34" s="514"/>
      <c r="AA34" s="514"/>
      <c r="AB34" s="514"/>
      <c r="AC34" s="514"/>
      <c r="AD34" s="514"/>
      <c r="AE34" s="514"/>
      <c r="AF34" s="514"/>
      <c r="AG34" s="514"/>
      <c r="AH34" s="514"/>
      <c r="AI34" s="514"/>
      <c r="AJ34" s="514"/>
      <c r="AK34" s="514"/>
      <c r="AL34" s="514"/>
      <c r="AM34" s="514"/>
      <c r="AN34" s="514"/>
      <c r="AO34" s="514"/>
      <c r="AP34" s="514"/>
      <c r="AQ34" s="514"/>
      <c r="AR34" s="514"/>
      <c r="AS34" s="514"/>
      <c r="AT34" s="514"/>
      <c r="AU34" s="514"/>
      <c r="AV34" s="514"/>
      <c r="AW34" s="514"/>
      <c r="AX34" s="514"/>
      <c r="AY34" s="514"/>
      <c r="AZ34" s="514"/>
      <c r="BA34" s="514"/>
      <c r="BB34" s="514"/>
      <c r="BC34" s="514"/>
      <c r="BD34" s="514"/>
      <c r="BE34" s="514"/>
      <c r="BF34" s="514"/>
      <c r="BG34" s="514"/>
      <c r="BH34" s="514"/>
      <c r="BI34" s="514"/>
      <c r="BJ34" s="514"/>
      <c r="BK34" s="514"/>
      <c r="BL34" s="514"/>
      <c r="BM34" s="514"/>
      <c r="BN34" s="514"/>
      <c r="BO34" s="514"/>
      <c r="BP34" s="514"/>
      <c r="BQ34" s="514"/>
      <c r="BR34" s="514"/>
      <c r="BS34" s="514"/>
      <c r="BT34" s="514"/>
      <c r="BU34" s="514"/>
      <c r="BV34" s="514"/>
      <c r="BW34" s="514"/>
      <c r="BX34" s="514"/>
      <c r="BY34" s="514"/>
      <c r="BZ34" s="514"/>
      <c r="CA34" s="514"/>
      <c r="CB34" s="514"/>
      <c r="CC34" s="514"/>
      <c r="CD34" s="514"/>
      <c r="CE34" s="514"/>
      <c r="CF34" s="514"/>
      <c r="CG34" s="514"/>
      <c r="CH34" s="514"/>
      <c r="CI34" s="514"/>
      <c r="CJ34" s="514"/>
      <c r="CK34" s="514"/>
      <c r="CL34" s="514"/>
      <c r="CM34" s="514"/>
      <c r="CN34" s="514"/>
      <c r="CO34" s="514"/>
      <c r="CP34" s="514"/>
      <c r="CQ34" s="514"/>
      <c r="CR34" s="514"/>
      <c r="CS34" s="514"/>
      <c r="CT34" s="514"/>
      <c r="CU34" s="514"/>
      <c r="CV34" s="514"/>
      <c r="CW34" s="514"/>
      <c r="CX34" s="514"/>
      <c r="CY34" s="514"/>
      <c r="CZ34" s="514"/>
      <c r="DA34" s="514"/>
      <c r="DB34" s="514"/>
      <c r="DC34" s="514"/>
      <c r="DD34" s="514"/>
      <c r="DE34" s="514"/>
      <c r="DF34" s="514"/>
      <c r="DG34" s="514"/>
      <c r="DH34" s="514"/>
      <c r="DI34" s="514"/>
      <c r="DJ34" s="514"/>
    </row>
    <row r="35">
      <c r="A35" s="513"/>
      <c r="B35" s="513"/>
      <c r="C35" s="513"/>
      <c r="D35" s="514"/>
      <c r="E35" s="514"/>
      <c r="F35" s="514"/>
      <c r="G35" s="514"/>
      <c r="H35" s="514"/>
      <c r="I35" s="514"/>
      <c r="J35" s="514"/>
      <c r="K35" s="514"/>
      <c r="L35" s="514"/>
      <c r="M35" s="514"/>
      <c r="N35" s="514"/>
      <c r="O35" s="514"/>
      <c r="P35" s="514"/>
      <c r="Q35" s="514"/>
      <c r="R35" s="514"/>
      <c r="S35" s="514"/>
      <c r="T35" s="514"/>
      <c r="U35" s="514"/>
      <c r="V35" s="514"/>
      <c r="W35" s="514"/>
      <c r="X35" s="514"/>
      <c r="Y35" s="514"/>
      <c r="Z35" s="514"/>
      <c r="AA35" s="514"/>
      <c r="AB35" s="514"/>
      <c r="AC35" s="514"/>
      <c r="AD35" s="514"/>
      <c r="AE35" s="514"/>
      <c r="AF35" s="514"/>
      <c r="AG35" s="514"/>
      <c r="AH35" s="514"/>
      <c r="AI35" s="514"/>
      <c r="AJ35" s="514"/>
      <c r="AK35" s="514"/>
      <c r="AL35" s="514"/>
      <c r="AM35" s="514"/>
      <c r="AN35" s="514"/>
      <c r="AO35" s="514"/>
      <c r="AP35" s="514"/>
      <c r="AQ35" s="514"/>
      <c r="AR35" s="514"/>
      <c r="AS35" s="514"/>
      <c r="AT35" s="514"/>
      <c r="AU35" s="514"/>
      <c r="AV35" s="514"/>
      <c r="AW35" s="514"/>
      <c r="AX35" s="514"/>
      <c r="AY35" s="514"/>
      <c r="AZ35" s="514"/>
      <c r="BA35" s="514"/>
      <c r="BB35" s="514"/>
      <c r="BC35" s="514"/>
      <c r="BD35" s="514"/>
      <c r="BE35" s="514"/>
      <c r="BF35" s="514"/>
      <c r="BG35" s="514"/>
      <c r="BH35" s="514"/>
      <c r="BI35" s="514"/>
      <c r="BJ35" s="514"/>
      <c r="BK35" s="514"/>
      <c r="BL35" s="514"/>
      <c r="BM35" s="514"/>
      <c r="BN35" s="514"/>
      <c r="BO35" s="514"/>
      <c r="BP35" s="514"/>
      <c r="BQ35" s="514"/>
      <c r="BR35" s="514"/>
      <c r="BS35" s="514"/>
      <c r="BT35" s="514"/>
      <c r="BU35" s="514"/>
      <c r="BV35" s="514"/>
      <c r="BW35" s="514"/>
      <c r="BX35" s="514"/>
      <c r="BY35" s="514"/>
      <c r="BZ35" s="514"/>
      <c r="CA35" s="514"/>
      <c r="CB35" s="514"/>
      <c r="CC35" s="514"/>
      <c r="CD35" s="514"/>
      <c r="CE35" s="514"/>
      <c r="CF35" s="514"/>
      <c r="CG35" s="514"/>
      <c r="CH35" s="514"/>
      <c r="CI35" s="514"/>
      <c r="CJ35" s="514"/>
      <c r="CK35" s="514"/>
      <c r="CL35" s="514"/>
      <c r="CM35" s="514"/>
      <c r="CN35" s="514"/>
      <c r="CO35" s="514"/>
      <c r="CP35" s="514"/>
      <c r="CQ35" s="514"/>
      <c r="CR35" s="514"/>
      <c r="CS35" s="514"/>
      <c r="CT35" s="514"/>
      <c r="CU35" s="514"/>
      <c r="CV35" s="514"/>
      <c r="CW35" s="514"/>
      <c r="CX35" s="514"/>
      <c r="CY35" s="514"/>
      <c r="CZ35" s="514"/>
      <c r="DA35" s="514"/>
      <c r="DB35" s="514"/>
      <c r="DC35" s="514"/>
      <c r="DD35" s="514"/>
      <c r="DE35" s="514"/>
      <c r="DF35" s="514"/>
      <c r="DG35" s="514"/>
      <c r="DH35" s="514"/>
      <c r="DI35" s="514"/>
      <c r="DJ35" s="514"/>
    </row>
    <row r="36">
      <c r="A36" s="513"/>
      <c r="B36" s="513"/>
      <c r="C36" s="513"/>
      <c r="D36" s="514"/>
      <c r="E36" s="514"/>
      <c r="F36" s="514"/>
      <c r="G36" s="514"/>
      <c r="H36" s="514"/>
      <c r="I36" s="514"/>
      <c r="J36" s="514"/>
      <c r="K36" s="514"/>
      <c r="L36" s="514"/>
      <c r="M36" s="514"/>
      <c r="N36" s="514"/>
      <c r="O36" s="514"/>
      <c r="P36" s="514"/>
      <c r="Q36" s="514"/>
      <c r="R36" s="514"/>
      <c r="S36" s="514"/>
      <c r="T36" s="514"/>
      <c r="U36" s="514"/>
      <c r="V36" s="514"/>
      <c r="W36" s="514"/>
      <c r="X36" s="514"/>
      <c r="Y36" s="514"/>
      <c r="Z36" s="514"/>
      <c r="AA36" s="514"/>
      <c r="AB36" s="514"/>
      <c r="AC36" s="514"/>
      <c r="AD36" s="514"/>
      <c r="AE36" s="514"/>
      <c r="AF36" s="514"/>
      <c r="AG36" s="514"/>
      <c r="AH36" s="514"/>
      <c r="AI36" s="514"/>
      <c r="AJ36" s="514"/>
      <c r="AK36" s="514"/>
      <c r="AL36" s="514"/>
      <c r="AM36" s="514"/>
      <c r="AN36" s="514"/>
      <c r="AO36" s="514"/>
      <c r="AP36" s="514"/>
      <c r="AQ36" s="514"/>
      <c r="AR36" s="514"/>
      <c r="AS36" s="514"/>
      <c r="AT36" s="514"/>
      <c r="AU36" s="514"/>
      <c r="AV36" s="514"/>
      <c r="AW36" s="514"/>
      <c r="AX36" s="514"/>
      <c r="AY36" s="514"/>
      <c r="AZ36" s="514"/>
      <c r="BA36" s="514"/>
      <c r="BB36" s="514"/>
      <c r="BC36" s="514"/>
      <c r="BD36" s="514"/>
      <c r="BE36" s="514"/>
      <c r="BF36" s="514"/>
      <c r="BG36" s="514"/>
      <c r="BH36" s="514"/>
      <c r="BI36" s="514"/>
      <c r="BJ36" s="514"/>
      <c r="BK36" s="514"/>
      <c r="BL36" s="514"/>
      <c r="BM36" s="514"/>
      <c r="BN36" s="514"/>
      <c r="BO36" s="514"/>
      <c r="BP36" s="514"/>
      <c r="BQ36" s="514"/>
      <c r="BR36" s="514"/>
      <c r="BS36" s="514"/>
      <c r="BT36" s="514"/>
      <c r="BU36" s="514"/>
      <c r="BV36" s="514"/>
      <c r="BW36" s="514"/>
      <c r="BX36" s="514"/>
      <c r="BY36" s="514"/>
      <c r="BZ36" s="514"/>
      <c r="CA36" s="514"/>
      <c r="CB36" s="514"/>
      <c r="CC36" s="514"/>
      <c r="CD36" s="514"/>
      <c r="CE36" s="514"/>
      <c r="CF36" s="514"/>
      <c r="CG36" s="514"/>
      <c r="CH36" s="514"/>
      <c r="CI36" s="514"/>
      <c r="CJ36" s="514"/>
      <c r="CK36" s="514"/>
      <c r="CL36" s="514"/>
      <c r="CM36" s="514"/>
      <c r="CN36" s="514"/>
      <c r="CO36" s="514"/>
      <c r="CP36" s="514"/>
      <c r="CQ36" s="514"/>
      <c r="CR36" s="514"/>
      <c r="CS36" s="514"/>
      <c r="CT36" s="514"/>
      <c r="CU36" s="514"/>
      <c r="CV36" s="514"/>
      <c r="CW36" s="514"/>
      <c r="CX36" s="514"/>
      <c r="CY36" s="514"/>
      <c r="CZ36" s="514"/>
      <c r="DA36" s="514"/>
      <c r="DB36" s="514"/>
      <c r="DC36" s="514"/>
      <c r="DD36" s="514"/>
      <c r="DE36" s="514"/>
      <c r="DF36" s="514"/>
      <c r="DG36" s="514"/>
      <c r="DH36" s="514"/>
      <c r="DI36" s="514"/>
      <c r="DJ36" s="514"/>
    </row>
    <row r="37">
      <c r="A37" s="513"/>
      <c r="B37" s="513"/>
      <c r="C37" s="513"/>
      <c r="D37" s="514"/>
      <c r="E37" s="514"/>
      <c r="F37" s="514"/>
      <c r="G37" s="514"/>
      <c r="H37" s="514"/>
      <c r="I37" s="514"/>
      <c r="J37" s="514"/>
      <c r="K37" s="514"/>
      <c r="L37" s="514"/>
      <c r="M37" s="514"/>
      <c r="N37" s="514"/>
      <c r="O37" s="514"/>
      <c r="P37" s="514"/>
      <c r="Q37" s="514"/>
      <c r="R37" s="514"/>
      <c r="S37" s="514"/>
      <c r="T37" s="514"/>
      <c r="U37" s="514"/>
      <c r="V37" s="514"/>
      <c r="W37" s="514"/>
      <c r="X37" s="514"/>
      <c r="Y37" s="514"/>
      <c r="Z37" s="514"/>
      <c r="AA37" s="514"/>
      <c r="AB37" s="514"/>
      <c r="AC37" s="514"/>
      <c r="AD37" s="514"/>
      <c r="AE37" s="514"/>
      <c r="AF37" s="514"/>
      <c r="AG37" s="514"/>
      <c r="AH37" s="514"/>
      <c r="AI37" s="514"/>
      <c r="AJ37" s="514"/>
      <c r="AK37" s="514"/>
      <c r="AL37" s="514"/>
      <c r="AM37" s="514"/>
      <c r="AN37" s="514"/>
      <c r="AO37" s="514"/>
      <c r="AP37" s="514"/>
      <c r="AQ37" s="514"/>
      <c r="AR37" s="514"/>
      <c r="AS37" s="514"/>
      <c r="AT37" s="514"/>
      <c r="AU37" s="514"/>
      <c r="AV37" s="514"/>
      <c r="AW37" s="514"/>
      <c r="AX37" s="514"/>
      <c r="AY37" s="514"/>
      <c r="AZ37" s="514"/>
      <c r="BA37" s="514"/>
      <c r="BB37" s="514"/>
      <c r="BC37" s="514"/>
      <c r="BD37" s="514"/>
      <c r="BE37" s="514"/>
      <c r="BF37" s="514"/>
      <c r="BG37" s="514"/>
      <c r="BH37" s="514"/>
      <c r="BI37" s="514"/>
      <c r="BJ37" s="514"/>
      <c r="BK37" s="514"/>
      <c r="BL37" s="514"/>
      <c r="BM37" s="514"/>
      <c r="BN37" s="514"/>
      <c r="BO37" s="514"/>
      <c r="BP37" s="514"/>
      <c r="BQ37" s="514"/>
      <c r="BR37" s="514"/>
      <c r="BS37" s="514"/>
      <c r="BT37" s="514"/>
      <c r="BU37" s="514"/>
      <c r="BV37" s="514"/>
      <c r="BW37" s="514"/>
      <c r="BX37" s="514"/>
      <c r="BY37" s="514"/>
      <c r="BZ37" s="514"/>
      <c r="CA37" s="514"/>
      <c r="CB37" s="514"/>
      <c r="CC37" s="514"/>
      <c r="CD37" s="514"/>
      <c r="CE37" s="514"/>
      <c r="CF37" s="514"/>
      <c r="CG37" s="514"/>
      <c r="CH37" s="514"/>
      <c r="CI37" s="514"/>
      <c r="CJ37" s="514"/>
      <c r="CK37" s="514"/>
      <c r="CL37" s="514"/>
      <c r="CM37" s="514"/>
      <c r="CN37" s="514"/>
      <c r="CO37" s="514"/>
      <c r="CP37" s="514"/>
      <c r="CQ37" s="514"/>
      <c r="CR37" s="514"/>
      <c r="CS37" s="514"/>
      <c r="CT37" s="514"/>
      <c r="CU37" s="514"/>
      <c r="CV37" s="514"/>
      <c r="CW37" s="514"/>
      <c r="CX37" s="514"/>
      <c r="CY37" s="514"/>
      <c r="CZ37" s="514"/>
      <c r="DA37" s="514"/>
      <c r="DB37" s="514"/>
      <c r="DC37" s="514"/>
      <c r="DD37" s="514"/>
      <c r="DE37" s="514"/>
      <c r="DF37" s="514"/>
      <c r="DG37" s="514"/>
      <c r="DH37" s="514"/>
      <c r="DI37" s="514"/>
      <c r="DJ37" s="514"/>
    </row>
    <row r="38">
      <c r="A38" s="513"/>
      <c r="B38" s="513"/>
      <c r="C38" s="513"/>
      <c r="D38" s="514"/>
      <c r="E38" s="514"/>
      <c r="F38" s="514"/>
      <c r="G38" s="514"/>
      <c r="H38" s="514"/>
      <c r="I38" s="514"/>
      <c r="J38" s="514"/>
      <c r="K38" s="514"/>
      <c r="L38" s="514"/>
      <c r="M38" s="514"/>
      <c r="N38" s="514"/>
      <c r="O38" s="514"/>
      <c r="P38" s="514"/>
      <c r="Q38" s="514"/>
      <c r="R38" s="514"/>
      <c r="S38" s="514"/>
      <c r="T38" s="514"/>
      <c r="U38" s="514"/>
      <c r="V38" s="514"/>
      <c r="W38" s="514"/>
      <c r="X38" s="514"/>
      <c r="Y38" s="514"/>
      <c r="Z38" s="514"/>
      <c r="AA38" s="514"/>
      <c r="AB38" s="514"/>
      <c r="AC38" s="514"/>
      <c r="AD38" s="514"/>
      <c r="AE38" s="514"/>
      <c r="AF38" s="514"/>
      <c r="AG38" s="514"/>
      <c r="AH38" s="514"/>
      <c r="AI38" s="514"/>
      <c r="AJ38" s="514"/>
      <c r="AK38" s="514"/>
      <c r="AL38" s="514"/>
      <c r="AM38" s="514"/>
      <c r="AN38" s="514"/>
      <c r="AO38" s="514"/>
      <c r="AP38" s="514"/>
      <c r="AQ38" s="514"/>
      <c r="AR38" s="514"/>
      <c r="AS38" s="514"/>
      <c r="AT38" s="514"/>
      <c r="AU38" s="514"/>
      <c r="AV38" s="514"/>
      <c r="AW38" s="514"/>
      <c r="AX38" s="514"/>
      <c r="AY38" s="514"/>
      <c r="AZ38" s="514"/>
      <c r="BA38" s="514"/>
      <c r="BB38" s="514"/>
      <c r="BC38" s="514"/>
      <c r="BD38" s="514"/>
      <c r="BE38" s="514"/>
      <c r="BF38" s="514"/>
      <c r="BG38" s="514"/>
      <c r="BH38" s="514"/>
      <c r="BI38" s="514"/>
      <c r="BJ38" s="514"/>
      <c r="BK38" s="514"/>
      <c r="BL38" s="514"/>
      <c r="BM38" s="514"/>
      <c r="BN38" s="514"/>
      <c r="BO38" s="514"/>
      <c r="BP38" s="514"/>
      <c r="BQ38" s="514"/>
      <c r="BR38" s="514"/>
      <c r="BS38" s="514"/>
      <c r="BT38" s="514"/>
      <c r="BU38" s="514"/>
      <c r="BV38" s="514"/>
      <c r="BW38" s="514"/>
      <c r="BX38" s="514"/>
      <c r="BY38" s="514"/>
      <c r="BZ38" s="514"/>
      <c r="CA38" s="514"/>
      <c r="CB38" s="514"/>
      <c r="CC38" s="514"/>
      <c r="CD38" s="514"/>
      <c r="CE38" s="514"/>
      <c r="CF38" s="514"/>
      <c r="CG38" s="514"/>
      <c r="CH38" s="514"/>
      <c r="CI38" s="514"/>
      <c r="CJ38" s="514"/>
      <c r="CK38" s="514"/>
      <c r="CL38" s="514"/>
      <c r="CM38" s="514"/>
      <c r="CN38" s="514"/>
      <c r="CO38" s="514"/>
      <c r="CP38" s="514"/>
      <c r="CQ38" s="514"/>
      <c r="CR38" s="514"/>
      <c r="CS38" s="514"/>
      <c r="CT38" s="514"/>
      <c r="CU38" s="514"/>
      <c r="CV38" s="514"/>
      <c r="CW38" s="514"/>
      <c r="CX38" s="514"/>
      <c r="CY38" s="514"/>
      <c r="CZ38" s="514"/>
      <c r="DA38" s="514"/>
      <c r="DB38" s="514"/>
      <c r="DC38" s="514"/>
      <c r="DD38" s="514"/>
      <c r="DE38" s="514"/>
      <c r="DF38" s="514"/>
      <c r="DG38" s="514"/>
      <c r="DH38" s="514"/>
      <c r="DI38" s="514"/>
      <c r="DJ38" s="514"/>
    </row>
    <row r="39">
      <c r="A39" s="513"/>
      <c r="B39" s="513"/>
      <c r="C39" s="513"/>
      <c r="D39" s="514"/>
      <c r="E39" s="514"/>
      <c r="F39" s="514"/>
      <c r="G39" s="514"/>
      <c r="H39" s="514"/>
      <c r="I39" s="514"/>
      <c r="J39" s="514"/>
      <c r="K39" s="514"/>
      <c r="L39" s="514"/>
      <c r="M39" s="514"/>
      <c r="N39" s="514"/>
      <c r="O39" s="514"/>
      <c r="P39" s="514"/>
      <c r="Q39" s="514"/>
      <c r="R39" s="514"/>
      <c r="S39" s="514"/>
      <c r="T39" s="514"/>
      <c r="U39" s="514"/>
      <c r="V39" s="514"/>
      <c r="W39" s="514"/>
      <c r="X39" s="514"/>
      <c r="Y39" s="514"/>
      <c r="Z39" s="514"/>
      <c r="AA39" s="514"/>
      <c r="AB39" s="514"/>
      <c r="AC39" s="514"/>
      <c r="AD39" s="514"/>
      <c r="AE39" s="514"/>
      <c r="AF39" s="514"/>
      <c r="AG39" s="514"/>
      <c r="AH39" s="514"/>
      <c r="AI39" s="514"/>
      <c r="AJ39" s="514"/>
      <c r="AK39" s="514"/>
      <c r="AL39" s="514"/>
      <c r="AM39" s="514"/>
      <c r="AN39" s="514"/>
      <c r="AO39" s="514"/>
      <c r="AP39" s="514"/>
      <c r="AQ39" s="514"/>
      <c r="AR39" s="514"/>
      <c r="AS39" s="514"/>
      <c r="AT39" s="514"/>
      <c r="AU39" s="514"/>
      <c r="AV39" s="514"/>
      <c r="AW39" s="514"/>
      <c r="AX39" s="514"/>
      <c r="AY39" s="514"/>
      <c r="AZ39" s="514"/>
      <c r="BA39" s="514"/>
      <c r="BB39" s="514"/>
      <c r="BC39" s="514"/>
      <c r="BD39" s="514"/>
      <c r="BE39" s="514"/>
      <c r="BF39" s="514"/>
      <c r="BG39" s="514"/>
      <c r="BH39" s="514"/>
      <c r="BI39" s="514"/>
      <c r="BJ39" s="514"/>
      <c r="BK39" s="514"/>
      <c r="BL39" s="514"/>
      <c r="BM39" s="514"/>
      <c r="BN39" s="514"/>
      <c r="BO39" s="514"/>
      <c r="BP39" s="514"/>
      <c r="BQ39" s="514"/>
      <c r="BR39" s="514"/>
      <c r="BS39" s="514"/>
      <c r="BT39" s="514"/>
      <c r="BU39" s="514"/>
      <c r="BV39" s="514"/>
      <c r="BW39" s="514"/>
      <c r="BX39" s="514"/>
      <c r="BY39" s="514"/>
      <c r="BZ39" s="514"/>
      <c r="CA39" s="514"/>
      <c r="CB39" s="514"/>
      <c r="CC39" s="514"/>
      <c r="CD39" s="514"/>
      <c r="CE39" s="514"/>
      <c r="CF39" s="514"/>
      <c r="CG39" s="514"/>
      <c r="CH39" s="514"/>
      <c r="CI39" s="514"/>
      <c r="CJ39" s="514"/>
      <c r="CK39" s="514"/>
      <c r="CL39" s="514"/>
      <c r="CM39" s="514"/>
      <c r="CN39" s="514"/>
      <c r="CO39" s="514"/>
      <c r="CP39" s="514"/>
      <c r="CQ39" s="514"/>
      <c r="CR39" s="514"/>
      <c r="CS39" s="514"/>
      <c r="CT39" s="514"/>
      <c r="CU39" s="514"/>
      <c r="CV39" s="514"/>
      <c r="CW39" s="514"/>
      <c r="CX39" s="514"/>
      <c r="CY39" s="514"/>
      <c r="CZ39" s="514"/>
      <c r="DA39" s="514"/>
      <c r="DB39" s="514"/>
      <c r="DC39" s="514"/>
      <c r="DD39" s="514"/>
      <c r="DE39" s="514"/>
      <c r="DF39" s="514"/>
      <c r="DG39" s="514"/>
      <c r="DH39" s="514"/>
      <c r="DI39" s="514"/>
      <c r="DJ39" s="514"/>
    </row>
    <row r="40">
      <c r="A40" s="513"/>
      <c r="B40" s="513"/>
      <c r="C40" s="513"/>
      <c r="D40" s="514"/>
      <c r="E40" s="514"/>
      <c r="F40" s="514"/>
      <c r="G40" s="514"/>
      <c r="H40" s="514"/>
      <c r="I40" s="514"/>
      <c r="J40" s="514"/>
      <c r="K40" s="514"/>
      <c r="L40" s="514"/>
      <c r="M40" s="514"/>
      <c r="N40" s="514"/>
      <c r="O40" s="514"/>
      <c r="P40" s="514"/>
      <c r="Q40" s="514"/>
      <c r="R40" s="514"/>
      <c r="S40" s="514"/>
      <c r="T40" s="514"/>
      <c r="U40" s="514"/>
      <c r="V40" s="514"/>
      <c r="W40" s="514"/>
      <c r="X40" s="514"/>
      <c r="Y40" s="514"/>
      <c r="Z40" s="514"/>
      <c r="AA40" s="514"/>
      <c r="AB40" s="514"/>
      <c r="AC40" s="514"/>
      <c r="AD40" s="514"/>
      <c r="AE40" s="514"/>
      <c r="AF40" s="514"/>
      <c r="AG40" s="514"/>
      <c r="AH40" s="514"/>
      <c r="AI40" s="514"/>
      <c r="AJ40" s="514"/>
      <c r="AK40" s="514"/>
      <c r="AL40" s="514"/>
      <c r="AM40" s="514"/>
      <c r="AN40" s="514"/>
      <c r="AO40" s="514"/>
      <c r="AP40" s="514"/>
      <c r="AQ40" s="514"/>
      <c r="AR40" s="514"/>
      <c r="AS40" s="514"/>
      <c r="AT40" s="514"/>
      <c r="AU40" s="514"/>
      <c r="AV40" s="514"/>
      <c r="AW40" s="514"/>
      <c r="AX40" s="514"/>
      <c r="AY40" s="514"/>
      <c r="AZ40" s="514"/>
      <c r="BA40" s="514"/>
      <c r="BB40" s="514"/>
      <c r="BC40" s="514"/>
      <c r="BD40" s="514"/>
      <c r="BE40" s="514"/>
      <c r="BF40" s="514"/>
      <c r="BG40" s="514"/>
      <c r="BH40" s="514"/>
      <c r="BI40" s="514"/>
      <c r="BJ40" s="514"/>
      <c r="BK40" s="514"/>
      <c r="BL40" s="514"/>
      <c r="BM40" s="514"/>
      <c r="BN40" s="514"/>
      <c r="BO40" s="514"/>
      <c r="BP40" s="514"/>
      <c r="BQ40" s="514"/>
      <c r="BR40" s="514"/>
      <c r="BS40" s="514"/>
      <c r="BT40" s="514"/>
      <c r="BU40" s="514"/>
      <c r="BV40" s="514"/>
      <c r="BW40" s="514"/>
      <c r="BX40" s="514"/>
      <c r="BY40" s="514"/>
      <c r="BZ40" s="514"/>
      <c r="CA40" s="514"/>
      <c r="CB40" s="514"/>
      <c r="CC40" s="514"/>
      <c r="CD40" s="514"/>
      <c r="CE40" s="514"/>
      <c r="CF40" s="514"/>
      <c r="CG40" s="514"/>
      <c r="CH40" s="514"/>
      <c r="CI40" s="514"/>
      <c r="CJ40" s="514"/>
      <c r="CK40" s="514"/>
      <c r="CL40" s="514"/>
      <c r="CM40" s="514"/>
      <c r="CN40" s="514"/>
      <c r="CO40" s="514"/>
      <c r="CP40" s="514"/>
      <c r="CQ40" s="514"/>
      <c r="CR40" s="514"/>
      <c r="CS40" s="514"/>
      <c r="CT40" s="514"/>
      <c r="CU40" s="514"/>
      <c r="CV40" s="514"/>
      <c r="CW40" s="514"/>
      <c r="CX40" s="514"/>
      <c r="CY40" s="514"/>
      <c r="CZ40" s="514"/>
      <c r="DA40" s="514"/>
      <c r="DB40" s="514"/>
      <c r="DC40" s="514"/>
      <c r="DD40" s="514"/>
      <c r="DE40" s="514"/>
      <c r="DF40" s="514"/>
      <c r="DG40" s="514"/>
      <c r="DH40" s="514"/>
      <c r="DI40" s="514"/>
      <c r="DJ40" s="514"/>
    </row>
  </sheetData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75"/>
  <cols>
    <col customWidth="1" min="1" max="5" width="9.29"/>
    <col customWidth="1" min="6" max="114" width="2.43"/>
  </cols>
  <sheetData>
    <row r="1">
      <c r="A1" s="512" t="s">
        <v>1663</v>
      </c>
      <c r="B1" s="512"/>
      <c r="C1" s="512" t="s">
        <v>1646</v>
      </c>
      <c r="D1" s="513" t="s">
        <v>5</v>
      </c>
      <c r="E1" s="513"/>
      <c r="F1" s="513">
        <v>0.0</v>
      </c>
      <c r="G1" s="513">
        <v>1.0</v>
      </c>
      <c r="H1" s="513">
        <v>2.0</v>
      </c>
      <c r="I1" s="513">
        <v>3.0</v>
      </c>
      <c r="J1" s="513">
        <v>4.0</v>
      </c>
      <c r="K1" s="513">
        <v>5.0</v>
      </c>
      <c r="L1" s="513">
        <v>6.0</v>
      </c>
      <c r="M1" s="513">
        <v>7.0</v>
      </c>
      <c r="N1" s="513">
        <v>8.0</v>
      </c>
      <c r="O1" s="513">
        <v>9.0</v>
      </c>
      <c r="P1" s="513">
        <v>10.0</v>
      </c>
      <c r="Q1" s="513">
        <v>11.0</v>
      </c>
      <c r="R1" s="513">
        <v>12.0</v>
      </c>
      <c r="S1" s="513">
        <v>13.0</v>
      </c>
      <c r="T1" s="513">
        <v>14.0</v>
      </c>
      <c r="U1" s="513">
        <v>15.0</v>
      </c>
      <c r="V1" s="513">
        <v>16.0</v>
      </c>
      <c r="W1" s="513">
        <v>17.0</v>
      </c>
      <c r="X1" s="513">
        <v>18.0</v>
      </c>
      <c r="Y1" s="513">
        <v>19.0</v>
      </c>
      <c r="Z1" s="513">
        <v>20.0</v>
      </c>
      <c r="AA1" s="513">
        <v>21.0</v>
      </c>
      <c r="AB1" s="513">
        <v>22.0</v>
      </c>
      <c r="AC1" s="513">
        <v>23.0</v>
      </c>
      <c r="AD1" s="513">
        <v>24.0</v>
      </c>
      <c r="AE1" s="513">
        <v>25.0</v>
      </c>
      <c r="AF1" s="513">
        <v>26.0</v>
      </c>
      <c r="AG1" s="513">
        <v>27.0</v>
      </c>
      <c r="AH1" s="513">
        <v>28.0</v>
      </c>
      <c r="AI1" s="513">
        <v>29.0</v>
      </c>
      <c r="AJ1" s="513">
        <v>30.0</v>
      </c>
      <c r="AK1" s="513">
        <v>31.0</v>
      </c>
      <c r="AL1" s="513">
        <v>32.0</v>
      </c>
      <c r="AM1" s="513">
        <v>33.0</v>
      </c>
      <c r="AN1" s="513">
        <v>34.0</v>
      </c>
      <c r="AO1" s="513">
        <v>35.0</v>
      </c>
      <c r="AP1" s="513">
        <v>36.0</v>
      </c>
      <c r="AQ1" s="513">
        <v>37.0</v>
      </c>
      <c r="AR1" s="513">
        <v>38.0</v>
      </c>
      <c r="AS1" s="513">
        <v>39.0</v>
      </c>
      <c r="AT1" s="513">
        <v>40.0</v>
      </c>
      <c r="AU1" s="513">
        <v>41.0</v>
      </c>
      <c r="AV1" s="513">
        <v>42.0</v>
      </c>
      <c r="AW1" s="513">
        <v>43.0</v>
      </c>
      <c r="AX1" s="513">
        <v>44.0</v>
      </c>
      <c r="AY1" s="513">
        <v>45.0</v>
      </c>
      <c r="AZ1" s="513">
        <v>46.0</v>
      </c>
      <c r="BA1" s="513">
        <v>47.0</v>
      </c>
      <c r="BB1" s="513">
        <v>48.0</v>
      </c>
      <c r="BC1" s="513">
        <v>49.0</v>
      </c>
      <c r="BD1" s="513">
        <v>50.0</v>
      </c>
      <c r="BE1" s="513">
        <v>51.0</v>
      </c>
      <c r="BF1" s="513">
        <v>52.0</v>
      </c>
      <c r="BG1" s="513">
        <v>53.0</v>
      </c>
      <c r="BH1" s="513">
        <v>54.0</v>
      </c>
      <c r="BI1" s="513">
        <v>55.0</v>
      </c>
      <c r="BJ1" s="513">
        <v>56.0</v>
      </c>
      <c r="BK1" s="513">
        <v>57.0</v>
      </c>
      <c r="BL1" s="513">
        <v>58.0</v>
      </c>
      <c r="BM1" s="513">
        <v>59.0</v>
      </c>
      <c r="BN1" s="513">
        <v>60.0</v>
      </c>
      <c r="BO1" s="513">
        <v>61.0</v>
      </c>
      <c r="BP1" s="513">
        <v>62.0</v>
      </c>
      <c r="BQ1" s="513">
        <v>63.0</v>
      </c>
      <c r="BR1" s="513">
        <v>64.0</v>
      </c>
      <c r="BS1" s="513">
        <v>65.0</v>
      </c>
      <c r="BT1" s="513">
        <v>66.0</v>
      </c>
      <c r="BU1" s="513">
        <v>67.0</v>
      </c>
      <c r="BV1" s="513">
        <v>68.0</v>
      </c>
      <c r="BW1" s="513">
        <v>69.0</v>
      </c>
      <c r="BX1" s="513">
        <v>70.0</v>
      </c>
      <c r="BY1" s="513">
        <v>71.0</v>
      </c>
      <c r="BZ1" s="513">
        <v>72.0</v>
      </c>
      <c r="CA1" s="513">
        <v>73.0</v>
      </c>
      <c r="CB1" s="513">
        <v>74.0</v>
      </c>
      <c r="CC1" s="513">
        <v>75.0</v>
      </c>
      <c r="CD1" s="513">
        <v>76.0</v>
      </c>
      <c r="CE1" s="513">
        <v>77.0</v>
      </c>
      <c r="CF1" s="513">
        <v>78.0</v>
      </c>
      <c r="CG1" s="513">
        <v>79.0</v>
      </c>
      <c r="CH1" s="513">
        <v>80.0</v>
      </c>
      <c r="CI1" s="513">
        <v>81.0</v>
      </c>
      <c r="CJ1" s="513">
        <v>82.0</v>
      </c>
      <c r="CK1" s="513">
        <v>83.0</v>
      </c>
      <c r="CL1" s="513">
        <v>84.0</v>
      </c>
      <c r="CM1" s="513">
        <v>85.0</v>
      </c>
      <c r="CN1" s="513">
        <v>86.0</v>
      </c>
      <c r="CO1" s="513">
        <v>87.0</v>
      </c>
      <c r="CP1" s="513">
        <v>88.0</v>
      </c>
      <c r="CQ1" s="513">
        <v>89.0</v>
      </c>
      <c r="CR1" s="513">
        <v>90.0</v>
      </c>
      <c r="CS1" s="513">
        <v>91.0</v>
      </c>
      <c r="CT1" s="513">
        <v>92.0</v>
      </c>
      <c r="CU1" s="513">
        <v>93.0</v>
      </c>
      <c r="CV1" s="513">
        <v>94.0</v>
      </c>
      <c r="CW1" s="513">
        <v>95.0</v>
      </c>
      <c r="CX1" s="513">
        <v>96.0</v>
      </c>
      <c r="CY1" s="513">
        <v>97.0</v>
      </c>
      <c r="CZ1" s="513">
        <v>98.0</v>
      </c>
      <c r="DA1" s="513">
        <v>99.0</v>
      </c>
      <c r="DB1" s="513">
        <v>100.0</v>
      </c>
      <c r="DC1" s="513">
        <v>101.0</v>
      </c>
      <c r="DD1" s="513">
        <v>102.0</v>
      </c>
      <c r="DE1" s="513">
        <v>103.0</v>
      </c>
      <c r="DF1" s="513">
        <v>104.0</v>
      </c>
      <c r="DG1" s="513">
        <v>105.0</v>
      </c>
      <c r="DH1" s="513">
        <v>106.0</v>
      </c>
      <c r="DI1" s="513">
        <v>107.0</v>
      </c>
      <c r="DJ1" s="513">
        <v>108.0</v>
      </c>
    </row>
    <row r="2">
      <c r="A2" s="513" t="s">
        <v>66</v>
      </c>
      <c r="B2" s="513"/>
      <c r="C2" s="513"/>
      <c r="D2" s="514"/>
      <c r="E2" s="514"/>
      <c r="F2" s="514"/>
      <c r="G2" s="514"/>
      <c r="H2" s="514"/>
      <c r="I2" s="514"/>
      <c r="J2" s="514"/>
      <c r="K2" s="514"/>
      <c r="L2" s="514"/>
      <c r="M2" s="514"/>
      <c r="N2" s="514"/>
      <c r="O2" s="514"/>
      <c r="P2" s="514"/>
      <c r="Q2" s="514"/>
      <c r="R2" s="514"/>
      <c r="S2" s="514"/>
      <c r="T2" s="514"/>
      <c r="U2" s="514"/>
      <c r="V2" s="514"/>
      <c r="W2" s="514"/>
      <c r="X2" s="514"/>
      <c r="Y2" s="514"/>
      <c r="Z2" s="514"/>
      <c r="AA2" s="514"/>
      <c r="AB2" s="514"/>
      <c r="AC2" s="514"/>
      <c r="AD2" s="514"/>
      <c r="AE2" s="514"/>
      <c r="AF2" s="514"/>
      <c r="AG2" s="514"/>
      <c r="AH2" s="514"/>
      <c r="AI2" s="514"/>
      <c r="AJ2" s="514"/>
      <c r="AK2" s="514"/>
      <c r="AL2" s="514"/>
      <c r="AM2" s="514"/>
      <c r="AN2" s="514"/>
      <c r="AO2" s="514"/>
      <c r="AP2" s="514"/>
      <c r="AQ2" s="514"/>
      <c r="AR2" s="514"/>
      <c r="AS2" s="514"/>
      <c r="AT2" s="514"/>
      <c r="AU2" s="514"/>
      <c r="AV2" s="514"/>
      <c r="AW2" s="514"/>
      <c r="AX2" s="514"/>
      <c r="AY2" s="514"/>
      <c r="AZ2" s="514"/>
      <c r="BA2" s="514"/>
      <c r="BB2" s="514"/>
      <c r="BC2" s="514"/>
      <c r="BD2" s="514"/>
      <c r="BE2" s="514"/>
      <c r="BF2" s="514"/>
      <c r="BG2" s="514"/>
      <c r="BH2" s="514"/>
      <c r="BI2" s="514"/>
      <c r="BJ2" s="514"/>
      <c r="BK2" s="514"/>
      <c r="BL2" s="514"/>
      <c r="BM2" s="514"/>
      <c r="BN2" s="514"/>
      <c r="BO2" s="514"/>
      <c r="BP2" s="514"/>
      <c r="BQ2" s="514"/>
      <c r="BR2" s="514"/>
      <c r="BS2" s="514"/>
      <c r="BT2" s="514"/>
      <c r="BU2" s="514"/>
      <c r="BV2" s="514"/>
      <c r="BW2" s="514"/>
      <c r="BX2" s="514"/>
      <c r="BY2" s="514"/>
      <c r="BZ2" s="514"/>
      <c r="CA2" s="514"/>
      <c r="CB2" s="514"/>
      <c r="CC2" s="514"/>
      <c r="CD2" s="514"/>
      <c r="CE2" s="514"/>
      <c r="CF2" s="514"/>
      <c r="CG2" s="514"/>
      <c r="CH2" s="514"/>
      <c r="CI2" s="514"/>
      <c r="CJ2" s="514"/>
      <c r="CK2" s="514"/>
      <c r="CL2" s="514"/>
      <c r="CM2" s="514"/>
      <c r="CN2" s="514"/>
      <c r="CO2" s="514"/>
      <c r="CP2" s="514"/>
      <c r="CQ2" s="514"/>
      <c r="CR2" s="514"/>
      <c r="CS2" s="514"/>
      <c r="CT2" s="514"/>
      <c r="CU2" s="514"/>
      <c r="CV2" s="514"/>
      <c r="CW2" s="514"/>
      <c r="CX2" s="514"/>
      <c r="CY2" s="514"/>
      <c r="CZ2" s="514"/>
      <c r="DA2" s="514"/>
      <c r="DB2" s="514"/>
      <c r="DC2" s="514"/>
      <c r="DD2" s="514"/>
      <c r="DE2" s="514"/>
      <c r="DF2" s="514"/>
      <c r="DG2" s="514"/>
      <c r="DH2" s="514"/>
      <c r="DI2" s="514"/>
      <c r="DJ2" s="514"/>
    </row>
    <row r="3">
      <c r="A3" s="513" t="s">
        <v>899</v>
      </c>
      <c r="B3" s="513" t="str">
        <f>'NPC dps'!Q3</f>
        <v>Melee</v>
      </c>
      <c r="C3" s="513"/>
      <c r="D3" s="514"/>
      <c r="E3" s="514"/>
      <c r="F3" s="514"/>
      <c r="G3" s="514"/>
      <c r="H3" s="514"/>
      <c r="I3" s="514"/>
      <c r="J3" s="514"/>
      <c r="K3" s="514"/>
      <c r="L3" s="514"/>
      <c r="M3" s="514"/>
      <c r="N3" s="514"/>
      <c r="O3" s="514"/>
      <c r="P3" s="514"/>
      <c r="Q3" s="514"/>
      <c r="R3" s="514"/>
      <c r="S3" s="514"/>
      <c r="T3" s="514"/>
      <c r="U3" s="514"/>
      <c r="V3" s="514"/>
      <c r="W3" s="514"/>
      <c r="X3" s="514"/>
      <c r="Y3" s="514"/>
      <c r="Z3" s="514"/>
      <c r="AA3" s="514"/>
      <c r="AB3" s="514"/>
      <c r="AC3" s="514"/>
      <c r="AD3" s="514"/>
      <c r="AE3" s="514"/>
      <c r="AF3" s="514"/>
      <c r="AG3" s="514"/>
      <c r="AH3" s="514"/>
      <c r="AI3" s="514"/>
      <c r="AJ3" s="514"/>
      <c r="AK3" s="514"/>
      <c r="AL3" s="514"/>
      <c r="AM3" s="514"/>
      <c r="AN3" s="514"/>
      <c r="AO3" s="514"/>
      <c r="AP3" s="514"/>
      <c r="AQ3" s="514"/>
      <c r="AR3" s="514"/>
      <c r="AS3" s="514"/>
      <c r="AT3" s="514"/>
      <c r="AU3" s="514"/>
      <c r="AV3" s="514"/>
      <c r="AW3" s="514"/>
      <c r="AX3" s="514"/>
      <c r="AY3" s="514"/>
      <c r="AZ3" s="514"/>
      <c r="BA3" s="514"/>
      <c r="BB3" s="514"/>
      <c r="BC3" s="514"/>
      <c r="BD3" s="514"/>
      <c r="BE3" s="514"/>
      <c r="BF3" s="514"/>
      <c r="BG3" s="514"/>
      <c r="BH3" s="514"/>
      <c r="BI3" s="514"/>
      <c r="BJ3" s="514"/>
      <c r="BK3" s="514"/>
      <c r="BL3" s="514"/>
      <c r="BM3" s="514"/>
      <c r="BN3" s="514"/>
      <c r="BO3" s="514"/>
      <c r="BP3" s="514"/>
      <c r="BQ3" s="514"/>
      <c r="BR3" s="514"/>
      <c r="BS3" s="514"/>
      <c r="BT3" s="514"/>
      <c r="BU3" s="514"/>
      <c r="BV3" s="514"/>
      <c r="BW3" s="514"/>
      <c r="BX3" s="514"/>
      <c r="BY3" s="514"/>
      <c r="BZ3" s="514"/>
      <c r="CA3" s="514"/>
      <c r="CB3" s="514"/>
      <c r="CC3" s="514"/>
      <c r="CD3" s="514"/>
      <c r="CE3" s="514"/>
      <c r="CF3" s="514"/>
      <c r="CG3" s="514"/>
      <c r="CH3" s="514"/>
      <c r="CI3" s="514"/>
      <c r="CJ3" s="514"/>
      <c r="CK3" s="514"/>
      <c r="CL3" s="514"/>
      <c r="CM3" s="514"/>
      <c r="CN3" s="514"/>
      <c r="CO3" s="514"/>
      <c r="CP3" s="514"/>
      <c r="CQ3" s="514"/>
      <c r="CR3" s="514"/>
      <c r="CS3" s="514"/>
      <c r="CT3" s="514"/>
      <c r="CU3" s="514"/>
      <c r="CV3" s="514"/>
      <c r="CW3" s="514"/>
      <c r="CX3" s="514"/>
      <c r="CY3" s="514"/>
      <c r="CZ3" s="514"/>
      <c r="DA3" s="514"/>
      <c r="DB3" s="514"/>
      <c r="DC3" s="514"/>
      <c r="DD3" s="514"/>
      <c r="DE3" s="514"/>
      <c r="DF3" s="514"/>
      <c r="DG3" s="514"/>
      <c r="DH3" s="514"/>
      <c r="DI3" s="514"/>
      <c r="DJ3" s="514"/>
    </row>
    <row r="4">
      <c r="A4" s="513" t="s">
        <v>1664</v>
      </c>
      <c r="B4" s="513" t="b">
        <f>'NPC dps'!R4</f>
        <v>0</v>
      </c>
      <c r="C4" s="513"/>
      <c r="D4" s="514"/>
      <c r="E4" s="514"/>
      <c r="F4" s="514"/>
      <c r="G4" s="514"/>
      <c r="H4" s="514"/>
      <c r="I4" s="514"/>
      <c r="J4" s="514"/>
      <c r="K4" s="514"/>
      <c r="L4" s="514"/>
      <c r="M4" s="514"/>
      <c r="N4" s="514"/>
      <c r="O4" s="514"/>
      <c r="P4" s="514"/>
      <c r="Q4" s="514"/>
      <c r="R4" s="514"/>
      <c r="S4" s="514"/>
      <c r="T4" s="514"/>
      <c r="U4" s="514"/>
      <c r="V4" s="514"/>
      <c r="W4" s="514"/>
      <c r="X4" s="514"/>
      <c r="Y4" s="514"/>
      <c r="Z4" s="514"/>
      <c r="AA4" s="514"/>
      <c r="AB4" s="514"/>
      <c r="AC4" s="514"/>
      <c r="AD4" s="514"/>
      <c r="AE4" s="514"/>
      <c r="AF4" s="514"/>
      <c r="AG4" s="514"/>
      <c r="AH4" s="514"/>
      <c r="AI4" s="514"/>
      <c r="AJ4" s="514"/>
      <c r="AK4" s="514"/>
      <c r="AL4" s="514"/>
      <c r="AM4" s="514"/>
      <c r="AN4" s="514"/>
      <c r="AO4" s="514"/>
      <c r="AP4" s="514"/>
      <c r="AQ4" s="514"/>
      <c r="AR4" s="514"/>
      <c r="AS4" s="514"/>
      <c r="AT4" s="514"/>
      <c r="AU4" s="514"/>
      <c r="AV4" s="514"/>
      <c r="AW4" s="514"/>
      <c r="AX4" s="514"/>
      <c r="AY4" s="514"/>
      <c r="AZ4" s="514"/>
      <c r="BA4" s="514"/>
      <c r="BB4" s="514"/>
      <c r="BC4" s="514"/>
      <c r="BD4" s="514"/>
      <c r="BE4" s="514"/>
      <c r="BF4" s="514"/>
      <c r="BG4" s="514"/>
      <c r="BH4" s="514"/>
      <c r="BI4" s="514"/>
      <c r="BJ4" s="514"/>
      <c r="BK4" s="514"/>
      <c r="BL4" s="514"/>
      <c r="BM4" s="514"/>
      <c r="BN4" s="514"/>
      <c r="BO4" s="514"/>
      <c r="BP4" s="514"/>
      <c r="BQ4" s="514"/>
      <c r="BR4" s="514"/>
      <c r="BS4" s="514"/>
      <c r="BT4" s="514"/>
      <c r="BU4" s="514"/>
      <c r="BV4" s="514"/>
      <c r="BW4" s="514"/>
      <c r="BX4" s="514"/>
      <c r="BY4" s="514"/>
      <c r="BZ4" s="514"/>
      <c r="CA4" s="514"/>
      <c r="CB4" s="514"/>
      <c r="CC4" s="514"/>
      <c r="CD4" s="514"/>
      <c r="CE4" s="514"/>
      <c r="CF4" s="514"/>
      <c r="CG4" s="514"/>
      <c r="CH4" s="514"/>
      <c r="CI4" s="514"/>
      <c r="CJ4" s="514"/>
      <c r="CK4" s="514"/>
      <c r="CL4" s="514"/>
      <c r="CM4" s="514"/>
      <c r="CN4" s="514"/>
      <c r="CO4" s="514"/>
      <c r="CP4" s="514"/>
      <c r="CQ4" s="514"/>
      <c r="CR4" s="514"/>
      <c r="CS4" s="514"/>
      <c r="CT4" s="514"/>
      <c r="CU4" s="514"/>
      <c r="CV4" s="514"/>
      <c r="CW4" s="514"/>
      <c r="CX4" s="514"/>
      <c r="CY4" s="514"/>
      <c r="CZ4" s="514"/>
      <c r="DA4" s="514"/>
      <c r="DB4" s="514"/>
      <c r="DC4" s="514"/>
      <c r="DD4" s="514"/>
      <c r="DE4" s="514"/>
      <c r="DF4" s="514"/>
      <c r="DG4" s="514"/>
      <c r="DH4" s="514"/>
      <c r="DI4" s="514"/>
      <c r="DJ4" s="514"/>
    </row>
    <row r="5">
      <c r="A5" s="513" t="s">
        <v>1665</v>
      </c>
      <c r="B5" s="513" t="b">
        <f>'NPC dps'!R5</f>
        <v>0</v>
      </c>
      <c r="C5" s="515"/>
      <c r="D5" s="516" t="str">
        <f t="shared" ref="D5:D6" si="2">if(B5,0.75,"")</f>
        <v/>
      </c>
      <c r="E5" s="516">
        <f>if(B5,0.75,1)</f>
        <v>1</v>
      </c>
      <c r="F5" s="514">
        <f t="shared" ref="F5:DJ5" si="1">int(F1*$E$5)</f>
        <v>0</v>
      </c>
      <c r="G5" s="514">
        <f t="shared" si="1"/>
        <v>1</v>
      </c>
      <c r="H5" s="514">
        <f t="shared" si="1"/>
        <v>2</v>
      </c>
      <c r="I5" s="514">
        <f t="shared" si="1"/>
        <v>3</v>
      </c>
      <c r="J5" s="514">
        <f t="shared" si="1"/>
        <v>4</v>
      </c>
      <c r="K5" s="514">
        <f t="shared" si="1"/>
        <v>5</v>
      </c>
      <c r="L5" s="514">
        <f t="shared" si="1"/>
        <v>6</v>
      </c>
      <c r="M5" s="514">
        <f t="shared" si="1"/>
        <v>7</v>
      </c>
      <c r="N5" s="514">
        <f t="shared" si="1"/>
        <v>8</v>
      </c>
      <c r="O5" s="514">
        <f t="shared" si="1"/>
        <v>9</v>
      </c>
      <c r="P5" s="514">
        <f t="shared" si="1"/>
        <v>10</v>
      </c>
      <c r="Q5" s="514">
        <f t="shared" si="1"/>
        <v>11</v>
      </c>
      <c r="R5" s="514">
        <f t="shared" si="1"/>
        <v>12</v>
      </c>
      <c r="S5" s="514">
        <f t="shared" si="1"/>
        <v>13</v>
      </c>
      <c r="T5" s="514">
        <f t="shared" si="1"/>
        <v>14</v>
      </c>
      <c r="U5" s="514">
        <f t="shared" si="1"/>
        <v>15</v>
      </c>
      <c r="V5" s="514">
        <f t="shared" si="1"/>
        <v>16</v>
      </c>
      <c r="W5" s="514">
        <f t="shared" si="1"/>
        <v>17</v>
      </c>
      <c r="X5" s="514">
        <f t="shared" si="1"/>
        <v>18</v>
      </c>
      <c r="Y5" s="514">
        <f t="shared" si="1"/>
        <v>19</v>
      </c>
      <c r="Z5" s="514">
        <f t="shared" si="1"/>
        <v>20</v>
      </c>
      <c r="AA5" s="514">
        <f t="shared" si="1"/>
        <v>21</v>
      </c>
      <c r="AB5" s="514">
        <f t="shared" si="1"/>
        <v>22</v>
      </c>
      <c r="AC5" s="514">
        <f t="shared" si="1"/>
        <v>23</v>
      </c>
      <c r="AD5" s="514">
        <f t="shared" si="1"/>
        <v>24</v>
      </c>
      <c r="AE5" s="514">
        <f t="shared" si="1"/>
        <v>25</v>
      </c>
      <c r="AF5" s="514">
        <f t="shared" si="1"/>
        <v>26</v>
      </c>
      <c r="AG5" s="514">
        <f t="shared" si="1"/>
        <v>27</v>
      </c>
      <c r="AH5" s="514">
        <f t="shared" si="1"/>
        <v>28</v>
      </c>
      <c r="AI5" s="514">
        <f t="shared" si="1"/>
        <v>29</v>
      </c>
      <c r="AJ5" s="514">
        <f t="shared" si="1"/>
        <v>30</v>
      </c>
      <c r="AK5" s="514">
        <f t="shared" si="1"/>
        <v>31</v>
      </c>
      <c r="AL5" s="514">
        <f t="shared" si="1"/>
        <v>32</v>
      </c>
      <c r="AM5" s="514">
        <f t="shared" si="1"/>
        <v>33</v>
      </c>
      <c r="AN5" s="514">
        <f t="shared" si="1"/>
        <v>34</v>
      </c>
      <c r="AO5" s="514">
        <f t="shared" si="1"/>
        <v>35</v>
      </c>
      <c r="AP5" s="514">
        <f t="shared" si="1"/>
        <v>36</v>
      </c>
      <c r="AQ5" s="514">
        <f t="shared" si="1"/>
        <v>37</v>
      </c>
      <c r="AR5" s="514">
        <f t="shared" si="1"/>
        <v>38</v>
      </c>
      <c r="AS5" s="514">
        <f t="shared" si="1"/>
        <v>39</v>
      </c>
      <c r="AT5" s="514">
        <f t="shared" si="1"/>
        <v>40</v>
      </c>
      <c r="AU5" s="514">
        <f t="shared" si="1"/>
        <v>41</v>
      </c>
      <c r="AV5" s="514">
        <f t="shared" si="1"/>
        <v>42</v>
      </c>
      <c r="AW5" s="514">
        <f t="shared" si="1"/>
        <v>43</v>
      </c>
      <c r="AX5" s="514">
        <f t="shared" si="1"/>
        <v>44</v>
      </c>
      <c r="AY5" s="514">
        <f t="shared" si="1"/>
        <v>45</v>
      </c>
      <c r="AZ5" s="514">
        <f t="shared" si="1"/>
        <v>46</v>
      </c>
      <c r="BA5" s="514">
        <f t="shared" si="1"/>
        <v>47</v>
      </c>
      <c r="BB5" s="514">
        <f t="shared" si="1"/>
        <v>48</v>
      </c>
      <c r="BC5" s="514">
        <f t="shared" si="1"/>
        <v>49</v>
      </c>
      <c r="BD5" s="514">
        <f t="shared" si="1"/>
        <v>50</v>
      </c>
      <c r="BE5" s="514">
        <f t="shared" si="1"/>
        <v>51</v>
      </c>
      <c r="BF5" s="514">
        <f t="shared" si="1"/>
        <v>52</v>
      </c>
      <c r="BG5" s="514">
        <f t="shared" si="1"/>
        <v>53</v>
      </c>
      <c r="BH5" s="514">
        <f t="shared" si="1"/>
        <v>54</v>
      </c>
      <c r="BI5" s="514">
        <f t="shared" si="1"/>
        <v>55</v>
      </c>
      <c r="BJ5" s="514">
        <f t="shared" si="1"/>
        <v>56</v>
      </c>
      <c r="BK5" s="514">
        <f t="shared" si="1"/>
        <v>57</v>
      </c>
      <c r="BL5" s="514">
        <f t="shared" si="1"/>
        <v>58</v>
      </c>
      <c r="BM5" s="514">
        <f t="shared" si="1"/>
        <v>59</v>
      </c>
      <c r="BN5" s="514">
        <f t="shared" si="1"/>
        <v>60</v>
      </c>
      <c r="BO5" s="514">
        <f t="shared" si="1"/>
        <v>61</v>
      </c>
      <c r="BP5" s="514">
        <f t="shared" si="1"/>
        <v>62</v>
      </c>
      <c r="BQ5" s="514">
        <f t="shared" si="1"/>
        <v>63</v>
      </c>
      <c r="BR5" s="514">
        <f t="shared" si="1"/>
        <v>64</v>
      </c>
      <c r="BS5" s="514">
        <f t="shared" si="1"/>
        <v>65</v>
      </c>
      <c r="BT5" s="514">
        <f t="shared" si="1"/>
        <v>66</v>
      </c>
      <c r="BU5" s="514">
        <f t="shared" si="1"/>
        <v>67</v>
      </c>
      <c r="BV5" s="514">
        <f t="shared" si="1"/>
        <v>68</v>
      </c>
      <c r="BW5" s="514">
        <f t="shared" si="1"/>
        <v>69</v>
      </c>
      <c r="BX5" s="514">
        <f t="shared" si="1"/>
        <v>70</v>
      </c>
      <c r="BY5" s="514">
        <f t="shared" si="1"/>
        <v>71</v>
      </c>
      <c r="BZ5" s="514">
        <f t="shared" si="1"/>
        <v>72</v>
      </c>
      <c r="CA5" s="514">
        <f t="shared" si="1"/>
        <v>73</v>
      </c>
      <c r="CB5" s="514">
        <f t="shared" si="1"/>
        <v>74</v>
      </c>
      <c r="CC5" s="514">
        <f t="shared" si="1"/>
        <v>75</v>
      </c>
      <c r="CD5" s="514">
        <f t="shared" si="1"/>
        <v>76</v>
      </c>
      <c r="CE5" s="514">
        <f t="shared" si="1"/>
        <v>77</v>
      </c>
      <c r="CF5" s="514">
        <f t="shared" si="1"/>
        <v>78</v>
      </c>
      <c r="CG5" s="514">
        <f t="shared" si="1"/>
        <v>79</v>
      </c>
      <c r="CH5" s="514">
        <f t="shared" si="1"/>
        <v>80</v>
      </c>
      <c r="CI5" s="514">
        <f t="shared" si="1"/>
        <v>81</v>
      </c>
      <c r="CJ5" s="514">
        <f t="shared" si="1"/>
        <v>82</v>
      </c>
      <c r="CK5" s="514">
        <f t="shared" si="1"/>
        <v>83</v>
      </c>
      <c r="CL5" s="514">
        <f t="shared" si="1"/>
        <v>84</v>
      </c>
      <c r="CM5" s="514">
        <f t="shared" si="1"/>
        <v>85</v>
      </c>
      <c r="CN5" s="514">
        <f t="shared" si="1"/>
        <v>86</v>
      </c>
      <c r="CO5" s="514">
        <f t="shared" si="1"/>
        <v>87</v>
      </c>
      <c r="CP5" s="514">
        <f t="shared" si="1"/>
        <v>88</v>
      </c>
      <c r="CQ5" s="514">
        <f t="shared" si="1"/>
        <v>89</v>
      </c>
      <c r="CR5" s="514">
        <f t="shared" si="1"/>
        <v>90</v>
      </c>
      <c r="CS5" s="514">
        <f t="shared" si="1"/>
        <v>91</v>
      </c>
      <c r="CT5" s="514">
        <f t="shared" si="1"/>
        <v>92</v>
      </c>
      <c r="CU5" s="514">
        <f t="shared" si="1"/>
        <v>93</v>
      </c>
      <c r="CV5" s="514">
        <f t="shared" si="1"/>
        <v>94</v>
      </c>
      <c r="CW5" s="514">
        <f t="shared" si="1"/>
        <v>95</v>
      </c>
      <c r="CX5" s="514">
        <f t="shared" si="1"/>
        <v>96</v>
      </c>
      <c r="CY5" s="514">
        <f t="shared" si="1"/>
        <v>97</v>
      </c>
      <c r="CZ5" s="514">
        <f t="shared" si="1"/>
        <v>98</v>
      </c>
      <c r="DA5" s="514">
        <f t="shared" si="1"/>
        <v>99</v>
      </c>
      <c r="DB5" s="514">
        <f t="shared" si="1"/>
        <v>100</v>
      </c>
      <c r="DC5" s="514">
        <f t="shared" si="1"/>
        <v>101</v>
      </c>
      <c r="DD5" s="514">
        <f t="shared" si="1"/>
        <v>102</v>
      </c>
      <c r="DE5" s="514">
        <f t="shared" si="1"/>
        <v>103</v>
      </c>
      <c r="DF5" s="514">
        <f t="shared" si="1"/>
        <v>104</v>
      </c>
      <c r="DG5" s="514">
        <f t="shared" si="1"/>
        <v>105</v>
      </c>
      <c r="DH5" s="514">
        <f t="shared" si="1"/>
        <v>106</v>
      </c>
      <c r="DI5" s="514">
        <f t="shared" si="1"/>
        <v>107</v>
      </c>
      <c r="DJ5" s="514">
        <f t="shared" si="1"/>
        <v>108</v>
      </c>
    </row>
    <row r="6">
      <c r="A6" s="513" t="s">
        <v>1666</v>
      </c>
      <c r="B6" s="513" t="b">
        <f>'NPC dps'!R7</f>
        <v>0</v>
      </c>
      <c r="C6" s="513"/>
      <c r="D6" s="516" t="str">
        <f t="shared" si="2"/>
        <v/>
      </c>
      <c r="E6" s="517"/>
      <c r="F6" s="514"/>
      <c r="G6" s="514"/>
      <c r="H6" s="514"/>
      <c r="I6" s="514"/>
      <c r="J6" s="514"/>
      <c r="K6" s="514"/>
      <c r="L6" s="514"/>
      <c r="M6" s="514"/>
      <c r="N6" s="514"/>
      <c r="O6" s="514"/>
      <c r="P6" s="514"/>
      <c r="Q6" s="514"/>
      <c r="R6" s="514"/>
      <c r="S6" s="514"/>
      <c r="T6" s="514"/>
      <c r="U6" s="514"/>
      <c r="V6" s="514"/>
      <c r="W6" s="514"/>
      <c r="X6" s="514"/>
      <c r="Y6" s="514"/>
      <c r="Z6" s="514"/>
      <c r="AA6" s="514"/>
      <c r="AB6" s="514"/>
      <c r="AC6" s="514"/>
      <c r="AD6" s="514"/>
      <c r="AE6" s="514"/>
      <c r="AF6" s="514"/>
      <c r="AG6" s="514"/>
      <c r="AH6" s="514"/>
      <c r="AI6" s="514"/>
      <c r="AJ6" s="514"/>
      <c r="AK6" s="514"/>
      <c r="AL6" s="514"/>
      <c r="AM6" s="514"/>
      <c r="AN6" s="514"/>
      <c r="AO6" s="514"/>
      <c r="AP6" s="514"/>
      <c r="AQ6" s="514"/>
      <c r="AR6" s="514"/>
      <c r="AS6" s="514"/>
      <c r="AT6" s="514"/>
      <c r="AU6" s="514"/>
      <c r="AV6" s="514"/>
      <c r="AW6" s="514"/>
      <c r="AX6" s="514"/>
      <c r="AY6" s="514"/>
      <c r="AZ6" s="514"/>
      <c r="BA6" s="514"/>
      <c r="BB6" s="514"/>
      <c r="BC6" s="514"/>
      <c r="BD6" s="514"/>
      <c r="BE6" s="514"/>
      <c r="BF6" s="514"/>
      <c r="BG6" s="514"/>
      <c r="BH6" s="514"/>
      <c r="BI6" s="514"/>
      <c r="BJ6" s="514"/>
      <c r="BK6" s="514"/>
      <c r="BL6" s="514"/>
      <c r="BM6" s="514"/>
      <c r="BN6" s="514"/>
      <c r="BO6" s="514"/>
      <c r="BP6" s="514"/>
      <c r="BQ6" s="514"/>
      <c r="BR6" s="514"/>
      <c r="BS6" s="514"/>
      <c r="BT6" s="514"/>
      <c r="BU6" s="514"/>
      <c r="BV6" s="514"/>
      <c r="BW6" s="514"/>
      <c r="BX6" s="514"/>
      <c r="BY6" s="514"/>
      <c r="BZ6" s="514"/>
      <c r="CA6" s="514"/>
      <c r="CB6" s="514"/>
      <c r="CC6" s="514"/>
      <c r="CD6" s="514"/>
      <c r="CE6" s="514"/>
      <c r="CF6" s="514"/>
      <c r="CG6" s="514"/>
      <c r="CH6" s="514"/>
      <c r="CI6" s="514"/>
      <c r="CJ6" s="514"/>
      <c r="CK6" s="514"/>
      <c r="CL6" s="514"/>
      <c r="CM6" s="514"/>
      <c r="CN6" s="514"/>
      <c r="CO6" s="514"/>
      <c r="CP6" s="514"/>
      <c r="CQ6" s="514"/>
      <c r="CR6" s="514"/>
      <c r="CS6" s="514"/>
      <c r="CT6" s="514"/>
      <c r="CU6" s="514"/>
      <c r="CV6" s="514"/>
      <c r="CW6" s="514"/>
      <c r="CX6" s="514"/>
      <c r="CY6" s="514"/>
      <c r="CZ6" s="514"/>
      <c r="DA6" s="514"/>
      <c r="DB6" s="514"/>
      <c r="DC6" s="514"/>
      <c r="DD6" s="514"/>
      <c r="DE6" s="514"/>
      <c r="DF6" s="514"/>
      <c r="DG6" s="514"/>
      <c r="DH6" s="514"/>
      <c r="DI6" s="514"/>
      <c r="DJ6" s="514"/>
    </row>
    <row r="7">
      <c r="A7" s="513" t="s">
        <v>1640</v>
      </c>
      <c r="B7" s="513" t="b">
        <f>'NPC dps'!R6</f>
        <v>0</v>
      </c>
      <c r="C7" s="513" t="s">
        <v>142</v>
      </c>
      <c r="D7" s="516">
        <f>if(B8,0.25,if(B7,1,0))</f>
        <v>0</v>
      </c>
      <c r="E7" s="516">
        <f>1-'Sheet 1'!H51/3000</f>
        <v>0.9703333333</v>
      </c>
      <c r="F7" s="514">
        <f t="shared" ref="F7:DJ7" si="3">int(F$1*$E7)</f>
        <v>0</v>
      </c>
      <c r="G7" s="514">
        <f t="shared" si="3"/>
        <v>0</v>
      </c>
      <c r="H7" s="514">
        <f t="shared" si="3"/>
        <v>1</v>
      </c>
      <c r="I7" s="514">
        <f t="shared" si="3"/>
        <v>2</v>
      </c>
      <c r="J7" s="514">
        <f t="shared" si="3"/>
        <v>3</v>
      </c>
      <c r="K7" s="514">
        <f t="shared" si="3"/>
        <v>4</v>
      </c>
      <c r="L7" s="514">
        <f t="shared" si="3"/>
        <v>5</v>
      </c>
      <c r="M7" s="514">
        <f t="shared" si="3"/>
        <v>6</v>
      </c>
      <c r="N7" s="514">
        <f t="shared" si="3"/>
        <v>7</v>
      </c>
      <c r="O7" s="514">
        <f t="shared" si="3"/>
        <v>8</v>
      </c>
      <c r="P7" s="514">
        <f t="shared" si="3"/>
        <v>9</v>
      </c>
      <c r="Q7" s="514">
        <f t="shared" si="3"/>
        <v>10</v>
      </c>
      <c r="R7" s="514">
        <f t="shared" si="3"/>
        <v>11</v>
      </c>
      <c r="S7" s="514">
        <f t="shared" si="3"/>
        <v>12</v>
      </c>
      <c r="T7" s="514">
        <f t="shared" si="3"/>
        <v>13</v>
      </c>
      <c r="U7" s="514">
        <f t="shared" si="3"/>
        <v>14</v>
      </c>
      <c r="V7" s="514">
        <f t="shared" si="3"/>
        <v>15</v>
      </c>
      <c r="W7" s="514">
        <f t="shared" si="3"/>
        <v>16</v>
      </c>
      <c r="X7" s="514">
        <f t="shared" si="3"/>
        <v>17</v>
      </c>
      <c r="Y7" s="514">
        <f t="shared" si="3"/>
        <v>18</v>
      </c>
      <c r="Z7" s="514">
        <f t="shared" si="3"/>
        <v>19</v>
      </c>
      <c r="AA7" s="514">
        <f t="shared" si="3"/>
        <v>20</v>
      </c>
      <c r="AB7" s="514">
        <f t="shared" si="3"/>
        <v>21</v>
      </c>
      <c r="AC7" s="514">
        <f t="shared" si="3"/>
        <v>22</v>
      </c>
      <c r="AD7" s="514">
        <f t="shared" si="3"/>
        <v>23</v>
      </c>
      <c r="AE7" s="514">
        <f t="shared" si="3"/>
        <v>24</v>
      </c>
      <c r="AF7" s="514">
        <f t="shared" si="3"/>
        <v>25</v>
      </c>
      <c r="AG7" s="514">
        <f t="shared" si="3"/>
        <v>26</v>
      </c>
      <c r="AH7" s="514">
        <f t="shared" si="3"/>
        <v>27</v>
      </c>
      <c r="AI7" s="514">
        <f t="shared" si="3"/>
        <v>28</v>
      </c>
      <c r="AJ7" s="514">
        <f t="shared" si="3"/>
        <v>29</v>
      </c>
      <c r="AK7" s="514">
        <f t="shared" si="3"/>
        <v>30</v>
      </c>
      <c r="AL7" s="514">
        <f t="shared" si="3"/>
        <v>31</v>
      </c>
      <c r="AM7" s="514">
        <f t="shared" si="3"/>
        <v>32</v>
      </c>
      <c r="AN7" s="514">
        <f t="shared" si="3"/>
        <v>32</v>
      </c>
      <c r="AO7" s="514">
        <f t="shared" si="3"/>
        <v>33</v>
      </c>
      <c r="AP7" s="514">
        <f t="shared" si="3"/>
        <v>34</v>
      </c>
      <c r="AQ7" s="514">
        <f t="shared" si="3"/>
        <v>35</v>
      </c>
      <c r="AR7" s="514">
        <f t="shared" si="3"/>
        <v>36</v>
      </c>
      <c r="AS7" s="514">
        <f t="shared" si="3"/>
        <v>37</v>
      </c>
      <c r="AT7" s="514">
        <f t="shared" si="3"/>
        <v>38</v>
      </c>
      <c r="AU7" s="514">
        <f t="shared" si="3"/>
        <v>39</v>
      </c>
      <c r="AV7" s="514">
        <f t="shared" si="3"/>
        <v>40</v>
      </c>
      <c r="AW7" s="514">
        <f t="shared" si="3"/>
        <v>41</v>
      </c>
      <c r="AX7" s="514">
        <f t="shared" si="3"/>
        <v>42</v>
      </c>
      <c r="AY7" s="514">
        <f t="shared" si="3"/>
        <v>43</v>
      </c>
      <c r="AZ7" s="514">
        <f t="shared" si="3"/>
        <v>44</v>
      </c>
      <c r="BA7" s="514">
        <f t="shared" si="3"/>
        <v>45</v>
      </c>
      <c r="BB7" s="514">
        <f t="shared" si="3"/>
        <v>46</v>
      </c>
      <c r="BC7" s="514">
        <f t="shared" si="3"/>
        <v>47</v>
      </c>
      <c r="BD7" s="514">
        <f t="shared" si="3"/>
        <v>48</v>
      </c>
      <c r="BE7" s="514">
        <f t="shared" si="3"/>
        <v>49</v>
      </c>
      <c r="BF7" s="514">
        <f t="shared" si="3"/>
        <v>50</v>
      </c>
      <c r="BG7" s="514">
        <f t="shared" si="3"/>
        <v>51</v>
      </c>
      <c r="BH7" s="514">
        <f t="shared" si="3"/>
        <v>52</v>
      </c>
      <c r="BI7" s="514">
        <f t="shared" si="3"/>
        <v>53</v>
      </c>
      <c r="BJ7" s="514">
        <f t="shared" si="3"/>
        <v>54</v>
      </c>
      <c r="BK7" s="514">
        <f t="shared" si="3"/>
        <v>55</v>
      </c>
      <c r="BL7" s="514">
        <f t="shared" si="3"/>
        <v>56</v>
      </c>
      <c r="BM7" s="514">
        <f t="shared" si="3"/>
        <v>57</v>
      </c>
      <c r="BN7" s="514">
        <f t="shared" si="3"/>
        <v>58</v>
      </c>
      <c r="BO7" s="514">
        <f t="shared" si="3"/>
        <v>59</v>
      </c>
      <c r="BP7" s="514">
        <f t="shared" si="3"/>
        <v>60</v>
      </c>
      <c r="BQ7" s="514">
        <f t="shared" si="3"/>
        <v>61</v>
      </c>
      <c r="BR7" s="514">
        <f t="shared" si="3"/>
        <v>62</v>
      </c>
      <c r="BS7" s="514">
        <f t="shared" si="3"/>
        <v>63</v>
      </c>
      <c r="BT7" s="514">
        <f t="shared" si="3"/>
        <v>64</v>
      </c>
      <c r="BU7" s="514">
        <f t="shared" si="3"/>
        <v>65</v>
      </c>
      <c r="BV7" s="514">
        <f t="shared" si="3"/>
        <v>65</v>
      </c>
      <c r="BW7" s="514">
        <f t="shared" si="3"/>
        <v>66</v>
      </c>
      <c r="BX7" s="514">
        <f t="shared" si="3"/>
        <v>67</v>
      </c>
      <c r="BY7" s="514">
        <f t="shared" si="3"/>
        <v>68</v>
      </c>
      <c r="BZ7" s="514">
        <f t="shared" si="3"/>
        <v>69</v>
      </c>
      <c r="CA7" s="514">
        <f t="shared" si="3"/>
        <v>70</v>
      </c>
      <c r="CB7" s="514">
        <f t="shared" si="3"/>
        <v>71</v>
      </c>
      <c r="CC7" s="514">
        <f t="shared" si="3"/>
        <v>72</v>
      </c>
      <c r="CD7" s="514">
        <f t="shared" si="3"/>
        <v>73</v>
      </c>
      <c r="CE7" s="514">
        <f t="shared" si="3"/>
        <v>74</v>
      </c>
      <c r="CF7" s="514">
        <f t="shared" si="3"/>
        <v>75</v>
      </c>
      <c r="CG7" s="514">
        <f t="shared" si="3"/>
        <v>76</v>
      </c>
      <c r="CH7" s="514">
        <f t="shared" si="3"/>
        <v>77</v>
      </c>
      <c r="CI7" s="514">
        <f t="shared" si="3"/>
        <v>78</v>
      </c>
      <c r="CJ7" s="514">
        <f t="shared" si="3"/>
        <v>79</v>
      </c>
      <c r="CK7" s="514">
        <f t="shared" si="3"/>
        <v>80</v>
      </c>
      <c r="CL7" s="514">
        <f t="shared" si="3"/>
        <v>81</v>
      </c>
      <c r="CM7" s="514">
        <f t="shared" si="3"/>
        <v>82</v>
      </c>
      <c r="CN7" s="514">
        <f t="shared" si="3"/>
        <v>83</v>
      </c>
      <c r="CO7" s="514">
        <f t="shared" si="3"/>
        <v>84</v>
      </c>
      <c r="CP7" s="514">
        <f t="shared" si="3"/>
        <v>85</v>
      </c>
      <c r="CQ7" s="514">
        <f t="shared" si="3"/>
        <v>86</v>
      </c>
      <c r="CR7" s="514">
        <f t="shared" si="3"/>
        <v>87</v>
      </c>
      <c r="CS7" s="514">
        <f t="shared" si="3"/>
        <v>88</v>
      </c>
      <c r="CT7" s="514">
        <f t="shared" si="3"/>
        <v>89</v>
      </c>
      <c r="CU7" s="514">
        <f t="shared" si="3"/>
        <v>90</v>
      </c>
      <c r="CV7" s="514">
        <f t="shared" si="3"/>
        <v>91</v>
      </c>
      <c r="CW7" s="514">
        <f t="shared" si="3"/>
        <v>92</v>
      </c>
      <c r="CX7" s="514">
        <f t="shared" si="3"/>
        <v>93</v>
      </c>
      <c r="CY7" s="514">
        <f t="shared" si="3"/>
        <v>94</v>
      </c>
      <c r="CZ7" s="514">
        <f t="shared" si="3"/>
        <v>95</v>
      </c>
      <c r="DA7" s="514">
        <f t="shared" si="3"/>
        <v>96</v>
      </c>
      <c r="DB7" s="514">
        <f t="shared" si="3"/>
        <v>97</v>
      </c>
      <c r="DC7" s="514">
        <f t="shared" si="3"/>
        <v>98</v>
      </c>
      <c r="DD7" s="514">
        <f t="shared" si="3"/>
        <v>98</v>
      </c>
      <c r="DE7" s="514">
        <f t="shared" si="3"/>
        <v>99</v>
      </c>
      <c r="DF7" s="514">
        <f t="shared" si="3"/>
        <v>100</v>
      </c>
      <c r="DG7" s="514">
        <f t="shared" si="3"/>
        <v>101</v>
      </c>
      <c r="DH7" s="514">
        <f t="shared" si="3"/>
        <v>102</v>
      </c>
      <c r="DI7" s="514">
        <f t="shared" si="3"/>
        <v>103</v>
      </c>
      <c r="DJ7" s="514">
        <f t="shared" si="3"/>
        <v>104</v>
      </c>
    </row>
    <row r="8">
      <c r="A8" s="513" t="s">
        <v>1667</v>
      </c>
      <c r="B8" s="513" t="b">
        <f>and(B5,B7)</f>
        <v>0</v>
      </c>
      <c r="C8" s="513" t="s">
        <v>142</v>
      </c>
      <c r="D8" s="516" t="str">
        <f>if(B8,D5,"")</f>
        <v/>
      </c>
      <c r="E8" s="516">
        <f>E7</f>
        <v>0.9703333333</v>
      </c>
      <c r="F8" s="514">
        <f t="shared" ref="F8:DJ8" si="4">int(F$5*$E8)</f>
        <v>0</v>
      </c>
      <c r="G8" s="514">
        <f t="shared" si="4"/>
        <v>0</v>
      </c>
      <c r="H8" s="514">
        <f t="shared" si="4"/>
        <v>1</v>
      </c>
      <c r="I8" s="514">
        <f t="shared" si="4"/>
        <v>2</v>
      </c>
      <c r="J8" s="514">
        <f t="shared" si="4"/>
        <v>3</v>
      </c>
      <c r="K8" s="514">
        <f t="shared" si="4"/>
        <v>4</v>
      </c>
      <c r="L8" s="514">
        <f t="shared" si="4"/>
        <v>5</v>
      </c>
      <c r="M8" s="514">
        <f t="shared" si="4"/>
        <v>6</v>
      </c>
      <c r="N8" s="514">
        <f t="shared" si="4"/>
        <v>7</v>
      </c>
      <c r="O8" s="514">
        <f t="shared" si="4"/>
        <v>8</v>
      </c>
      <c r="P8" s="514">
        <f t="shared" si="4"/>
        <v>9</v>
      </c>
      <c r="Q8" s="514">
        <f t="shared" si="4"/>
        <v>10</v>
      </c>
      <c r="R8" s="514">
        <f t="shared" si="4"/>
        <v>11</v>
      </c>
      <c r="S8" s="514">
        <f t="shared" si="4"/>
        <v>12</v>
      </c>
      <c r="T8" s="514">
        <f t="shared" si="4"/>
        <v>13</v>
      </c>
      <c r="U8" s="514">
        <f t="shared" si="4"/>
        <v>14</v>
      </c>
      <c r="V8" s="514">
        <f t="shared" si="4"/>
        <v>15</v>
      </c>
      <c r="W8" s="514">
        <f t="shared" si="4"/>
        <v>16</v>
      </c>
      <c r="X8" s="514">
        <f t="shared" si="4"/>
        <v>17</v>
      </c>
      <c r="Y8" s="514">
        <f t="shared" si="4"/>
        <v>18</v>
      </c>
      <c r="Z8" s="514">
        <f t="shared" si="4"/>
        <v>19</v>
      </c>
      <c r="AA8" s="514">
        <f t="shared" si="4"/>
        <v>20</v>
      </c>
      <c r="AB8" s="514">
        <f t="shared" si="4"/>
        <v>21</v>
      </c>
      <c r="AC8" s="514">
        <f t="shared" si="4"/>
        <v>22</v>
      </c>
      <c r="AD8" s="514">
        <f t="shared" si="4"/>
        <v>23</v>
      </c>
      <c r="AE8" s="514">
        <f t="shared" si="4"/>
        <v>24</v>
      </c>
      <c r="AF8" s="514">
        <f t="shared" si="4"/>
        <v>25</v>
      </c>
      <c r="AG8" s="514">
        <f t="shared" si="4"/>
        <v>26</v>
      </c>
      <c r="AH8" s="514">
        <f t="shared" si="4"/>
        <v>27</v>
      </c>
      <c r="AI8" s="514">
        <f t="shared" si="4"/>
        <v>28</v>
      </c>
      <c r="AJ8" s="514">
        <f t="shared" si="4"/>
        <v>29</v>
      </c>
      <c r="AK8" s="514">
        <f t="shared" si="4"/>
        <v>30</v>
      </c>
      <c r="AL8" s="514">
        <f t="shared" si="4"/>
        <v>31</v>
      </c>
      <c r="AM8" s="514">
        <f t="shared" si="4"/>
        <v>32</v>
      </c>
      <c r="AN8" s="514">
        <f t="shared" si="4"/>
        <v>32</v>
      </c>
      <c r="AO8" s="514">
        <f t="shared" si="4"/>
        <v>33</v>
      </c>
      <c r="AP8" s="514">
        <f t="shared" si="4"/>
        <v>34</v>
      </c>
      <c r="AQ8" s="514">
        <f t="shared" si="4"/>
        <v>35</v>
      </c>
      <c r="AR8" s="514">
        <f t="shared" si="4"/>
        <v>36</v>
      </c>
      <c r="AS8" s="514">
        <f t="shared" si="4"/>
        <v>37</v>
      </c>
      <c r="AT8" s="514">
        <f t="shared" si="4"/>
        <v>38</v>
      </c>
      <c r="AU8" s="514">
        <f t="shared" si="4"/>
        <v>39</v>
      </c>
      <c r="AV8" s="514">
        <f t="shared" si="4"/>
        <v>40</v>
      </c>
      <c r="AW8" s="514">
        <f t="shared" si="4"/>
        <v>41</v>
      </c>
      <c r="AX8" s="514">
        <f t="shared" si="4"/>
        <v>42</v>
      </c>
      <c r="AY8" s="514">
        <f t="shared" si="4"/>
        <v>43</v>
      </c>
      <c r="AZ8" s="514">
        <f t="shared" si="4"/>
        <v>44</v>
      </c>
      <c r="BA8" s="514">
        <f t="shared" si="4"/>
        <v>45</v>
      </c>
      <c r="BB8" s="514">
        <f t="shared" si="4"/>
        <v>46</v>
      </c>
      <c r="BC8" s="514">
        <f t="shared" si="4"/>
        <v>47</v>
      </c>
      <c r="BD8" s="514">
        <f t="shared" si="4"/>
        <v>48</v>
      </c>
      <c r="BE8" s="514">
        <f t="shared" si="4"/>
        <v>49</v>
      </c>
      <c r="BF8" s="514">
        <f t="shared" si="4"/>
        <v>50</v>
      </c>
      <c r="BG8" s="514">
        <f t="shared" si="4"/>
        <v>51</v>
      </c>
      <c r="BH8" s="514">
        <f t="shared" si="4"/>
        <v>52</v>
      </c>
      <c r="BI8" s="514">
        <f t="shared" si="4"/>
        <v>53</v>
      </c>
      <c r="BJ8" s="514">
        <f t="shared" si="4"/>
        <v>54</v>
      </c>
      <c r="BK8" s="514">
        <f t="shared" si="4"/>
        <v>55</v>
      </c>
      <c r="BL8" s="514">
        <f t="shared" si="4"/>
        <v>56</v>
      </c>
      <c r="BM8" s="514">
        <f t="shared" si="4"/>
        <v>57</v>
      </c>
      <c r="BN8" s="514">
        <f t="shared" si="4"/>
        <v>58</v>
      </c>
      <c r="BO8" s="514">
        <f t="shared" si="4"/>
        <v>59</v>
      </c>
      <c r="BP8" s="514">
        <f t="shared" si="4"/>
        <v>60</v>
      </c>
      <c r="BQ8" s="514">
        <f t="shared" si="4"/>
        <v>61</v>
      </c>
      <c r="BR8" s="514">
        <f t="shared" si="4"/>
        <v>62</v>
      </c>
      <c r="BS8" s="514">
        <f t="shared" si="4"/>
        <v>63</v>
      </c>
      <c r="BT8" s="514">
        <f t="shared" si="4"/>
        <v>64</v>
      </c>
      <c r="BU8" s="514">
        <f t="shared" si="4"/>
        <v>65</v>
      </c>
      <c r="BV8" s="514">
        <f t="shared" si="4"/>
        <v>65</v>
      </c>
      <c r="BW8" s="514">
        <f t="shared" si="4"/>
        <v>66</v>
      </c>
      <c r="BX8" s="514">
        <f t="shared" si="4"/>
        <v>67</v>
      </c>
      <c r="BY8" s="514">
        <f t="shared" si="4"/>
        <v>68</v>
      </c>
      <c r="BZ8" s="514">
        <f t="shared" si="4"/>
        <v>69</v>
      </c>
      <c r="CA8" s="514">
        <f t="shared" si="4"/>
        <v>70</v>
      </c>
      <c r="CB8" s="514">
        <f t="shared" si="4"/>
        <v>71</v>
      </c>
      <c r="CC8" s="514">
        <f t="shared" si="4"/>
        <v>72</v>
      </c>
      <c r="CD8" s="514">
        <f t="shared" si="4"/>
        <v>73</v>
      </c>
      <c r="CE8" s="514">
        <f t="shared" si="4"/>
        <v>74</v>
      </c>
      <c r="CF8" s="514">
        <f t="shared" si="4"/>
        <v>75</v>
      </c>
      <c r="CG8" s="514">
        <f t="shared" si="4"/>
        <v>76</v>
      </c>
      <c r="CH8" s="514">
        <f t="shared" si="4"/>
        <v>77</v>
      </c>
      <c r="CI8" s="514">
        <f t="shared" si="4"/>
        <v>78</v>
      </c>
      <c r="CJ8" s="514">
        <f t="shared" si="4"/>
        <v>79</v>
      </c>
      <c r="CK8" s="514">
        <f t="shared" si="4"/>
        <v>80</v>
      </c>
      <c r="CL8" s="514">
        <f t="shared" si="4"/>
        <v>81</v>
      </c>
      <c r="CM8" s="514">
        <f t="shared" si="4"/>
        <v>82</v>
      </c>
      <c r="CN8" s="514">
        <f t="shared" si="4"/>
        <v>83</v>
      </c>
      <c r="CO8" s="514">
        <f t="shared" si="4"/>
        <v>84</v>
      </c>
      <c r="CP8" s="514">
        <f t="shared" si="4"/>
        <v>85</v>
      </c>
      <c r="CQ8" s="514">
        <f t="shared" si="4"/>
        <v>86</v>
      </c>
      <c r="CR8" s="514">
        <f t="shared" si="4"/>
        <v>87</v>
      </c>
      <c r="CS8" s="514">
        <f t="shared" si="4"/>
        <v>88</v>
      </c>
      <c r="CT8" s="514">
        <f t="shared" si="4"/>
        <v>89</v>
      </c>
      <c r="CU8" s="514">
        <f t="shared" si="4"/>
        <v>90</v>
      </c>
      <c r="CV8" s="514">
        <f t="shared" si="4"/>
        <v>91</v>
      </c>
      <c r="CW8" s="514">
        <f t="shared" si="4"/>
        <v>92</v>
      </c>
      <c r="CX8" s="514">
        <f t="shared" si="4"/>
        <v>93</v>
      </c>
      <c r="CY8" s="514">
        <f t="shared" si="4"/>
        <v>94</v>
      </c>
      <c r="CZ8" s="514">
        <f t="shared" si="4"/>
        <v>95</v>
      </c>
      <c r="DA8" s="514">
        <f t="shared" si="4"/>
        <v>96</v>
      </c>
      <c r="DB8" s="514">
        <f t="shared" si="4"/>
        <v>97</v>
      </c>
      <c r="DC8" s="514">
        <f t="shared" si="4"/>
        <v>98</v>
      </c>
      <c r="DD8" s="514">
        <f t="shared" si="4"/>
        <v>98</v>
      </c>
      <c r="DE8" s="514">
        <f t="shared" si="4"/>
        <v>99</v>
      </c>
      <c r="DF8" s="514">
        <f t="shared" si="4"/>
        <v>100</v>
      </c>
      <c r="DG8" s="514">
        <f t="shared" si="4"/>
        <v>101</v>
      </c>
      <c r="DH8" s="514">
        <f t="shared" si="4"/>
        <v>102</v>
      </c>
      <c r="DI8" s="514">
        <f t="shared" si="4"/>
        <v>103</v>
      </c>
      <c r="DJ8" s="514">
        <f t="shared" si="4"/>
        <v>104</v>
      </c>
    </row>
    <row r="9">
      <c r="A9" s="513" t="s">
        <v>1640</v>
      </c>
      <c r="B9" s="513" t="b">
        <f t="shared" ref="B9:B16" si="6">B7</f>
        <v>0</v>
      </c>
      <c r="C9" s="513" t="s">
        <v>143</v>
      </c>
      <c r="D9" s="516">
        <f>if(B10,0.25,if(B9,1,0))</f>
        <v>0</v>
      </c>
      <c r="E9" s="516">
        <f>1-'Sheet 1'!I51/3000</f>
        <v>0.9753333333</v>
      </c>
      <c r="F9" s="514">
        <f t="shared" ref="F9:DJ9" si="5">int(F$1*$E9)</f>
        <v>0</v>
      </c>
      <c r="G9" s="514">
        <f t="shared" si="5"/>
        <v>0</v>
      </c>
      <c r="H9" s="514">
        <f t="shared" si="5"/>
        <v>1</v>
      </c>
      <c r="I9" s="514">
        <f t="shared" si="5"/>
        <v>2</v>
      </c>
      <c r="J9" s="514">
        <f t="shared" si="5"/>
        <v>3</v>
      </c>
      <c r="K9" s="514">
        <f t="shared" si="5"/>
        <v>4</v>
      </c>
      <c r="L9" s="514">
        <f t="shared" si="5"/>
        <v>5</v>
      </c>
      <c r="M9" s="514">
        <f t="shared" si="5"/>
        <v>6</v>
      </c>
      <c r="N9" s="514">
        <f t="shared" si="5"/>
        <v>7</v>
      </c>
      <c r="O9" s="514">
        <f t="shared" si="5"/>
        <v>8</v>
      </c>
      <c r="P9" s="514">
        <f t="shared" si="5"/>
        <v>9</v>
      </c>
      <c r="Q9" s="514">
        <f t="shared" si="5"/>
        <v>10</v>
      </c>
      <c r="R9" s="514">
        <f t="shared" si="5"/>
        <v>11</v>
      </c>
      <c r="S9" s="514">
        <f t="shared" si="5"/>
        <v>12</v>
      </c>
      <c r="T9" s="514">
        <f t="shared" si="5"/>
        <v>13</v>
      </c>
      <c r="U9" s="514">
        <f t="shared" si="5"/>
        <v>14</v>
      </c>
      <c r="V9" s="514">
        <f t="shared" si="5"/>
        <v>15</v>
      </c>
      <c r="W9" s="514">
        <f t="shared" si="5"/>
        <v>16</v>
      </c>
      <c r="X9" s="514">
        <f t="shared" si="5"/>
        <v>17</v>
      </c>
      <c r="Y9" s="514">
        <f t="shared" si="5"/>
        <v>18</v>
      </c>
      <c r="Z9" s="514">
        <f t="shared" si="5"/>
        <v>19</v>
      </c>
      <c r="AA9" s="514">
        <f t="shared" si="5"/>
        <v>20</v>
      </c>
      <c r="AB9" s="514">
        <f t="shared" si="5"/>
        <v>21</v>
      </c>
      <c r="AC9" s="514">
        <f t="shared" si="5"/>
        <v>22</v>
      </c>
      <c r="AD9" s="514">
        <f t="shared" si="5"/>
        <v>23</v>
      </c>
      <c r="AE9" s="514">
        <f t="shared" si="5"/>
        <v>24</v>
      </c>
      <c r="AF9" s="514">
        <f t="shared" si="5"/>
        <v>25</v>
      </c>
      <c r="AG9" s="514">
        <f t="shared" si="5"/>
        <v>26</v>
      </c>
      <c r="AH9" s="514">
        <f t="shared" si="5"/>
        <v>27</v>
      </c>
      <c r="AI9" s="514">
        <f t="shared" si="5"/>
        <v>28</v>
      </c>
      <c r="AJ9" s="514">
        <f t="shared" si="5"/>
        <v>29</v>
      </c>
      <c r="AK9" s="514">
        <f t="shared" si="5"/>
        <v>30</v>
      </c>
      <c r="AL9" s="514">
        <f t="shared" si="5"/>
        <v>31</v>
      </c>
      <c r="AM9" s="514">
        <f t="shared" si="5"/>
        <v>32</v>
      </c>
      <c r="AN9" s="514">
        <f t="shared" si="5"/>
        <v>33</v>
      </c>
      <c r="AO9" s="514">
        <f t="shared" si="5"/>
        <v>34</v>
      </c>
      <c r="AP9" s="514">
        <f t="shared" si="5"/>
        <v>35</v>
      </c>
      <c r="AQ9" s="514">
        <f t="shared" si="5"/>
        <v>36</v>
      </c>
      <c r="AR9" s="514">
        <f t="shared" si="5"/>
        <v>37</v>
      </c>
      <c r="AS9" s="514">
        <f t="shared" si="5"/>
        <v>38</v>
      </c>
      <c r="AT9" s="514">
        <f t="shared" si="5"/>
        <v>39</v>
      </c>
      <c r="AU9" s="514">
        <f t="shared" si="5"/>
        <v>39</v>
      </c>
      <c r="AV9" s="514">
        <f t="shared" si="5"/>
        <v>40</v>
      </c>
      <c r="AW9" s="514">
        <f t="shared" si="5"/>
        <v>41</v>
      </c>
      <c r="AX9" s="514">
        <f t="shared" si="5"/>
        <v>42</v>
      </c>
      <c r="AY9" s="514">
        <f t="shared" si="5"/>
        <v>43</v>
      </c>
      <c r="AZ9" s="514">
        <f t="shared" si="5"/>
        <v>44</v>
      </c>
      <c r="BA9" s="514">
        <f t="shared" si="5"/>
        <v>45</v>
      </c>
      <c r="BB9" s="514">
        <f t="shared" si="5"/>
        <v>46</v>
      </c>
      <c r="BC9" s="514">
        <f t="shared" si="5"/>
        <v>47</v>
      </c>
      <c r="BD9" s="514">
        <f t="shared" si="5"/>
        <v>48</v>
      </c>
      <c r="BE9" s="514">
        <f t="shared" si="5"/>
        <v>49</v>
      </c>
      <c r="BF9" s="514">
        <f t="shared" si="5"/>
        <v>50</v>
      </c>
      <c r="BG9" s="514">
        <f t="shared" si="5"/>
        <v>51</v>
      </c>
      <c r="BH9" s="514">
        <f t="shared" si="5"/>
        <v>52</v>
      </c>
      <c r="BI9" s="514">
        <f t="shared" si="5"/>
        <v>53</v>
      </c>
      <c r="BJ9" s="514">
        <f t="shared" si="5"/>
        <v>54</v>
      </c>
      <c r="BK9" s="514">
        <f t="shared" si="5"/>
        <v>55</v>
      </c>
      <c r="BL9" s="514">
        <f t="shared" si="5"/>
        <v>56</v>
      </c>
      <c r="BM9" s="514">
        <f t="shared" si="5"/>
        <v>57</v>
      </c>
      <c r="BN9" s="514">
        <f t="shared" si="5"/>
        <v>58</v>
      </c>
      <c r="BO9" s="514">
        <f t="shared" si="5"/>
        <v>59</v>
      </c>
      <c r="BP9" s="514">
        <f t="shared" si="5"/>
        <v>60</v>
      </c>
      <c r="BQ9" s="514">
        <f t="shared" si="5"/>
        <v>61</v>
      </c>
      <c r="BR9" s="514">
        <f t="shared" si="5"/>
        <v>62</v>
      </c>
      <c r="BS9" s="514">
        <f t="shared" si="5"/>
        <v>63</v>
      </c>
      <c r="BT9" s="514">
        <f t="shared" si="5"/>
        <v>64</v>
      </c>
      <c r="BU9" s="514">
        <f t="shared" si="5"/>
        <v>65</v>
      </c>
      <c r="BV9" s="514">
        <f t="shared" si="5"/>
        <v>66</v>
      </c>
      <c r="BW9" s="514">
        <f t="shared" si="5"/>
        <v>67</v>
      </c>
      <c r="BX9" s="514">
        <f t="shared" si="5"/>
        <v>68</v>
      </c>
      <c r="BY9" s="514">
        <f t="shared" si="5"/>
        <v>69</v>
      </c>
      <c r="BZ9" s="514">
        <f t="shared" si="5"/>
        <v>70</v>
      </c>
      <c r="CA9" s="514">
        <f t="shared" si="5"/>
        <v>71</v>
      </c>
      <c r="CB9" s="514">
        <f t="shared" si="5"/>
        <v>72</v>
      </c>
      <c r="CC9" s="514">
        <f t="shared" si="5"/>
        <v>73</v>
      </c>
      <c r="CD9" s="514">
        <f t="shared" si="5"/>
        <v>74</v>
      </c>
      <c r="CE9" s="514">
        <f t="shared" si="5"/>
        <v>75</v>
      </c>
      <c r="CF9" s="514">
        <f t="shared" si="5"/>
        <v>76</v>
      </c>
      <c r="CG9" s="514">
        <f t="shared" si="5"/>
        <v>77</v>
      </c>
      <c r="CH9" s="514">
        <f t="shared" si="5"/>
        <v>78</v>
      </c>
      <c r="CI9" s="514">
        <f t="shared" si="5"/>
        <v>79</v>
      </c>
      <c r="CJ9" s="514">
        <f t="shared" si="5"/>
        <v>79</v>
      </c>
      <c r="CK9" s="514">
        <f t="shared" si="5"/>
        <v>80</v>
      </c>
      <c r="CL9" s="514">
        <f t="shared" si="5"/>
        <v>81</v>
      </c>
      <c r="CM9" s="514">
        <f t="shared" si="5"/>
        <v>82</v>
      </c>
      <c r="CN9" s="514">
        <f t="shared" si="5"/>
        <v>83</v>
      </c>
      <c r="CO9" s="514">
        <f t="shared" si="5"/>
        <v>84</v>
      </c>
      <c r="CP9" s="514">
        <f t="shared" si="5"/>
        <v>85</v>
      </c>
      <c r="CQ9" s="514">
        <f t="shared" si="5"/>
        <v>86</v>
      </c>
      <c r="CR9" s="514">
        <f t="shared" si="5"/>
        <v>87</v>
      </c>
      <c r="CS9" s="514">
        <f t="shared" si="5"/>
        <v>88</v>
      </c>
      <c r="CT9" s="514">
        <f t="shared" si="5"/>
        <v>89</v>
      </c>
      <c r="CU9" s="514">
        <f t="shared" si="5"/>
        <v>90</v>
      </c>
      <c r="CV9" s="514">
        <f t="shared" si="5"/>
        <v>91</v>
      </c>
      <c r="CW9" s="514">
        <f t="shared" si="5"/>
        <v>92</v>
      </c>
      <c r="CX9" s="514">
        <f t="shared" si="5"/>
        <v>93</v>
      </c>
      <c r="CY9" s="514">
        <f t="shared" si="5"/>
        <v>94</v>
      </c>
      <c r="CZ9" s="514">
        <f t="shared" si="5"/>
        <v>95</v>
      </c>
      <c r="DA9" s="514">
        <f t="shared" si="5"/>
        <v>96</v>
      </c>
      <c r="DB9" s="514">
        <f t="shared" si="5"/>
        <v>97</v>
      </c>
      <c r="DC9" s="514">
        <f t="shared" si="5"/>
        <v>98</v>
      </c>
      <c r="DD9" s="514">
        <f t="shared" si="5"/>
        <v>99</v>
      </c>
      <c r="DE9" s="514">
        <f t="shared" si="5"/>
        <v>100</v>
      </c>
      <c r="DF9" s="514">
        <f t="shared" si="5"/>
        <v>101</v>
      </c>
      <c r="DG9" s="514">
        <f t="shared" si="5"/>
        <v>102</v>
      </c>
      <c r="DH9" s="514">
        <f t="shared" si="5"/>
        <v>103</v>
      </c>
      <c r="DI9" s="514">
        <f t="shared" si="5"/>
        <v>104</v>
      </c>
      <c r="DJ9" s="514">
        <f t="shared" si="5"/>
        <v>105</v>
      </c>
    </row>
    <row r="10">
      <c r="A10" s="513" t="s">
        <v>1667</v>
      </c>
      <c r="B10" s="513" t="b">
        <f t="shared" si="6"/>
        <v>0</v>
      </c>
      <c r="C10" s="513" t="s">
        <v>143</v>
      </c>
      <c r="D10" s="516" t="str">
        <f>D8</f>
        <v/>
      </c>
      <c r="E10" s="516">
        <f>E9</f>
        <v>0.9753333333</v>
      </c>
      <c r="F10" s="514">
        <f t="shared" ref="F10:DJ10" si="7">int(F$5*$E10)</f>
        <v>0</v>
      </c>
      <c r="G10" s="514">
        <f t="shared" si="7"/>
        <v>0</v>
      </c>
      <c r="H10" s="514">
        <f t="shared" si="7"/>
        <v>1</v>
      </c>
      <c r="I10" s="514">
        <f t="shared" si="7"/>
        <v>2</v>
      </c>
      <c r="J10" s="514">
        <f t="shared" si="7"/>
        <v>3</v>
      </c>
      <c r="K10" s="514">
        <f t="shared" si="7"/>
        <v>4</v>
      </c>
      <c r="L10" s="514">
        <f t="shared" si="7"/>
        <v>5</v>
      </c>
      <c r="M10" s="514">
        <f t="shared" si="7"/>
        <v>6</v>
      </c>
      <c r="N10" s="514">
        <f t="shared" si="7"/>
        <v>7</v>
      </c>
      <c r="O10" s="514">
        <f t="shared" si="7"/>
        <v>8</v>
      </c>
      <c r="P10" s="514">
        <f t="shared" si="7"/>
        <v>9</v>
      </c>
      <c r="Q10" s="514">
        <f t="shared" si="7"/>
        <v>10</v>
      </c>
      <c r="R10" s="514">
        <f t="shared" si="7"/>
        <v>11</v>
      </c>
      <c r="S10" s="514">
        <f t="shared" si="7"/>
        <v>12</v>
      </c>
      <c r="T10" s="514">
        <f t="shared" si="7"/>
        <v>13</v>
      </c>
      <c r="U10" s="514">
        <f t="shared" si="7"/>
        <v>14</v>
      </c>
      <c r="V10" s="514">
        <f t="shared" si="7"/>
        <v>15</v>
      </c>
      <c r="W10" s="514">
        <f t="shared" si="7"/>
        <v>16</v>
      </c>
      <c r="X10" s="514">
        <f t="shared" si="7"/>
        <v>17</v>
      </c>
      <c r="Y10" s="514">
        <f t="shared" si="7"/>
        <v>18</v>
      </c>
      <c r="Z10" s="514">
        <f t="shared" si="7"/>
        <v>19</v>
      </c>
      <c r="AA10" s="514">
        <f t="shared" si="7"/>
        <v>20</v>
      </c>
      <c r="AB10" s="514">
        <f t="shared" si="7"/>
        <v>21</v>
      </c>
      <c r="AC10" s="514">
        <f t="shared" si="7"/>
        <v>22</v>
      </c>
      <c r="AD10" s="514">
        <f t="shared" si="7"/>
        <v>23</v>
      </c>
      <c r="AE10" s="514">
        <f t="shared" si="7"/>
        <v>24</v>
      </c>
      <c r="AF10" s="514">
        <f t="shared" si="7"/>
        <v>25</v>
      </c>
      <c r="AG10" s="514">
        <f t="shared" si="7"/>
        <v>26</v>
      </c>
      <c r="AH10" s="514">
        <f t="shared" si="7"/>
        <v>27</v>
      </c>
      <c r="AI10" s="514">
        <f t="shared" si="7"/>
        <v>28</v>
      </c>
      <c r="AJ10" s="514">
        <f t="shared" si="7"/>
        <v>29</v>
      </c>
      <c r="AK10" s="514">
        <f t="shared" si="7"/>
        <v>30</v>
      </c>
      <c r="AL10" s="514">
        <f t="shared" si="7"/>
        <v>31</v>
      </c>
      <c r="AM10" s="514">
        <f t="shared" si="7"/>
        <v>32</v>
      </c>
      <c r="AN10" s="514">
        <f t="shared" si="7"/>
        <v>33</v>
      </c>
      <c r="AO10" s="514">
        <f t="shared" si="7"/>
        <v>34</v>
      </c>
      <c r="AP10" s="514">
        <f t="shared" si="7"/>
        <v>35</v>
      </c>
      <c r="AQ10" s="514">
        <f t="shared" si="7"/>
        <v>36</v>
      </c>
      <c r="AR10" s="514">
        <f t="shared" si="7"/>
        <v>37</v>
      </c>
      <c r="AS10" s="514">
        <f t="shared" si="7"/>
        <v>38</v>
      </c>
      <c r="AT10" s="514">
        <f t="shared" si="7"/>
        <v>39</v>
      </c>
      <c r="AU10" s="514">
        <f t="shared" si="7"/>
        <v>39</v>
      </c>
      <c r="AV10" s="514">
        <f t="shared" si="7"/>
        <v>40</v>
      </c>
      <c r="AW10" s="514">
        <f t="shared" si="7"/>
        <v>41</v>
      </c>
      <c r="AX10" s="514">
        <f t="shared" si="7"/>
        <v>42</v>
      </c>
      <c r="AY10" s="514">
        <f t="shared" si="7"/>
        <v>43</v>
      </c>
      <c r="AZ10" s="514">
        <f t="shared" si="7"/>
        <v>44</v>
      </c>
      <c r="BA10" s="514">
        <f t="shared" si="7"/>
        <v>45</v>
      </c>
      <c r="BB10" s="514">
        <f t="shared" si="7"/>
        <v>46</v>
      </c>
      <c r="BC10" s="514">
        <f t="shared" si="7"/>
        <v>47</v>
      </c>
      <c r="BD10" s="514">
        <f t="shared" si="7"/>
        <v>48</v>
      </c>
      <c r="BE10" s="514">
        <f t="shared" si="7"/>
        <v>49</v>
      </c>
      <c r="BF10" s="514">
        <f t="shared" si="7"/>
        <v>50</v>
      </c>
      <c r="BG10" s="514">
        <f t="shared" si="7"/>
        <v>51</v>
      </c>
      <c r="BH10" s="514">
        <f t="shared" si="7"/>
        <v>52</v>
      </c>
      <c r="BI10" s="514">
        <f t="shared" si="7"/>
        <v>53</v>
      </c>
      <c r="BJ10" s="514">
        <f t="shared" si="7"/>
        <v>54</v>
      </c>
      <c r="BK10" s="514">
        <f t="shared" si="7"/>
        <v>55</v>
      </c>
      <c r="BL10" s="514">
        <f t="shared" si="7"/>
        <v>56</v>
      </c>
      <c r="BM10" s="514">
        <f t="shared" si="7"/>
        <v>57</v>
      </c>
      <c r="BN10" s="514">
        <f t="shared" si="7"/>
        <v>58</v>
      </c>
      <c r="BO10" s="514">
        <f t="shared" si="7"/>
        <v>59</v>
      </c>
      <c r="BP10" s="514">
        <f t="shared" si="7"/>
        <v>60</v>
      </c>
      <c r="BQ10" s="514">
        <f t="shared" si="7"/>
        <v>61</v>
      </c>
      <c r="BR10" s="514">
        <f t="shared" si="7"/>
        <v>62</v>
      </c>
      <c r="BS10" s="514">
        <f t="shared" si="7"/>
        <v>63</v>
      </c>
      <c r="BT10" s="514">
        <f t="shared" si="7"/>
        <v>64</v>
      </c>
      <c r="BU10" s="514">
        <f t="shared" si="7"/>
        <v>65</v>
      </c>
      <c r="BV10" s="514">
        <f t="shared" si="7"/>
        <v>66</v>
      </c>
      <c r="BW10" s="514">
        <f t="shared" si="7"/>
        <v>67</v>
      </c>
      <c r="BX10" s="514">
        <f t="shared" si="7"/>
        <v>68</v>
      </c>
      <c r="BY10" s="514">
        <f t="shared" si="7"/>
        <v>69</v>
      </c>
      <c r="BZ10" s="514">
        <f t="shared" si="7"/>
        <v>70</v>
      </c>
      <c r="CA10" s="514">
        <f t="shared" si="7"/>
        <v>71</v>
      </c>
      <c r="CB10" s="514">
        <f t="shared" si="7"/>
        <v>72</v>
      </c>
      <c r="CC10" s="514">
        <f t="shared" si="7"/>
        <v>73</v>
      </c>
      <c r="CD10" s="514">
        <f t="shared" si="7"/>
        <v>74</v>
      </c>
      <c r="CE10" s="514">
        <f t="shared" si="7"/>
        <v>75</v>
      </c>
      <c r="CF10" s="514">
        <f t="shared" si="7"/>
        <v>76</v>
      </c>
      <c r="CG10" s="514">
        <f t="shared" si="7"/>
        <v>77</v>
      </c>
      <c r="CH10" s="514">
        <f t="shared" si="7"/>
        <v>78</v>
      </c>
      <c r="CI10" s="514">
        <f t="shared" si="7"/>
        <v>79</v>
      </c>
      <c r="CJ10" s="514">
        <f t="shared" si="7"/>
        <v>79</v>
      </c>
      <c r="CK10" s="514">
        <f t="shared" si="7"/>
        <v>80</v>
      </c>
      <c r="CL10" s="514">
        <f t="shared" si="7"/>
        <v>81</v>
      </c>
      <c r="CM10" s="514">
        <f t="shared" si="7"/>
        <v>82</v>
      </c>
      <c r="CN10" s="514">
        <f t="shared" si="7"/>
        <v>83</v>
      </c>
      <c r="CO10" s="514">
        <f t="shared" si="7"/>
        <v>84</v>
      </c>
      <c r="CP10" s="514">
        <f t="shared" si="7"/>
        <v>85</v>
      </c>
      <c r="CQ10" s="514">
        <f t="shared" si="7"/>
        <v>86</v>
      </c>
      <c r="CR10" s="514">
        <f t="shared" si="7"/>
        <v>87</v>
      </c>
      <c r="CS10" s="514">
        <f t="shared" si="7"/>
        <v>88</v>
      </c>
      <c r="CT10" s="514">
        <f t="shared" si="7"/>
        <v>89</v>
      </c>
      <c r="CU10" s="514">
        <f t="shared" si="7"/>
        <v>90</v>
      </c>
      <c r="CV10" s="514">
        <f t="shared" si="7"/>
        <v>91</v>
      </c>
      <c r="CW10" s="514">
        <f t="shared" si="7"/>
        <v>92</v>
      </c>
      <c r="CX10" s="514">
        <f t="shared" si="7"/>
        <v>93</v>
      </c>
      <c r="CY10" s="514">
        <f t="shared" si="7"/>
        <v>94</v>
      </c>
      <c r="CZ10" s="514">
        <f t="shared" si="7"/>
        <v>95</v>
      </c>
      <c r="DA10" s="514">
        <f t="shared" si="7"/>
        <v>96</v>
      </c>
      <c r="DB10" s="514">
        <f t="shared" si="7"/>
        <v>97</v>
      </c>
      <c r="DC10" s="514">
        <f t="shared" si="7"/>
        <v>98</v>
      </c>
      <c r="DD10" s="514">
        <f t="shared" si="7"/>
        <v>99</v>
      </c>
      <c r="DE10" s="514">
        <f t="shared" si="7"/>
        <v>100</v>
      </c>
      <c r="DF10" s="514">
        <f t="shared" si="7"/>
        <v>101</v>
      </c>
      <c r="DG10" s="514">
        <f t="shared" si="7"/>
        <v>102</v>
      </c>
      <c r="DH10" s="514">
        <f t="shared" si="7"/>
        <v>103</v>
      </c>
      <c r="DI10" s="514">
        <f t="shared" si="7"/>
        <v>104</v>
      </c>
      <c r="DJ10" s="514">
        <f t="shared" si="7"/>
        <v>105</v>
      </c>
    </row>
    <row r="11">
      <c r="A11" s="513" t="s">
        <v>1640</v>
      </c>
      <c r="B11" s="513" t="b">
        <f t="shared" si="6"/>
        <v>0</v>
      </c>
      <c r="C11" s="513" t="s">
        <v>144</v>
      </c>
      <c r="D11" s="516">
        <f>if(B12,0.25,if(B11,1,0))</f>
        <v>0</v>
      </c>
      <c r="E11" s="516">
        <f>1-'Sheet 1'!J51/3000</f>
        <v>0.966</v>
      </c>
      <c r="F11" s="514">
        <f t="shared" ref="F11:DJ11" si="8">int(F$1*$E11)</f>
        <v>0</v>
      </c>
      <c r="G11" s="514">
        <f t="shared" si="8"/>
        <v>0</v>
      </c>
      <c r="H11" s="514">
        <f t="shared" si="8"/>
        <v>1</v>
      </c>
      <c r="I11" s="514">
        <f t="shared" si="8"/>
        <v>2</v>
      </c>
      <c r="J11" s="514">
        <f t="shared" si="8"/>
        <v>3</v>
      </c>
      <c r="K11" s="514">
        <f t="shared" si="8"/>
        <v>4</v>
      </c>
      <c r="L11" s="514">
        <f t="shared" si="8"/>
        <v>5</v>
      </c>
      <c r="M11" s="514">
        <f t="shared" si="8"/>
        <v>6</v>
      </c>
      <c r="N11" s="514">
        <f t="shared" si="8"/>
        <v>7</v>
      </c>
      <c r="O11" s="514">
        <f t="shared" si="8"/>
        <v>8</v>
      </c>
      <c r="P11" s="514">
        <f t="shared" si="8"/>
        <v>9</v>
      </c>
      <c r="Q11" s="514">
        <f t="shared" si="8"/>
        <v>10</v>
      </c>
      <c r="R11" s="514">
        <f t="shared" si="8"/>
        <v>11</v>
      </c>
      <c r="S11" s="514">
        <f t="shared" si="8"/>
        <v>12</v>
      </c>
      <c r="T11" s="514">
        <f t="shared" si="8"/>
        <v>13</v>
      </c>
      <c r="U11" s="514">
        <f t="shared" si="8"/>
        <v>14</v>
      </c>
      <c r="V11" s="514">
        <f t="shared" si="8"/>
        <v>15</v>
      </c>
      <c r="W11" s="514">
        <f t="shared" si="8"/>
        <v>16</v>
      </c>
      <c r="X11" s="514">
        <f t="shared" si="8"/>
        <v>17</v>
      </c>
      <c r="Y11" s="514">
        <f t="shared" si="8"/>
        <v>18</v>
      </c>
      <c r="Z11" s="514">
        <f t="shared" si="8"/>
        <v>19</v>
      </c>
      <c r="AA11" s="514">
        <f t="shared" si="8"/>
        <v>20</v>
      </c>
      <c r="AB11" s="514">
        <f t="shared" si="8"/>
        <v>21</v>
      </c>
      <c r="AC11" s="514">
        <f t="shared" si="8"/>
        <v>22</v>
      </c>
      <c r="AD11" s="514">
        <f t="shared" si="8"/>
        <v>23</v>
      </c>
      <c r="AE11" s="514">
        <f t="shared" si="8"/>
        <v>24</v>
      </c>
      <c r="AF11" s="514">
        <f t="shared" si="8"/>
        <v>25</v>
      </c>
      <c r="AG11" s="514">
        <f t="shared" si="8"/>
        <v>26</v>
      </c>
      <c r="AH11" s="514">
        <f t="shared" si="8"/>
        <v>27</v>
      </c>
      <c r="AI11" s="514">
        <f t="shared" si="8"/>
        <v>28</v>
      </c>
      <c r="AJ11" s="514">
        <f t="shared" si="8"/>
        <v>28</v>
      </c>
      <c r="AK11" s="514">
        <f t="shared" si="8"/>
        <v>29</v>
      </c>
      <c r="AL11" s="514">
        <f t="shared" si="8"/>
        <v>30</v>
      </c>
      <c r="AM11" s="514">
        <f t="shared" si="8"/>
        <v>31</v>
      </c>
      <c r="AN11" s="514">
        <f t="shared" si="8"/>
        <v>32</v>
      </c>
      <c r="AO11" s="514">
        <f t="shared" si="8"/>
        <v>33</v>
      </c>
      <c r="AP11" s="514">
        <f t="shared" si="8"/>
        <v>34</v>
      </c>
      <c r="AQ11" s="514">
        <f t="shared" si="8"/>
        <v>35</v>
      </c>
      <c r="AR11" s="514">
        <f t="shared" si="8"/>
        <v>36</v>
      </c>
      <c r="AS11" s="514">
        <f t="shared" si="8"/>
        <v>37</v>
      </c>
      <c r="AT11" s="514">
        <f t="shared" si="8"/>
        <v>38</v>
      </c>
      <c r="AU11" s="514">
        <f t="shared" si="8"/>
        <v>39</v>
      </c>
      <c r="AV11" s="514">
        <f t="shared" si="8"/>
        <v>40</v>
      </c>
      <c r="AW11" s="514">
        <f t="shared" si="8"/>
        <v>41</v>
      </c>
      <c r="AX11" s="514">
        <f t="shared" si="8"/>
        <v>42</v>
      </c>
      <c r="AY11" s="514">
        <f t="shared" si="8"/>
        <v>43</v>
      </c>
      <c r="AZ11" s="514">
        <f t="shared" si="8"/>
        <v>44</v>
      </c>
      <c r="BA11" s="514">
        <f t="shared" si="8"/>
        <v>45</v>
      </c>
      <c r="BB11" s="514">
        <f t="shared" si="8"/>
        <v>46</v>
      </c>
      <c r="BC11" s="514">
        <f t="shared" si="8"/>
        <v>47</v>
      </c>
      <c r="BD11" s="514">
        <f t="shared" si="8"/>
        <v>48</v>
      </c>
      <c r="BE11" s="514">
        <f t="shared" si="8"/>
        <v>49</v>
      </c>
      <c r="BF11" s="514">
        <f t="shared" si="8"/>
        <v>50</v>
      </c>
      <c r="BG11" s="514">
        <f t="shared" si="8"/>
        <v>51</v>
      </c>
      <c r="BH11" s="514">
        <f t="shared" si="8"/>
        <v>52</v>
      </c>
      <c r="BI11" s="514">
        <f t="shared" si="8"/>
        <v>53</v>
      </c>
      <c r="BJ11" s="514">
        <f t="shared" si="8"/>
        <v>54</v>
      </c>
      <c r="BK11" s="514">
        <f t="shared" si="8"/>
        <v>55</v>
      </c>
      <c r="BL11" s="514">
        <f t="shared" si="8"/>
        <v>56</v>
      </c>
      <c r="BM11" s="514">
        <f t="shared" si="8"/>
        <v>56</v>
      </c>
      <c r="BN11" s="514">
        <f t="shared" si="8"/>
        <v>57</v>
      </c>
      <c r="BO11" s="514">
        <f t="shared" si="8"/>
        <v>58</v>
      </c>
      <c r="BP11" s="514">
        <f t="shared" si="8"/>
        <v>59</v>
      </c>
      <c r="BQ11" s="514">
        <f t="shared" si="8"/>
        <v>60</v>
      </c>
      <c r="BR11" s="514">
        <f t="shared" si="8"/>
        <v>61</v>
      </c>
      <c r="BS11" s="514">
        <f t="shared" si="8"/>
        <v>62</v>
      </c>
      <c r="BT11" s="514">
        <f t="shared" si="8"/>
        <v>63</v>
      </c>
      <c r="BU11" s="514">
        <f t="shared" si="8"/>
        <v>64</v>
      </c>
      <c r="BV11" s="514">
        <f t="shared" si="8"/>
        <v>65</v>
      </c>
      <c r="BW11" s="514">
        <f t="shared" si="8"/>
        <v>66</v>
      </c>
      <c r="BX11" s="514">
        <f t="shared" si="8"/>
        <v>67</v>
      </c>
      <c r="BY11" s="514">
        <f t="shared" si="8"/>
        <v>68</v>
      </c>
      <c r="BZ11" s="514">
        <f t="shared" si="8"/>
        <v>69</v>
      </c>
      <c r="CA11" s="514">
        <f t="shared" si="8"/>
        <v>70</v>
      </c>
      <c r="CB11" s="514">
        <f t="shared" si="8"/>
        <v>71</v>
      </c>
      <c r="CC11" s="514">
        <f t="shared" si="8"/>
        <v>72</v>
      </c>
      <c r="CD11" s="514">
        <f t="shared" si="8"/>
        <v>73</v>
      </c>
      <c r="CE11" s="514">
        <f t="shared" si="8"/>
        <v>74</v>
      </c>
      <c r="CF11" s="514">
        <f t="shared" si="8"/>
        <v>75</v>
      </c>
      <c r="CG11" s="514">
        <f t="shared" si="8"/>
        <v>76</v>
      </c>
      <c r="CH11" s="514">
        <f t="shared" si="8"/>
        <v>77</v>
      </c>
      <c r="CI11" s="514">
        <f t="shared" si="8"/>
        <v>78</v>
      </c>
      <c r="CJ11" s="514">
        <f t="shared" si="8"/>
        <v>79</v>
      </c>
      <c r="CK11" s="514">
        <f t="shared" si="8"/>
        <v>80</v>
      </c>
      <c r="CL11" s="514">
        <f t="shared" si="8"/>
        <v>81</v>
      </c>
      <c r="CM11" s="514">
        <f t="shared" si="8"/>
        <v>82</v>
      </c>
      <c r="CN11" s="514">
        <f t="shared" si="8"/>
        <v>83</v>
      </c>
      <c r="CO11" s="514">
        <f t="shared" si="8"/>
        <v>84</v>
      </c>
      <c r="CP11" s="514">
        <f t="shared" si="8"/>
        <v>85</v>
      </c>
      <c r="CQ11" s="514">
        <f t="shared" si="8"/>
        <v>85</v>
      </c>
      <c r="CR11" s="514">
        <f t="shared" si="8"/>
        <v>86</v>
      </c>
      <c r="CS11" s="514">
        <f t="shared" si="8"/>
        <v>87</v>
      </c>
      <c r="CT11" s="514">
        <f t="shared" si="8"/>
        <v>88</v>
      </c>
      <c r="CU11" s="514">
        <f t="shared" si="8"/>
        <v>89</v>
      </c>
      <c r="CV11" s="514">
        <f t="shared" si="8"/>
        <v>90</v>
      </c>
      <c r="CW11" s="514">
        <f t="shared" si="8"/>
        <v>91</v>
      </c>
      <c r="CX11" s="514">
        <f t="shared" si="8"/>
        <v>92</v>
      </c>
      <c r="CY11" s="514">
        <f t="shared" si="8"/>
        <v>93</v>
      </c>
      <c r="CZ11" s="514">
        <f t="shared" si="8"/>
        <v>94</v>
      </c>
      <c r="DA11" s="514">
        <f t="shared" si="8"/>
        <v>95</v>
      </c>
      <c r="DB11" s="514">
        <f t="shared" si="8"/>
        <v>96</v>
      </c>
      <c r="DC11" s="514">
        <f t="shared" si="8"/>
        <v>97</v>
      </c>
      <c r="DD11" s="514">
        <f t="shared" si="8"/>
        <v>98</v>
      </c>
      <c r="DE11" s="514">
        <f t="shared" si="8"/>
        <v>99</v>
      </c>
      <c r="DF11" s="514">
        <f t="shared" si="8"/>
        <v>100</v>
      </c>
      <c r="DG11" s="514">
        <f t="shared" si="8"/>
        <v>101</v>
      </c>
      <c r="DH11" s="514">
        <f t="shared" si="8"/>
        <v>102</v>
      </c>
      <c r="DI11" s="514">
        <f t="shared" si="8"/>
        <v>103</v>
      </c>
      <c r="DJ11" s="514">
        <f t="shared" si="8"/>
        <v>104</v>
      </c>
    </row>
    <row r="12">
      <c r="A12" s="513" t="s">
        <v>1667</v>
      </c>
      <c r="B12" s="513" t="b">
        <f t="shared" si="6"/>
        <v>0</v>
      </c>
      <c r="C12" s="513" t="s">
        <v>144</v>
      </c>
      <c r="D12" s="516" t="str">
        <f>D10</f>
        <v/>
      </c>
      <c r="E12" s="516">
        <f>E11</f>
        <v>0.966</v>
      </c>
      <c r="F12" s="514">
        <f t="shared" ref="F12:DJ12" si="9">int(F$5*$E12)</f>
        <v>0</v>
      </c>
      <c r="G12" s="514">
        <f t="shared" si="9"/>
        <v>0</v>
      </c>
      <c r="H12" s="514">
        <f t="shared" si="9"/>
        <v>1</v>
      </c>
      <c r="I12" s="514">
        <f t="shared" si="9"/>
        <v>2</v>
      </c>
      <c r="J12" s="514">
        <f t="shared" si="9"/>
        <v>3</v>
      </c>
      <c r="K12" s="514">
        <f t="shared" si="9"/>
        <v>4</v>
      </c>
      <c r="L12" s="514">
        <f t="shared" si="9"/>
        <v>5</v>
      </c>
      <c r="M12" s="514">
        <f t="shared" si="9"/>
        <v>6</v>
      </c>
      <c r="N12" s="514">
        <f t="shared" si="9"/>
        <v>7</v>
      </c>
      <c r="O12" s="514">
        <f t="shared" si="9"/>
        <v>8</v>
      </c>
      <c r="P12" s="514">
        <f t="shared" si="9"/>
        <v>9</v>
      </c>
      <c r="Q12" s="514">
        <f t="shared" si="9"/>
        <v>10</v>
      </c>
      <c r="R12" s="514">
        <f t="shared" si="9"/>
        <v>11</v>
      </c>
      <c r="S12" s="514">
        <f t="shared" si="9"/>
        <v>12</v>
      </c>
      <c r="T12" s="514">
        <f t="shared" si="9"/>
        <v>13</v>
      </c>
      <c r="U12" s="514">
        <f t="shared" si="9"/>
        <v>14</v>
      </c>
      <c r="V12" s="514">
        <f t="shared" si="9"/>
        <v>15</v>
      </c>
      <c r="W12" s="514">
        <f t="shared" si="9"/>
        <v>16</v>
      </c>
      <c r="X12" s="514">
        <f t="shared" si="9"/>
        <v>17</v>
      </c>
      <c r="Y12" s="514">
        <f t="shared" si="9"/>
        <v>18</v>
      </c>
      <c r="Z12" s="514">
        <f t="shared" si="9"/>
        <v>19</v>
      </c>
      <c r="AA12" s="514">
        <f t="shared" si="9"/>
        <v>20</v>
      </c>
      <c r="AB12" s="514">
        <f t="shared" si="9"/>
        <v>21</v>
      </c>
      <c r="AC12" s="514">
        <f t="shared" si="9"/>
        <v>22</v>
      </c>
      <c r="AD12" s="514">
        <f t="shared" si="9"/>
        <v>23</v>
      </c>
      <c r="AE12" s="514">
        <f t="shared" si="9"/>
        <v>24</v>
      </c>
      <c r="AF12" s="514">
        <f t="shared" si="9"/>
        <v>25</v>
      </c>
      <c r="AG12" s="514">
        <f t="shared" si="9"/>
        <v>26</v>
      </c>
      <c r="AH12" s="514">
        <f t="shared" si="9"/>
        <v>27</v>
      </c>
      <c r="AI12" s="514">
        <f t="shared" si="9"/>
        <v>28</v>
      </c>
      <c r="AJ12" s="514">
        <f t="shared" si="9"/>
        <v>28</v>
      </c>
      <c r="AK12" s="514">
        <f t="shared" si="9"/>
        <v>29</v>
      </c>
      <c r="AL12" s="514">
        <f t="shared" si="9"/>
        <v>30</v>
      </c>
      <c r="AM12" s="514">
        <f t="shared" si="9"/>
        <v>31</v>
      </c>
      <c r="AN12" s="514">
        <f t="shared" si="9"/>
        <v>32</v>
      </c>
      <c r="AO12" s="514">
        <f t="shared" si="9"/>
        <v>33</v>
      </c>
      <c r="AP12" s="514">
        <f t="shared" si="9"/>
        <v>34</v>
      </c>
      <c r="AQ12" s="514">
        <f t="shared" si="9"/>
        <v>35</v>
      </c>
      <c r="AR12" s="514">
        <f t="shared" si="9"/>
        <v>36</v>
      </c>
      <c r="AS12" s="514">
        <f t="shared" si="9"/>
        <v>37</v>
      </c>
      <c r="AT12" s="514">
        <f t="shared" si="9"/>
        <v>38</v>
      </c>
      <c r="AU12" s="514">
        <f t="shared" si="9"/>
        <v>39</v>
      </c>
      <c r="AV12" s="514">
        <f t="shared" si="9"/>
        <v>40</v>
      </c>
      <c r="AW12" s="514">
        <f t="shared" si="9"/>
        <v>41</v>
      </c>
      <c r="AX12" s="514">
        <f t="shared" si="9"/>
        <v>42</v>
      </c>
      <c r="AY12" s="514">
        <f t="shared" si="9"/>
        <v>43</v>
      </c>
      <c r="AZ12" s="514">
        <f t="shared" si="9"/>
        <v>44</v>
      </c>
      <c r="BA12" s="514">
        <f t="shared" si="9"/>
        <v>45</v>
      </c>
      <c r="BB12" s="514">
        <f t="shared" si="9"/>
        <v>46</v>
      </c>
      <c r="BC12" s="514">
        <f t="shared" si="9"/>
        <v>47</v>
      </c>
      <c r="BD12" s="514">
        <f t="shared" si="9"/>
        <v>48</v>
      </c>
      <c r="BE12" s="514">
        <f t="shared" si="9"/>
        <v>49</v>
      </c>
      <c r="BF12" s="514">
        <f t="shared" si="9"/>
        <v>50</v>
      </c>
      <c r="BG12" s="514">
        <f t="shared" si="9"/>
        <v>51</v>
      </c>
      <c r="BH12" s="514">
        <f t="shared" si="9"/>
        <v>52</v>
      </c>
      <c r="BI12" s="514">
        <f t="shared" si="9"/>
        <v>53</v>
      </c>
      <c r="BJ12" s="514">
        <f t="shared" si="9"/>
        <v>54</v>
      </c>
      <c r="BK12" s="514">
        <f t="shared" si="9"/>
        <v>55</v>
      </c>
      <c r="BL12" s="514">
        <f t="shared" si="9"/>
        <v>56</v>
      </c>
      <c r="BM12" s="514">
        <f t="shared" si="9"/>
        <v>56</v>
      </c>
      <c r="BN12" s="514">
        <f t="shared" si="9"/>
        <v>57</v>
      </c>
      <c r="BO12" s="514">
        <f t="shared" si="9"/>
        <v>58</v>
      </c>
      <c r="BP12" s="514">
        <f t="shared" si="9"/>
        <v>59</v>
      </c>
      <c r="BQ12" s="514">
        <f t="shared" si="9"/>
        <v>60</v>
      </c>
      <c r="BR12" s="514">
        <f t="shared" si="9"/>
        <v>61</v>
      </c>
      <c r="BS12" s="514">
        <f t="shared" si="9"/>
        <v>62</v>
      </c>
      <c r="BT12" s="514">
        <f t="shared" si="9"/>
        <v>63</v>
      </c>
      <c r="BU12" s="514">
        <f t="shared" si="9"/>
        <v>64</v>
      </c>
      <c r="BV12" s="514">
        <f t="shared" si="9"/>
        <v>65</v>
      </c>
      <c r="BW12" s="514">
        <f t="shared" si="9"/>
        <v>66</v>
      </c>
      <c r="BX12" s="514">
        <f t="shared" si="9"/>
        <v>67</v>
      </c>
      <c r="BY12" s="514">
        <f t="shared" si="9"/>
        <v>68</v>
      </c>
      <c r="BZ12" s="514">
        <f t="shared" si="9"/>
        <v>69</v>
      </c>
      <c r="CA12" s="514">
        <f t="shared" si="9"/>
        <v>70</v>
      </c>
      <c r="CB12" s="514">
        <f t="shared" si="9"/>
        <v>71</v>
      </c>
      <c r="CC12" s="514">
        <f t="shared" si="9"/>
        <v>72</v>
      </c>
      <c r="CD12" s="514">
        <f t="shared" si="9"/>
        <v>73</v>
      </c>
      <c r="CE12" s="514">
        <f t="shared" si="9"/>
        <v>74</v>
      </c>
      <c r="CF12" s="514">
        <f t="shared" si="9"/>
        <v>75</v>
      </c>
      <c r="CG12" s="514">
        <f t="shared" si="9"/>
        <v>76</v>
      </c>
      <c r="CH12" s="514">
        <f t="shared" si="9"/>
        <v>77</v>
      </c>
      <c r="CI12" s="514">
        <f t="shared" si="9"/>
        <v>78</v>
      </c>
      <c r="CJ12" s="514">
        <f t="shared" si="9"/>
        <v>79</v>
      </c>
      <c r="CK12" s="514">
        <f t="shared" si="9"/>
        <v>80</v>
      </c>
      <c r="CL12" s="514">
        <f t="shared" si="9"/>
        <v>81</v>
      </c>
      <c r="CM12" s="514">
        <f t="shared" si="9"/>
        <v>82</v>
      </c>
      <c r="CN12" s="514">
        <f t="shared" si="9"/>
        <v>83</v>
      </c>
      <c r="CO12" s="514">
        <f t="shared" si="9"/>
        <v>84</v>
      </c>
      <c r="CP12" s="514">
        <f t="shared" si="9"/>
        <v>85</v>
      </c>
      <c r="CQ12" s="514">
        <f t="shared" si="9"/>
        <v>85</v>
      </c>
      <c r="CR12" s="514">
        <f t="shared" si="9"/>
        <v>86</v>
      </c>
      <c r="CS12" s="514">
        <f t="shared" si="9"/>
        <v>87</v>
      </c>
      <c r="CT12" s="514">
        <f t="shared" si="9"/>
        <v>88</v>
      </c>
      <c r="CU12" s="514">
        <f t="shared" si="9"/>
        <v>89</v>
      </c>
      <c r="CV12" s="514">
        <f t="shared" si="9"/>
        <v>90</v>
      </c>
      <c r="CW12" s="514">
        <f t="shared" si="9"/>
        <v>91</v>
      </c>
      <c r="CX12" s="514">
        <f t="shared" si="9"/>
        <v>92</v>
      </c>
      <c r="CY12" s="514">
        <f t="shared" si="9"/>
        <v>93</v>
      </c>
      <c r="CZ12" s="514">
        <f t="shared" si="9"/>
        <v>94</v>
      </c>
      <c r="DA12" s="514">
        <f t="shared" si="9"/>
        <v>95</v>
      </c>
      <c r="DB12" s="514">
        <f t="shared" si="9"/>
        <v>96</v>
      </c>
      <c r="DC12" s="514">
        <f t="shared" si="9"/>
        <v>97</v>
      </c>
      <c r="DD12" s="514">
        <f t="shared" si="9"/>
        <v>98</v>
      </c>
      <c r="DE12" s="514">
        <f t="shared" si="9"/>
        <v>99</v>
      </c>
      <c r="DF12" s="514">
        <f t="shared" si="9"/>
        <v>100</v>
      </c>
      <c r="DG12" s="514">
        <f t="shared" si="9"/>
        <v>101</v>
      </c>
      <c r="DH12" s="514">
        <f t="shared" si="9"/>
        <v>102</v>
      </c>
      <c r="DI12" s="514">
        <f t="shared" si="9"/>
        <v>103</v>
      </c>
      <c r="DJ12" s="514">
        <f t="shared" si="9"/>
        <v>104</v>
      </c>
    </row>
    <row r="13">
      <c r="A13" s="513" t="s">
        <v>1640</v>
      </c>
      <c r="B13" s="513" t="b">
        <f t="shared" si="6"/>
        <v>0</v>
      </c>
      <c r="C13" s="513" t="s">
        <v>35</v>
      </c>
      <c r="D13" s="516">
        <f>if(B14,0.25,if(B13,1,0))</f>
        <v>0</v>
      </c>
      <c r="E13" s="516">
        <f>1-'Sheet 1'!K51/3000</f>
        <v>0.9606666667</v>
      </c>
      <c r="F13" s="514">
        <f t="shared" ref="F13:DJ13" si="10">int(F$1*$E13)</f>
        <v>0</v>
      </c>
      <c r="G13" s="514">
        <f t="shared" si="10"/>
        <v>0</v>
      </c>
      <c r="H13" s="514">
        <f t="shared" si="10"/>
        <v>1</v>
      </c>
      <c r="I13" s="514">
        <f t="shared" si="10"/>
        <v>2</v>
      </c>
      <c r="J13" s="514">
        <f t="shared" si="10"/>
        <v>3</v>
      </c>
      <c r="K13" s="514">
        <f t="shared" si="10"/>
        <v>4</v>
      </c>
      <c r="L13" s="514">
        <f t="shared" si="10"/>
        <v>5</v>
      </c>
      <c r="M13" s="514">
        <f t="shared" si="10"/>
        <v>6</v>
      </c>
      <c r="N13" s="514">
        <f t="shared" si="10"/>
        <v>7</v>
      </c>
      <c r="O13" s="514">
        <f t="shared" si="10"/>
        <v>8</v>
      </c>
      <c r="P13" s="514">
        <f t="shared" si="10"/>
        <v>9</v>
      </c>
      <c r="Q13" s="514">
        <f t="shared" si="10"/>
        <v>10</v>
      </c>
      <c r="R13" s="514">
        <f t="shared" si="10"/>
        <v>11</v>
      </c>
      <c r="S13" s="514">
        <f t="shared" si="10"/>
        <v>12</v>
      </c>
      <c r="T13" s="514">
        <f t="shared" si="10"/>
        <v>13</v>
      </c>
      <c r="U13" s="514">
        <f t="shared" si="10"/>
        <v>14</v>
      </c>
      <c r="V13" s="514">
        <f t="shared" si="10"/>
        <v>15</v>
      </c>
      <c r="W13" s="514">
        <f t="shared" si="10"/>
        <v>16</v>
      </c>
      <c r="X13" s="514">
        <f t="shared" si="10"/>
        <v>17</v>
      </c>
      <c r="Y13" s="514">
        <f t="shared" si="10"/>
        <v>18</v>
      </c>
      <c r="Z13" s="514">
        <f t="shared" si="10"/>
        <v>19</v>
      </c>
      <c r="AA13" s="514">
        <f t="shared" si="10"/>
        <v>20</v>
      </c>
      <c r="AB13" s="514">
        <f t="shared" si="10"/>
        <v>21</v>
      </c>
      <c r="AC13" s="514">
        <f t="shared" si="10"/>
        <v>22</v>
      </c>
      <c r="AD13" s="514">
        <f t="shared" si="10"/>
        <v>23</v>
      </c>
      <c r="AE13" s="514">
        <f t="shared" si="10"/>
        <v>24</v>
      </c>
      <c r="AF13" s="514">
        <f t="shared" si="10"/>
        <v>24</v>
      </c>
      <c r="AG13" s="514">
        <f t="shared" si="10"/>
        <v>25</v>
      </c>
      <c r="AH13" s="514">
        <f t="shared" si="10"/>
        <v>26</v>
      </c>
      <c r="AI13" s="514">
        <f t="shared" si="10"/>
        <v>27</v>
      </c>
      <c r="AJ13" s="514">
        <f t="shared" si="10"/>
        <v>28</v>
      </c>
      <c r="AK13" s="514">
        <f t="shared" si="10"/>
        <v>29</v>
      </c>
      <c r="AL13" s="514">
        <f t="shared" si="10"/>
        <v>30</v>
      </c>
      <c r="AM13" s="514">
        <f t="shared" si="10"/>
        <v>31</v>
      </c>
      <c r="AN13" s="514">
        <f t="shared" si="10"/>
        <v>32</v>
      </c>
      <c r="AO13" s="514">
        <f t="shared" si="10"/>
        <v>33</v>
      </c>
      <c r="AP13" s="514">
        <f t="shared" si="10"/>
        <v>34</v>
      </c>
      <c r="AQ13" s="514">
        <f t="shared" si="10"/>
        <v>35</v>
      </c>
      <c r="AR13" s="514">
        <f t="shared" si="10"/>
        <v>36</v>
      </c>
      <c r="AS13" s="514">
        <f t="shared" si="10"/>
        <v>37</v>
      </c>
      <c r="AT13" s="514">
        <f t="shared" si="10"/>
        <v>38</v>
      </c>
      <c r="AU13" s="514">
        <f t="shared" si="10"/>
        <v>39</v>
      </c>
      <c r="AV13" s="514">
        <f t="shared" si="10"/>
        <v>40</v>
      </c>
      <c r="AW13" s="514">
        <f t="shared" si="10"/>
        <v>41</v>
      </c>
      <c r="AX13" s="514">
        <f t="shared" si="10"/>
        <v>42</v>
      </c>
      <c r="AY13" s="514">
        <f t="shared" si="10"/>
        <v>43</v>
      </c>
      <c r="AZ13" s="514">
        <f t="shared" si="10"/>
        <v>44</v>
      </c>
      <c r="BA13" s="514">
        <f t="shared" si="10"/>
        <v>45</v>
      </c>
      <c r="BB13" s="514">
        <f t="shared" si="10"/>
        <v>46</v>
      </c>
      <c r="BC13" s="514">
        <f t="shared" si="10"/>
        <v>47</v>
      </c>
      <c r="BD13" s="514">
        <f t="shared" si="10"/>
        <v>48</v>
      </c>
      <c r="BE13" s="514">
        <f t="shared" si="10"/>
        <v>48</v>
      </c>
      <c r="BF13" s="514">
        <f t="shared" si="10"/>
        <v>49</v>
      </c>
      <c r="BG13" s="514">
        <f t="shared" si="10"/>
        <v>50</v>
      </c>
      <c r="BH13" s="514">
        <f t="shared" si="10"/>
        <v>51</v>
      </c>
      <c r="BI13" s="514">
        <f t="shared" si="10"/>
        <v>52</v>
      </c>
      <c r="BJ13" s="514">
        <f t="shared" si="10"/>
        <v>53</v>
      </c>
      <c r="BK13" s="514">
        <f t="shared" si="10"/>
        <v>54</v>
      </c>
      <c r="BL13" s="514">
        <f t="shared" si="10"/>
        <v>55</v>
      </c>
      <c r="BM13" s="514">
        <f t="shared" si="10"/>
        <v>56</v>
      </c>
      <c r="BN13" s="514">
        <f t="shared" si="10"/>
        <v>57</v>
      </c>
      <c r="BO13" s="514">
        <f t="shared" si="10"/>
        <v>58</v>
      </c>
      <c r="BP13" s="514">
        <f t="shared" si="10"/>
        <v>59</v>
      </c>
      <c r="BQ13" s="514">
        <f t="shared" si="10"/>
        <v>60</v>
      </c>
      <c r="BR13" s="514">
        <f t="shared" si="10"/>
        <v>61</v>
      </c>
      <c r="BS13" s="514">
        <f t="shared" si="10"/>
        <v>62</v>
      </c>
      <c r="BT13" s="514">
        <f t="shared" si="10"/>
        <v>63</v>
      </c>
      <c r="BU13" s="514">
        <f t="shared" si="10"/>
        <v>64</v>
      </c>
      <c r="BV13" s="514">
        <f t="shared" si="10"/>
        <v>65</v>
      </c>
      <c r="BW13" s="514">
        <f t="shared" si="10"/>
        <v>66</v>
      </c>
      <c r="BX13" s="514">
        <f t="shared" si="10"/>
        <v>67</v>
      </c>
      <c r="BY13" s="514">
        <f t="shared" si="10"/>
        <v>68</v>
      </c>
      <c r="BZ13" s="514">
        <f t="shared" si="10"/>
        <v>69</v>
      </c>
      <c r="CA13" s="514">
        <f t="shared" si="10"/>
        <v>70</v>
      </c>
      <c r="CB13" s="514">
        <f t="shared" si="10"/>
        <v>71</v>
      </c>
      <c r="CC13" s="514">
        <f t="shared" si="10"/>
        <v>72</v>
      </c>
      <c r="CD13" s="514">
        <f t="shared" si="10"/>
        <v>73</v>
      </c>
      <c r="CE13" s="514">
        <f t="shared" si="10"/>
        <v>73</v>
      </c>
      <c r="CF13" s="514">
        <f t="shared" si="10"/>
        <v>74</v>
      </c>
      <c r="CG13" s="514">
        <f t="shared" si="10"/>
        <v>75</v>
      </c>
      <c r="CH13" s="514">
        <f t="shared" si="10"/>
        <v>76</v>
      </c>
      <c r="CI13" s="514">
        <f t="shared" si="10"/>
        <v>77</v>
      </c>
      <c r="CJ13" s="514">
        <f t="shared" si="10"/>
        <v>78</v>
      </c>
      <c r="CK13" s="514">
        <f t="shared" si="10"/>
        <v>79</v>
      </c>
      <c r="CL13" s="514">
        <f t="shared" si="10"/>
        <v>80</v>
      </c>
      <c r="CM13" s="514">
        <f t="shared" si="10"/>
        <v>81</v>
      </c>
      <c r="CN13" s="514">
        <f t="shared" si="10"/>
        <v>82</v>
      </c>
      <c r="CO13" s="514">
        <f t="shared" si="10"/>
        <v>83</v>
      </c>
      <c r="CP13" s="514">
        <f t="shared" si="10"/>
        <v>84</v>
      </c>
      <c r="CQ13" s="514">
        <f t="shared" si="10"/>
        <v>85</v>
      </c>
      <c r="CR13" s="514">
        <f t="shared" si="10"/>
        <v>86</v>
      </c>
      <c r="CS13" s="514">
        <f t="shared" si="10"/>
        <v>87</v>
      </c>
      <c r="CT13" s="514">
        <f t="shared" si="10"/>
        <v>88</v>
      </c>
      <c r="CU13" s="514">
        <f t="shared" si="10"/>
        <v>89</v>
      </c>
      <c r="CV13" s="514">
        <f t="shared" si="10"/>
        <v>90</v>
      </c>
      <c r="CW13" s="514">
        <f t="shared" si="10"/>
        <v>91</v>
      </c>
      <c r="CX13" s="514">
        <f t="shared" si="10"/>
        <v>92</v>
      </c>
      <c r="CY13" s="514">
        <f t="shared" si="10"/>
        <v>93</v>
      </c>
      <c r="CZ13" s="514">
        <f t="shared" si="10"/>
        <v>94</v>
      </c>
      <c r="DA13" s="514">
        <f t="shared" si="10"/>
        <v>95</v>
      </c>
      <c r="DB13" s="514">
        <f t="shared" si="10"/>
        <v>96</v>
      </c>
      <c r="DC13" s="514">
        <f t="shared" si="10"/>
        <v>97</v>
      </c>
      <c r="DD13" s="514">
        <f t="shared" si="10"/>
        <v>97</v>
      </c>
      <c r="DE13" s="514">
        <f t="shared" si="10"/>
        <v>98</v>
      </c>
      <c r="DF13" s="514">
        <f t="shared" si="10"/>
        <v>99</v>
      </c>
      <c r="DG13" s="514">
        <f t="shared" si="10"/>
        <v>100</v>
      </c>
      <c r="DH13" s="514">
        <f t="shared" si="10"/>
        <v>101</v>
      </c>
      <c r="DI13" s="514">
        <f t="shared" si="10"/>
        <v>102</v>
      </c>
      <c r="DJ13" s="514">
        <f t="shared" si="10"/>
        <v>103</v>
      </c>
    </row>
    <row r="14">
      <c r="A14" s="513" t="s">
        <v>1667</v>
      </c>
      <c r="B14" s="513" t="b">
        <f t="shared" si="6"/>
        <v>0</v>
      </c>
      <c r="C14" s="513" t="s">
        <v>35</v>
      </c>
      <c r="D14" s="516" t="str">
        <f>D12</f>
        <v/>
      </c>
      <c r="E14" s="516">
        <f>E13</f>
        <v>0.9606666667</v>
      </c>
      <c r="F14" s="514">
        <f t="shared" ref="F14:DJ14" si="11">int(F$5*$E14)</f>
        <v>0</v>
      </c>
      <c r="G14" s="514">
        <f t="shared" si="11"/>
        <v>0</v>
      </c>
      <c r="H14" s="514">
        <f t="shared" si="11"/>
        <v>1</v>
      </c>
      <c r="I14" s="514">
        <f t="shared" si="11"/>
        <v>2</v>
      </c>
      <c r="J14" s="514">
        <f t="shared" si="11"/>
        <v>3</v>
      </c>
      <c r="K14" s="514">
        <f t="shared" si="11"/>
        <v>4</v>
      </c>
      <c r="L14" s="514">
        <f t="shared" si="11"/>
        <v>5</v>
      </c>
      <c r="M14" s="514">
        <f t="shared" si="11"/>
        <v>6</v>
      </c>
      <c r="N14" s="514">
        <f t="shared" si="11"/>
        <v>7</v>
      </c>
      <c r="O14" s="514">
        <f t="shared" si="11"/>
        <v>8</v>
      </c>
      <c r="P14" s="514">
        <f t="shared" si="11"/>
        <v>9</v>
      </c>
      <c r="Q14" s="514">
        <f t="shared" si="11"/>
        <v>10</v>
      </c>
      <c r="R14" s="514">
        <f t="shared" si="11"/>
        <v>11</v>
      </c>
      <c r="S14" s="514">
        <f t="shared" si="11"/>
        <v>12</v>
      </c>
      <c r="T14" s="514">
        <f t="shared" si="11"/>
        <v>13</v>
      </c>
      <c r="U14" s="514">
        <f t="shared" si="11"/>
        <v>14</v>
      </c>
      <c r="V14" s="514">
        <f t="shared" si="11"/>
        <v>15</v>
      </c>
      <c r="W14" s="514">
        <f t="shared" si="11"/>
        <v>16</v>
      </c>
      <c r="X14" s="514">
        <f t="shared" si="11"/>
        <v>17</v>
      </c>
      <c r="Y14" s="514">
        <f t="shared" si="11"/>
        <v>18</v>
      </c>
      <c r="Z14" s="514">
        <f t="shared" si="11"/>
        <v>19</v>
      </c>
      <c r="AA14" s="514">
        <f t="shared" si="11"/>
        <v>20</v>
      </c>
      <c r="AB14" s="514">
        <f t="shared" si="11"/>
        <v>21</v>
      </c>
      <c r="AC14" s="514">
        <f t="shared" si="11"/>
        <v>22</v>
      </c>
      <c r="AD14" s="514">
        <f t="shared" si="11"/>
        <v>23</v>
      </c>
      <c r="AE14" s="514">
        <f t="shared" si="11"/>
        <v>24</v>
      </c>
      <c r="AF14" s="514">
        <f t="shared" si="11"/>
        <v>24</v>
      </c>
      <c r="AG14" s="514">
        <f t="shared" si="11"/>
        <v>25</v>
      </c>
      <c r="AH14" s="514">
        <f t="shared" si="11"/>
        <v>26</v>
      </c>
      <c r="AI14" s="514">
        <f t="shared" si="11"/>
        <v>27</v>
      </c>
      <c r="AJ14" s="514">
        <f t="shared" si="11"/>
        <v>28</v>
      </c>
      <c r="AK14" s="514">
        <f t="shared" si="11"/>
        <v>29</v>
      </c>
      <c r="AL14" s="514">
        <f t="shared" si="11"/>
        <v>30</v>
      </c>
      <c r="AM14" s="514">
        <f t="shared" si="11"/>
        <v>31</v>
      </c>
      <c r="AN14" s="514">
        <f t="shared" si="11"/>
        <v>32</v>
      </c>
      <c r="AO14" s="514">
        <f t="shared" si="11"/>
        <v>33</v>
      </c>
      <c r="AP14" s="514">
        <f t="shared" si="11"/>
        <v>34</v>
      </c>
      <c r="AQ14" s="514">
        <f t="shared" si="11"/>
        <v>35</v>
      </c>
      <c r="AR14" s="514">
        <f t="shared" si="11"/>
        <v>36</v>
      </c>
      <c r="AS14" s="514">
        <f t="shared" si="11"/>
        <v>37</v>
      </c>
      <c r="AT14" s="514">
        <f t="shared" si="11"/>
        <v>38</v>
      </c>
      <c r="AU14" s="514">
        <f t="shared" si="11"/>
        <v>39</v>
      </c>
      <c r="AV14" s="514">
        <f t="shared" si="11"/>
        <v>40</v>
      </c>
      <c r="AW14" s="514">
        <f t="shared" si="11"/>
        <v>41</v>
      </c>
      <c r="AX14" s="514">
        <f t="shared" si="11"/>
        <v>42</v>
      </c>
      <c r="AY14" s="514">
        <f t="shared" si="11"/>
        <v>43</v>
      </c>
      <c r="AZ14" s="514">
        <f t="shared" si="11"/>
        <v>44</v>
      </c>
      <c r="BA14" s="514">
        <f t="shared" si="11"/>
        <v>45</v>
      </c>
      <c r="BB14" s="514">
        <f t="shared" si="11"/>
        <v>46</v>
      </c>
      <c r="BC14" s="514">
        <f t="shared" si="11"/>
        <v>47</v>
      </c>
      <c r="BD14" s="514">
        <f t="shared" si="11"/>
        <v>48</v>
      </c>
      <c r="BE14" s="514">
        <f t="shared" si="11"/>
        <v>48</v>
      </c>
      <c r="BF14" s="514">
        <f t="shared" si="11"/>
        <v>49</v>
      </c>
      <c r="BG14" s="514">
        <f t="shared" si="11"/>
        <v>50</v>
      </c>
      <c r="BH14" s="514">
        <f t="shared" si="11"/>
        <v>51</v>
      </c>
      <c r="BI14" s="514">
        <f t="shared" si="11"/>
        <v>52</v>
      </c>
      <c r="BJ14" s="514">
        <f t="shared" si="11"/>
        <v>53</v>
      </c>
      <c r="BK14" s="514">
        <f t="shared" si="11"/>
        <v>54</v>
      </c>
      <c r="BL14" s="514">
        <f t="shared" si="11"/>
        <v>55</v>
      </c>
      <c r="BM14" s="514">
        <f t="shared" si="11"/>
        <v>56</v>
      </c>
      <c r="BN14" s="514">
        <f t="shared" si="11"/>
        <v>57</v>
      </c>
      <c r="BO14" s="514">
        <f t="shared" si="11"/>
        <v>58</v>
      </c>
      <c r="BP14" s="514">
        <f t="shared" si="11"/>
        <v>59</v>
      </c>
      <c r="BQ14" s="514">
        <f t="shared" si="11"/>
        <v>60</v>
      </c>
      <c r="BR14" s="514">
        <f t="shared" si="11"/>
        <v>61</v>
      </c>
      <c r="BS14" s="514">
        <f t="shared" si="11"/>
        <v>62</v>
      </c>
      <c r="BT14" s="514">
        <f t="shared" si="11"/>
        <v>63</v>
      </c>
      <c r="BU14" s="514">
        <f t="shared" si="11"/>
        <v>64</v>
      </c>
      <c r="BV14" s="514">
        <f t="shared" si="11"/>
        <v>65</v>
      </c>
      <c r="BW14" s="514">
        <f t="shared" si="11"/>
        <v>66</v>
      </c>
      <c r="BX14" s="514">
        <f t="shared" si="11"/>
        <v>67</v>
      </c>
      <c r="BY14" s="514">
        <f t="shared" si="11"/>
        <v>68</v>
      </c>
      <c r="BZ14" s="514">
        <f t="shared" si="11"/>
        <v>69</v>
      </c>
      <c r="CA14" s="514">
        <f t="shared" si="11"/>
        <v>70</v>
      </c>
      <c r="CB14" s="514">
        <f t="shared" si="11"/>
        <v>71</v>
      </c>
      <c r="CC14" s="514">
        <f t="shared" si="11"/>
        <v>72</v>
      </c>
      <c r="CD14" s="514">
        <f t="shared" si="11"/>
        <v>73</v>
      </c>
      <c r="CE14" s="514">
        <f t="shared" si="11"/>
        <v>73</v>
      </c>
      <c r="CF14" s="514">
        <f t="shared" si="11"/>
        <v>74</v>
      </c>
      <c r="CG14" s="514">
        <f t="shared" si="11"/>
        <v>75</v>
      </c>
      <c r="CH14" s="514">
        <f t="shared" si="11"/>
        <v>76</v>
      </c>
      <c r="CI14" s="514">
        <f t="shared" si="11"/>
        <v>77</v>
      </c>
      <c r="CJ14" s="514">
        <f t="shared" si="11"/>
        <v>78</v>
      </c>
      <c r="CK14" s="514">
        <f t="shared" si="11"/>
        <v>79</v>
      </c>
      <c r="CL14" s="514">
        <f t="shared" si="11"/>
        <v>80</v>
      </c>
      <c r="CM14" s="514">
        <f t="shared" si="11"/>
        <v>81</v>
      </c>
      <c r="CN14" s="514">
        <f t="shared" si="11"/>
        <v>82</v>
      </c>
      <c r="CO14" s="514">
        <f t="shared" si="11"/>
        <v>83</v>
      </c>
      <c r="CP14" s="514">
        <f t="shared" si="11"/>
        <v>84</v>
      </c>
      <c r="CQ14" s="514">
        <f t="shared" si="11"/>
        <v>85</v>
      </c>
      <c r="CR14" s="514">
        <f t="shared" si="11"/>
        <v>86</v>
      </c>
      <c r="CS14" s="514">
        <f t="shared" si="11"/>
        <v>87</v>
      </c>
      <c r="CT14" s="514">
        <f t="shared" si="11"/>
        <v>88</v>
      </c>
      <c r="CU14" s="514">
        <f t="shared" si="11"/>
        <v>89</v>
      </c>
      <c r="CV14" s="514">
        <f t="shared" si="11"/>
        <v>90</v>
      </c>
      <c r="CW14" s="514">
        <f t="shared" si="11"/>
        <v>91</v>
      </c>
      <c r="CX14" s="514">
        <f t="shared" si="11"/>
        <v>92</v>
      </c>
      <c r="CY14" s="514">
        <f t="shared" si="11"/>
        <v>93</v>
      </c>
      <c r="CZ14" s="514">
        <f t="shared" si="11"/>
        <v>94</v>
      </c>
      <c r="DA14" s="514">
        <f t="shared" si="11"/>
        <v>95</v>
      </c>
      <c r="DB14" s="514">
        <f t="shared" si="11"/>
        <v>96</v>
      </c>
      <c r="DC14" s="514">
        <f t="shared" si="11"/>
        <v>97</v>
      </c>
      <c r="DD14" s="514">
        <f t="shared" si="11"/>
        <v>97</v>
      </c>
      <c r="DE14" s="514">
        <f t="shared" si="11"/>
        <v>98</v>
      </c>
      <c r="DF14" s="514">
        <f t="shared" si="11"/>
        <v>99</v>
      </c>
      <c r="DG14" s="514">
        <f t="shared" si="11"/>
        <v>100</v>
      </c>
      <c r="DH14" s="514">
        <f t="shared" si="11"/>
        <v>101</v>
      </c>
      <c r="DI14" s="514">
        <f t="shared" si="11"/>
        <v>102</v>
      </c>
      <c r="DJ14" s="514">
        <f t="shared" si="11"/>
        <v>103</v>
      </c>
    </row>
    <row r="15">
      <c r="A15" s="513" t="s">
        <v>1640</v>
      </c>
      <c r="B15" s="513" t="b">
        <f t="shared" si="6"/>
        <v>0</v>
      </c>
      <c r="C15" s="513" t="s">
        <v>39</v>
      </c>
      <c r="D15" s="516">
        <f>if(B16,0.25,if(B15,1,0))</f>
        <v>0</v>
      </c>
      <c r="E15" s="516">
        <f>1-'Sheet 1'!L51/3000</f>
        <v>0.9983333333</v>
      </c>
      <c r="F15" s="514">
        <f t="shared" ref="F15:DJ15" si="12">int(F$1*$E15)</f>
        <v>0</v>
      </c>
      <c r="G15" s="514">
        <f t="shared" si="12"/>
        <v>0</v>
      </c>
      <c r="H15" s="514">
        <f t="shared" si="12"/>
        <v>1</v>
      </c>
      <c r="I15" s="514">
        <f t="shared" si="12"/>
        <v>2</v>
      </c>
      <c r="J15" s="514">
        <f t="shared" si="12"/>
        <v>3</v>
      </c>
      <c r="K15" s="514">
        <f t="shared" si="12"/>
        <v>4</v>
      </c>
      <c r="L15" s="514">
        <f t="shared" si="12"/>
        <v>5</v>
      </c>
      <c r="M15" s="514">
        <f t="shared" si="12"/>
        <v>6</v>
      </c>
      <c r="N15" s="514">
        <f t="shared" si="12"/>
        <v>7</v>
      </c>
      <c r="O15" s="514">
        <f t="shared" si="12"/>
        <v>8</v>
      </c>
      <c r="P15" s="514">
        <f t="shared" si="12"/>
        <v>9</v>
      </c>
      <c r="Q15" s="514">
        <f t="shared" si="12"/>
        <v>10</v>
      </c>
      <c r="R15" s="514">
        <f t="shared" si="12"/>
        <v>11</v>
      </c>
      <c r="S15" s="514">
        <f t="shared" si="12"/>
        <v>12</v>
      </c>
      <c r="T15" s="514">
        <f t="shared" si="12"/>
        <v>13</v>
      </c>
      <c r="U15" s="514">
        <f t="shared" si="12"/>
        <v>14</v>
      </c>
      <c r="V15" s="514">
        <f t="shared" si="12"/>
        <v>15</v>
      </c>
      <c r="W15" s="514">
        <f t="shared" si="12"/>
        <v>16</v>
      </c>
      <c r="X15" s="514">
        <f t="shared" si="12"/>
        <v>17</v>
      </c>
      <c r="Y15" s="514">
        <f t="shared" si="12"/>
        <v>18</v>
      </c>
      <c r="Z15" s="514">
        <f t="shared" si="12"/>
        <v>19</v>
      </c>
      <c r="AA15" s="514">
        <f t="shared" si="12"/>
        <v>20</v>
      </c>
      <c r="AB15" s="514">
        <f t="shared" si="12"/>
        <v>21</v>
      </c>
      <c r="AC15" s="514">
        <f t="shared" si="12"/>
        <v>22</v>
      </c>
      <c r="AD15" s="514">
        <f t="shared" si="12"/>
        <v>23</v>
      </c>
      <c r="AE15" s="514">
        <f t="shared" si="12"/>
        <v>24</v>
      </c>
      <c r="AF15" s="514">
        <f t="shared" si="12"/>
        <v>25</v>
      </c>
      <c r="AG15" s="514">
        <f t="shared" si="12"/>
        <v>26</v>
      </c>
      <c r="AH15" s="514">
        <f t="shared" si="12"/>
        <v>27</v>
      </c>
      <c r="AI15" s="514">
        <f t="shared" si="12"/>
        <v>28</v>
      </c>
      <c r="AJ15" s="514">
        <f t="shared" si="12"/>
        <v>29</v>
      </c>
      <c r="AK15" s="514">
        <f t="shared" si="12"/>
        <v>30</v>
      </c>
      <c r="AL15" s="514">
        <f t="shared" si="12"/>
        <v>31</v>
      </c>
      <c r="AM15" s="514">
        <f t="shared" si="12"/>
        <v>32</v>
      </c>
      <c r="AN15" s="514">
        <f t="shared" si="12"/>
        <v>33</v>
      </c>
      <c r="AO15" s="514">
        <f t="shared" si="12"/>
        <v>34</v>
      </c>
      <c r="AP15" s="514">
        <f t="shared" si="12"/>
        <v>35</v>
      </c>
      <c r="AQ15" s="514">
        <f t="shared" si="12"/>
        <v>36</v>
      </c>
      <c r="AR15" s="514">
        <f t="shared" si="12"/>
        <v>37</v>
      </c>
      <c r="AS15" s="514">
        <f t="shared" si="12"/>
        <v>38</v>
      </c>
      <c r="AT15" s="514">
        <f t="shared" si="12"/>
        <v>39</v>
      </c>
      <c r="AU15" s="514">
        <f t="shared" si="12"/>
        <v>40</v>
      </c>
      <c r="AV15" s="514">
        <f t="shared" si="12"/>
        <v>41</v>
      </c>
      <c r="AW15" s="514">
        <f t="shared" si="12"/>
        <v>42</v>
      </c>
      <c r="AX15" s="514">
        <f t="shared" si="12"/>
        <v>43</v>
      </c>
      <c r="AY15" s="514">
        <f t="shared" si="12"/>
        <v>44</v>
      </c>
      <c r="AZ15" s="514">
        <f t="shared" si="12"/>
        <v>45</v>
      </c>
      <c r="BA15" s="514">
        <f t="shared" si="12"/>
        <v>46</v>
      </c>
      <c r="BB15" s="514">
        <f t="shared" si="12"/>
        <v>47</v>
      </c>
      <c r="BC15" s="514">
        <f t="shared" si="12"/>
        <v>48</v>
      </c>
      <c r="BD15" s="514">
        <f t="shared" si="12"/>
        <v>49</v>
      </c>
      <c r="BE15" s="514">
        <f t="shared" si="12"/>
        <v>50</v>
      </c>
      <c r="BF15" s="514">
        <f t="shared" si="12"/>
        <v>51</v>
      </c>
      <c r="BG15" s="514">
        <f t="shared" si="12"/>
        <v>52</v>
      </c>
      <c r="BH15" s="514">
        <f t="shared" si="12"/>
        <v>53</v>
      </c>
      <c r="BI15" s="514">
        <f t="shared" si="12"/>
        <v>54</v>
      </c>
      <c r="BJ15" s="514">
        <f t="shared" si="12"/>
        <v>55</v>
      </c>
      <c r="BK15" s="514">
        <f t="shared" si="12"/>
        <v>56</v>
      </c>
      <c r="BL15" s="514">
        <f t="shared" si="12"/>
        <v>57</v>
      </c>
      <c r="BM15" s="514">
        <f t="shared" si="12"/>
        <v>58</v>
      </c>
      <c r="BN15" s="514">
        <f t="shared" si="12"/>
        <v>59</v>
      </c>
      <c r="BO15" s="514">
        <f t="shared" si="12"/>
        <v>60</v>
      </c>
      <c r="BP15" s="514">
        <f t="shared" si="12"/>
        <v>61</v>
      </c>
      <c r="BQ15" s="514">
        <f t="shared" si="12"/>
        <v>62</v>
      </c>
      <c r="BR15" s="514">
        <f t="shared" si="12"/>
        <v>63</v>
      </c>
      <c r="BS15" s="514">
        <f t="shared" si="12"/>
        <v>64</v>
      </c>
      <c r="BT15" s="514">
        <f t="shared" si="12"/>
        <v>65</v>
      </c>
      <c r="BU15" s="514">
        <f t="shared" si="12"/>
        <v>66</v>
      </c>
      <c r="BV15" s="514">
        <f t="shared" si="12"/>
        <v>67</v>
      </c>
      <c r="BW15" s="514">
        <f t="shared" si="12"/>
        <v>68</v>
      </c>
      <c r="BX15" s="514">
        <f t="shared" si="12"/>
        <v>69</v>
      </c>
      <c r="BY15" s="514">
        <f t="shared" si="12"/>
        <v>70</v>
      </c>
      <c r="BZ15" s="514">
        <f t="shared" si="12"/>
        <v>71</v>
      </c>
      <c r="CA15" s="514">
        <f t="shared" si="12"/>
        <v>72</v>
      </c>
      <c r="CB15" s="514">
        <f t="shared" si="12"/>
        <v>73</v>
      </c>
      <c r="CC15" s="514">
        <f t="shared" si="12"/>
        <v>74</v>
      </c>
      <c r="CD15" s="514">
        <f t="shared" si="12"/>
        <v>75</v>
      </c>
      <c r="CE15" s="514">
        <f t="shared" si="12"/>
        <v>76</v>
      </c>
      <c r="CF15" s="514">
        <f t="shared" si="12"/>
        <v>77</v>
      </c>
      <c r="CG15" s="514">
        <f t="shared" si="12"/>
        <v>78</v>
      </c>
      <c r="CH15" s="514">
        <f t="shared" si="12"/>
        <v>79</v>
      </c>
      <c r="CI15" s="514">
        <f t="shared" si="12"/>
        <v>80</v>
      </c>
      <c r="CJ15" s="514">
        <f t="shared" si="12"/>
        <v>81</v>
      </c>
      <c r="CK15" s="514">
        <f t="shared" si="12"/>
        <v>82</v>
      </c>
      <c r="CL15" s="514">
        <f t="shared" si="12"/>
        <v>83</v>
      </c>
      <c r="CM15" s="514">
        <f t="shared" si="12"/>
        <v>84</v>
      </c>
      <c r="CN15" s="514">
        <f t="shared" si="12"/>
        <v>85</v>
      </c>
      <c r="CO15" s="514">
        <f t="shared" si="12"/>
        <v>86</v>
      </c>
      <c r="CP15" s="514">
        <f t="shared" si="12"/>
        <v>87</v>
      </c>
      <c r="CQ15" s="514">
        <f t="shared" si="12"/>
        <v>88</v>
      </c>
      <c r="CR15" s="514">
        <f t="shared" si="12"/>
        <v>89</v>
      </c>
      <c r="CS15" s="514">
        <f t="shared" si="12"/>
        <v>90</v>
      </c>
      <c r="CT15" s="514">
        <f t="shared" si="12"/>
        <v>91</v>
      </c>
      <c r="CU15" s="514">
        <f t="shared" si="12"/>
        <v>92</v>
      </c>
      <c r="CV15" s="514">
        <f t="shared" si="12"/>
        <v>93</v>
      </c>
      <c r="CW15" s="514">
        <f t="shared" si="12"/>
        <v>94</v>
      </c>
      <c r="CX15" s="514">
        <f t="shared" si="12"/>
        <v>95</v>
      </c>
      <c r="CY15" s="514">
        <f t="shared" si="12"/>
        <v>96</v>
      </c>
      <c r="CZ15" s="514">
        <f t="shared" si="12"/>
        <v>97</v>
      </c>
      <c r="DA15" s="514">
        <f t="shared" si="12"/>
        <v>98</v>
      </c>
      <c r="DB15" s="514">
        <f t="shared" si="12"/>
        <v>99</v>
      </c>
      <c r="DC15" s="514">
        <f t="shared" si="12"/>
        <v>100</v>
      </c>
      <c r="DD15" s="514">
        <f t="shared" si="12"/>
        <v>101</v>
      </c>
      <c r="DE15" s="514">
        <f t="shared" si="12"/>
        <v>102</v>
      </c>
      <c r="DF15" s="514">
        <f t="shared" si="12"/>
        <v>103</v>
      </c>
      <c r="DG15" s="514">
        <f t="shared" si="12"/>
        <v>104</v>
      </c>
      <c r="DH15" s="514">
        <f t="shared" si="12"/>
        <v>105</v>
      </c>
      <c r="DI15" s="514">
        <f t="shared" si="12"/>
        <v>106</v>
      </c>
      <c r="DJ15" s="514">
        <f t="shared" si="12"/>
        <v>107</v>
      </c>
    </row>
    <row r="16">
      <c r="A16" s="513" t="s">
        <v>1667</v>
      </c>
      <c r="B16" s="513" t="b">
        <f t="shared" si="6"/>
        <v>0</v>
      </c>
      <c r="C16" s="513" t="s">
        <v>39</v>
      </c>
      <c r="D16" s="516" t="str">
        <f>D14</f>
        <v/>
      </c>
      <c r="E16" s="516">
        <f>E15</f>
        <v>0.9983333333</v>
      </c>
      <c r="F16" s="514">
        <f t="shared" ref="F16:DJ16" si="13">int(F$5*$E16)</f>
        <v>0</v>
      </c>
      <c r="G16" s="514">
        <f t="shared" si="13"/>
        <v>0</v>
      </c>
      <c r="H16" s="514">
        <f t="shared" si="13"/>
        <v>1</v>
      </c>
      <c r="I16" s="514">
        <f t="shared" si="13"/>
        <v>2</v>
      </c>
      <c r="J16" s="514">
        <f t="shared" si="13"/>
        <v>3</v>
      </c>
      <c r="K16" s="514">
        <f t="shared" si="13"/>
        <v>4</v>
      </c>
      <c r="L16" s="514">
        <f t="shared" si="13"/>
        <v>5</v>
      </c>
      <c r="M16" s="514">
        <f t="shared" si="13"/>
        <v>6</v>
      </c>
      <c r="N16" s="514">
        <f t="shared" si="13"/>
        <v>7</v>
      </c>
      <c r="O16" s="514">
        <f t="shared" si="13"/>
        <v>8</v>
      </c>
      <c r="P16" s="514">
        <f t="shared" si="13"/>
        <v>9</v>
      </c>
      <c r="Q16" s="514">
        <f t="shared" si="13"/>
        <v>10</v>
      </c>
      <c r="R16" s="514">
        <f t="shared" si="13"/>
        <v>11</v>
      </c>
      <c r="S16" s="514">
        <f t="shared" si="13"/>
        <v>12</v>
      </c>
      <c r="T16" s="514">
        <f t="shared" si="13"/>
        <v>13</v>
      </c>
      <c r="U16" s="514">
        <f t="shared" si="13"/>
        <v>14</v>
      </c>
      <c r="V16" s="514">
        <f t="shared" si="13"/>
        <v>15</v>
      </c>
      <c r="W16" s="514">
        <f t="shared" si="13"/>
        <v>16</v>
      </c>
      <c r="X16" s="514">
        <f t="shared" si="13"/>
        <v>17</v>
      </c>
      <c r="Y16" s="514">
        <f t="shared" si="13"/>
        <v>18</v>
      </c>
      <c r="Z16" s="514">
        <f t="shared" si="13"/>
        <v>19</v>
      </c>
      <c r="AA16" s="514">
        <f t="shared" si="13"/>
        <v>20</v>
      </c>
      <c r="AB16" s="514">
        <f t="shared" si="13"/>
        <v>21</v>
      </c>
      <c r="AC16" s="514">
        <f t="shared" si="13"/>
        <v>22</v>
      </c>
      <c r="AD16" s="514">
        <f t="shared" si="13"/>
        <v>23</v>
      </c>
      <c r="AE16" s="514">
        <f t="shared" si="13"/>
        <v>24</v>
      </c>
      <c r="AF16" s="514">
        <f t="shared" si="13"/>
        <v>25</v>
      </c>
      <c r="AG16" s="514">
        <f t="shared" si="13"/>
        <v>26</v>
      </c>
      <c r="AH16" s="514">
        <f t="shared" si="13"/>
        <v>27</v>
      </c>
      <c r="AI16" s="514">
        <f t="shared" si="13"/>
        <v>28</v>
      </c>
      <c r="AJ16" s="514">
        <f t="shared" si="13"/>
        <v>29</v>
      </c>
      <c r="AK16" s="514">
        <f t="shared" si="13"/>
        <v>30</v>
      </c>
      <c r="AL16" s="514">
        <f t="shared" si="13"/>
        <v>31</v>
      </c>
      <c r="AM16" s="514">
        <f t="shared" si="13"/>
        <v>32</v>
      </c>
      <c r="AN16" s="514">
        <f t="shared" si="13"/>
        <v>33</v>
      </c>
      <c r="AO16" s="514">
        <f t="shared" si="13"/>
        <v>34</v>
      </c>
      <c r="AP16" s="514">
        <f t="shared" si="13"/>
        <v>35</v>
      </c>
      <c r="AQ16" s="514">
        <f t="shared" si="13"/>
        <v>36</v>
      </c>
      <c r="AR16" s="514">
        <f t="shared" si="13"/>
        <v>37</v>
      </c>
      <c r="AS16" s="514">
        <f t="shared" si="13"/>
        <v>38</v>
      </c>
      <c r="AT16" s="514">
        <f t="shared" si="13"/>
        <v>39</v>
      </c>
      <c r="AU16" s="514">
        <f t="shared" si="13"/>
        <v>40</v>
      </c>
      <c r="AV16" s="514">
        <f t="shared" si="13"/>
        <v>41</v>
      </c>
      <c r="AW16" s="514">
        <f t="shared" si="13"/>
        <v>42</v>
      </c>
      <c r="AX16" s="514">
        <f t="shared" si="13"/>
        <v>43</v>
      </c>
      <c r="AY16" s="514">
        <f t="shared" si="13"/>
        <v>44</v>
      </c>
      <c r="AZ16" s="514">
        <f t="shared" si="13"/>
        <v>45</v>
      </c>
      <c r="BA16" s="514">
        <f t="shared" si="13"/>
        <v>46</v>
      </c>
      <c r="BB16" s="514">
        <f t="shared" si="13"/>
        <v>47</v>
      </c>
      <c r="BC16" s="514">
        <f t="shared" si="13"/>
        <v>48</v>
      </c>
      <c r="BD16" s="514">
        <f t="shared" si="13"/>
        <v>49</v>
      </c>
      <c r="BE16" s="514">
        <f t="shared" si="13"/>
        <v>50</v>
      </c>
      <c r="BF16" s="514">
        <f t="shared" si="13"/>
        <v>51</v>
      </c>
      <c r="BG16" s="514">
        <f t="shared" si="13"/>
        <v>52</v>
      </c>
      <c r="BH16" s="514">
        <f t="shared" si="13"/>
        <v>53</v>
      </c>
      <c r="BI16" s="514">
        <f t="shared" si="13"/>
        <v>54</v>
      </c>
      <c r="BJ16" s="514">
        <f t="shared" si="13"/>
        <v>55</v>
      </c>
      <c r="BK16" s="514">
        <f t="shared" si="13"/>
        <v>56</v>
      </c>
      <c r="BL16" s="514">
        <f t="shared" si="13"/>
        <v>57</v>
      </c>
      <c r="BM16" s="514">
        <f t="shared" si="13"/>
        <v>58</v>
      </c>
      <c r="BN16" s="514">
        <f t="shared" si="13"/>
        <v>59</v>
      </c>
      <c r="BO16" s="514">
        <f t="shared" si="13"/>
        <v>60</v>
      </c>
      <c r="BP16" s="514">
        <f t="shared" si="13"/>
        <v>61</v>
      </c>
      <c r="BQ16" s="514">
        <f t="shared" si="13"/>
        <v>62</v>
      </c>
      <c r="BR16" s="514">
        <f t="shared" si="13"/>
        <v>63</v>
      </c>
      <c r="BS16" s="514">
        <f t="shared" si="13"/>
        <v>64</v>
      </c>
      <c r="BT16" s="514">
        <f t="shared" si="13"/>
        <v>65</v>
      </c>
      <c r="BU16" s="514">
        <f t="shared" si="13"/>
        <v>66</v>
      </c>
      <c r="BV16" s="514">
        <f t="shared" si="13"/>
        <v>67</v>
      </c>
      <c r="BW16" s="514">
        <f t="shared" si="13"/>
        <v>68</v>
      </c>
      <c r="BX16" s="514">
        <f t="shared" si="13"/>
        <v>69</v>
      </c>
      <c r="BY16" s="514">
        <f t="shared" si="13"/>
        <v>70</v>
      </c>
      <c r="BZ16" s="514">
        <f t="shared" si="13"/>
        <v>71</v>
      </c>
      <c r="CA16" s="514">
        <f t="shared" si="13"/>
        <v>72</v>
      </c>
      <c r="CB16" s="514">
        <f t="shared" si="13"/>
        <v>73</v>
      </c>
      <c r="CC16" s="514">
        <f t="shared" si="13"/>
        <v>74</v>
      </c>
      <c r="CD16" s="514">
        <f t="shared" si="13"/>
        <v>75</v>
      </c>
      <c r="CE16" s="514">
        <f t="shared" si="13"/>
        <v>76</v>
      </c>
      <c r="CF16" s="514">
        <f t="shared" si="13"/>
        <v>77</v>
      </c>
      <c r="CG16" s="514">
        <f t="shared" si="13"/>
        <v>78</v>
      </c>
      <c r="CH16" s="514">
        <f t="shared" si="13"/>
        <v>79</v>
      </c>
      <c r="CI16" s="514">
        <f t="shared" si="13"/>
        <v>80</v>
      </c>
      <c r="CJ16" s="514">
        <f t="shared" si="13"/>
        <v>81</v>
      </c>
      <c r="CK16" s="514">
        <f t="shared" si="13"/>
        <v>82</v>
      </c>
      <c r="CL16" s="514">
        <f t="shared" si="13"/>
        <v>83</v>
      </c>
      <c r="CM16" s="514">
        <f t="shared" si="13"/>
        <v>84</v>
      </c>
      <c r="CN16" s="514">
        <f t="shared" si="13"/>
        <v>85</v>
      </c>
      <c r="CO16" s="514">
        <f t="shared" si="13"/>
        <v>86</v>
      </c>
      <c r="CP16" s="514">
        <f t="shared" si="13"/>
        <v>87</v>
      </c>
      <c r="CQ16" s="514">
        <f t="shared" si="13"/>
        <v>88</v>
      </c>
      <c r="CR16" s="514">
        <f t="shared" si="13"/>
        <v>89</v>
      </c>
      <c r="CS16" s="514">
        <f t="shared" si="13"/>
        <v>90</v>
      </c>
      <c r="CT16" s="514">
        <f t="shared" si="13"/>
        <v>91</v>
      </c>
      <c r="CU16" s="514">
        <f t="shared" si="13"/>
        <v>92</v>
      </c>
      <c r="CV16" s="514">
        <f t="shared" si="13"/>
        <v>93</v>
      </c>
      <c r="CW16" s="514">
        <f t="shared" si="13"/>
        <v>94</v>
      </c>
      <c r="CX16" s="514">
        <f t="shared" si="13"/>
        <v>95</v>
      </c>
      <c r="CY16" s="514">
        <f t="shared" si="13"/>
        <v>96</v>
      </c>
      <c r="CZ16" s="514">
        <f t="shared" si="13"/>
        <v>97</v>
      </c>
      <c r="DA16" s="514">
        <f t="shared" si="13"/>
        <v>98</v>
      </c>
      <c r="DB16" s="514">
        <f t="shared" si="13"/>
        <v>99</v>
      </c>
      <c r="DC16" s="514">
        <f t="shared" si="13"/>
        <v>100</v>
      </c>
      <c r="DD16" s="514">
        <f t="shared" si="13"/>
        <v>101</v>
      </c>
      <c r="DE16" s="514">
        <f t="shared" si="13"/>
        <v>102</v>
      </c>
      <c r="DF16" s="514">
        <f t="shared" si="13"/>
        <v>103</v>
      </c>
      <c r="DG16" s="514">
        <f t="shared" si="13"/>
        <v>104</v>
      </c>
      <c r="DH16" s="514">
        <f t="shared" si="13"/>
        <v>105</v>
      </c>
      <c r="DI16" s="514">
        <f t="shared" si="13"/>
        <v>106</v>
      </c>
      <c r="DJ16" s="514">
        <f t="shared" si="13"/>
        <v>107</v>
      </c>
    </row>
    <row r="17">
      <c r="A17" s="513"/>
      <c r="B17" s="513"/>
      <c r="C17" s="513"/>
      <c r="D17" s="514"/>
      <c r="E17" s="514"/>
      <c r="F17" s="514"/>
      <c r="G17" s="514"/>
      <c r="H17" s="514"/>
      <c r="I17" s="514"/>
      <c r="J17" s="514"/>
      <c r="K17" s="514"/>
      <c r="L17" s="514"/>
      <c r="M17" s="514"/>
      <c r="N17" s="514"/>
      <c r="O17" s="514"/>
      <c r="P17" s="514"/>
      <c r="Q17" s="514"/>
      <c r="R17" s="514"/>
      <c r="S17" s="514"/>
      <c r="T17" s="514"/>
      <c r="U17" s="514"/>
      <c r="V17" s="514"/>
      <c r="W17" s="514"/>
      <c r="X17" s="514"/>
      <c r="Y17" s="514"/>
      <c r="Z17" s="514"/>
      <c r="AA17" s="514"/>
      <c r="AB17" s="514"/>
      <c r="AC17" s="514"/>
      <c r="AD17" s="514"/>
      <c r="AE17" s="514"/>
      <c r="AF17" s="514"/>
      <c r="AG17" s="514"/>
      <c r="AH17" s="514"/>
      <c r="AI17" s="514"/>
      <c r="AJ17" s="514"/>
      <c r="AK17" s="514"/>
      <c r="AL17" s="514"/>
      <c r="AM17" s="514"/>
      <c r="AN17" s="514"/>
      <c r="AO17" s="514"/>
      <c r="AP17" s="514"/>
      <c r="AQ17" s="514"/>
      <c r="AR17" s="514"/>
      <c r="AS17" s="514"/>
      <c r="AT17" s="514"/>
      <c r="AU17" s="514"/>
      <c r="AV17" s="514"/>
      <c r="AW17" s="514"/>
      <c r="AX17" s="514"/>
      <c r="AY17" s="514"/>
      <c r="AZ17" s="514"/>
      <c r="BA17" s="514"/>
      <c r="BB17" s="514"/>
      <c r="BC17" s="514"/>
      <c r="BD17" s="514"/>
      <c r="BE17" s="514"/>
      <c r="BF17" s="514"/>
      <c r="BG17" s="514"/>
      <c r="BH17" s="514"/>
      <c r="BI17" s="514"/>
      <c r="BJ17" s="514"/>
      <c r="BK17" s="514"/>
      <c r="BL17" s="514"/>
      <c r="BM17" s="514"/>
      <c r="BN17" s="514"/>
      <c r="BO17" s="514"/>
      <c r="BP17" s="514"/>
      <c r="BQ17" s="514"/>
      <c r="BR17" s="514"/>
      <c r="BS17" s="514"/>
      <c r="BT17" s="514"/>
      <c r="BU17" s="514"/>
      <c r="BV17" s="514"/>
      <c r="BW17" s="514"/>
      <c r="BX17" s="514"/>
      <c r="BY17" s="514"/>
      <c r="BZ17" s="514"/>
      <c r="CA17" s="514"/>
      <c r="CB17" s="514"/>
      <c r="CC17" s="514"/>
      <c r="CD17" s="514"/>
      <c r="CE17" s="514"/>
      <c r="CF17" s="514"/>
      <c r="CG17" s="514"/>
      <c r="CH17" s="514"/>
      <c r="CI17" s="514"/>
      <c r="CJ17" s="514"/>
      <c r="CK17" s="514"/>
      <c r="CL17" s="514"/>
      <c r="CM17" s="514"/>
      <c r="CN17" s="514"/>
      <c r="CO17" s="514"/>
      <c r="CP17" s="514"/>
      <c r="CQ17" s="514"/>
      <c r="CR17" s="514"/>
      <c r="CS17" s="514"/>
      <c r="CT17" s="514"/>
      <c r="CU17" s="514"/>
      <c r="CV17" s="514"/>
      <c r="CW17" s="514"/>
      <c r="CX17" s="514"/>
      <c r="CY17" s="514"/>
      <c r="CZ17" s="514"/>
      <c r="DA17" s="514"/>
      <c r="DB17" s="514"/>
      <c r="DC17" s="514"/>
      <c r="DD17" s="514"/>
      <c r="DE17" s="514"/>
      <c r="DF17" s="514"/>
      <c r="DG17" s="514"/>
      <c r="DH17" s="514"/>
      <c r="DI17" s="514"/>
      <c r="DJ17" s="514"/>
    </row>
    <row r="18">
      <c r="A18" s="513" t="s">
        <v>1668</v>
      </c>
      <c r="B18" s="513" t="b">
        <f>and(B5,B7=false)</f>
        <v>0</v>
      </c>
      <c r="C18" s="513"/>
      <c r="D18" s="514"/>
      <c r="E18" s="514"/>
      <c r="F18" s="514"/>
      <c r="G18" s="514"/>
      <c r="H18" s="514"/>
      <c r="I18" s="514"/>
      <c r="J18" s="514"/>
      <c r="K18" s="514"/>
      <c r="L18" s="514"/>
      <c r="M18" s="514"/>
      <c r="N18" s="514"/>
      <c r="O18" s="514"/>
      <c r="P18" s="514"/>
      <c r="Q18" s="514"/>
      <c r="R18" s="514"/>
      <c r="S18" s="514"/>
      <c r="T18" s="514"/>
      <c r="U18" s="514"/>
      <c r="V18" s="514"/>
      <c r="W18" s="514"/>
      <c r="X18" s="514"/>
      <c r="Y18" s="514"/>
      <c r="Z18" s="514"/>
      <c r="AA18" s="514"/>
      <c r="AB18" s="514"/>
      <c r="AC18" s="514"/>
      <c r="AD18" s="514"/>
      <c r="AE18" s="514"/>
      <c r="AF18" s="514"/>
      <c r="AG18" s="514"/>
      <c r="AH18" s="514"/>
      <c r="AI18" s="514"/>
      <c r="AJ18" s="514"/>
      <c r="AK18" s="514"/>
      <c r="AL18" s="514"/>
      <c r="AM18" s="514"/>
      <c r="AN18" s="514"/>
      <c r="AO18" s="514"/>
      <c r="AP18" s="514"/>
      <c r="AQ18" s="514"/>
      <c r="AR18" s="514"/>
      <c r="AS18" s="514"/>
      <c r="AT18" s="514"/>
      <c r="AU18" s="514"/>
      <c r="AV18" s="514"/>
      <c r="AW18" s="514"/>
      <c r="AX18" s="514"/>
      <c r="AY18" s="514"/>
      <c r="AZ18" s="514"/>
      <c r="BA18" s="514"/>
      <c r="BB18" s="514"/>
      <c r="BC18" s="514"/>
      <c r="BD18" s="514"/>
      <c r="BE18" s="514"/>
      <c r="BF18" s="514"/>
      <c r="BG18" s="514"/>
      <c r="BH18" s="514"/>
      <c r="BI18" s="514"/>
      <c r="BJ18" s="514"/>
      <c r="BK18" s="514"/>
      <c r="BL18" s="514"/>
      <c r="BM18" s="514"/>
      <c r="BN18" s="514"/>
      <c r="BO18" s="514"/>
      <c r="BP18" s="514"/>
      <c r="BQ18" s="514"/>
      <c r="BR18" s="514"/>
      <c r="BS18" s="514"/>
      <c r="BT18" s="514"/>
      <c r="BU18" s="514"/>
      <c r="BV18" s="514"/>
      <c r="BW18" s="514"/>
      <c r="BX18" s="514"/>
      <c r="BY18" s="514"/>
      <c r="BZ18" s="514"/>
      <c r="CA18" s="514"/>
      <c r="CB18" s="514"/>
      <c r="CC18" s="514"/>
      <c r="CD18" s="514"/>
      <c r="CE18" s="514"/>
      <c r="CF18" s="514"/>
      <c r="CG18" s="514"/>
      <c r="CH18" s="514"/>
      <c r="CI18" s="514"/>
      <c r="CJ18" s="514"/>
      <c r="CK18" s="514"/>
      <c r="CL18" s="514"/>
      <c r="CM18" s="514"/>
      <c r="CN18" s="514"/>
      <c r="CO18" s="514"/>
      <c r="CP18" s="514"/>
      <c r="CQ18" s="514"/>
      <c r="CR18" s="514"/>
      <c r="CS18" s="514"/>
      <c r="CT18" s="514"/>
      <c r="CU18" s="514"/>
      <c r="CV18" s="514"/>
      <c r="CW18" s="514"/>
      <c r="CX18" s="514"/>
      <c r="CY18" s="514"/>
      <c r="CZ18" s="514"/>
      <c r="DA18" s="514"/>
      <c r="DB18" s="514"/>
      <c r="DC18" s="514"/>
      <c r="DD18" s="514"/>
      <c r="DE18" s="514"/>
      <c r="DF18" s="514"/>
      <c r="DG18" s="514"/>
      <c r="DH18" s="514"/>
      <c r="DI18" s="514"/>
      <c r="DJ18" s="514"/>
    </row>
    <row r="19">
      <c r="A19" s="513" t="s">
        <v>1669</v>
      </c>
      <c r="B19" s="513" t="b">
        <f>D7=1</f>
        <v>0</v>
      </c>
      <c r="C19" s="513"/>
      <c r="D19" s="514"/>
      <c r="E19" s="514"/>
      <c r="F19" s="514"/>
      <c r="G19" s="514"/>
      <c r="H19" s="514"/>
      <c r="I19" s="514"/>
      <c r="J19" s="514"/>
      <c r="K19" s="514"/>
      <c r="L19" s="514"/>
      <c r="M19" s="514"/>
      <c r="N19" s="514"/>
      <c r="O19" s="514"/>
      <c r="P19" s="514"/>
      <c r="Q19" s="514"/>
      <c r="R19" s="514"/>
      <c r="S19" s="514"/>
      <c r="T19" s="514"/>
      <c r="U19" s="514"/>
      <c r="V19" s="514"/>
      <c r="W19" s="514"/>
      <c r="X19" s="514"/>
      <c r="Y19" s="514"/>
      <c r="Z19" s="514"/>
      <c r="AA19" s="514"/>
      <c r="AB19" s="514"/>
      <c r="AC19" s="514"/>
      <c r="AD19" s="514"/>
      <c r="AE19" s="514"/>
      <c r="AF19" s="514"/>
      <c r="AG19" s="514"/>
      <c r="AH19" s="514"/>
      <c r="AI19" s="514"/>
      <c r="AJ19" s="514"/>
      <c r="AK19" s="514"/>
      <c r="AL19" s="514"/>
      <c r="AM19" s="514"/>
      <c r="AN19" s="514"/>
      <c r="AO19" s="514"/>
      <c r="AP19" s="514"/>
      <c r="AQ19" s="514"/>
      <c r="AR19" s="514"/>
      <c r="AS19" s="514"/>
      <c r="AT19" s="514"/>
      <c r="AU19" s="514"/>
      <c r="AV19" s="514"/>
      <c r="AW19" s="514"/>
      <c r="AX19" s="514"/>
      <c r="AY19" s="514"/>
      <c r="AZ19" s="514"/>
      <c r="BA19" s="514"/>
      <c r="BB19" s="514"/>
      <c r="BC19" s="514"/>
      <c r="BD19" s="514"/>
      <c r="BE19" s="514"/>
      <c r="BF19" s="514"/>
      <c r="BG19" s="514"/>
      <c r="BH19" s="514"/>
      <c r="BI19" s="514"/>
      <c r="BJ19" s="514"/>
      <c r="BK19" s="514"/>
      <c r="BL19" s="514"/>
      <c r="BM19" s="514"/>
      <c r="BN19" s="514"/>
      <c r="BO19" s="514"/>
      <c r="BP19" s="514"/>
      <c r="BQ19" s="514"/>
      <c r="BR19" s="514"/>
      <c r="BS19" s="514"/>
      <c r="BT19" s="514"/>
      <c r="BU19" s="514"/>
      <c r="BV19" s="514"/>
      <c r="BW19" s="514"/>
      <c r="BX19" s="514"/>
      <c r="BY19" s="514"/>
      <c r="BZ19" s="514"/>
      <c r="CA19" s="514"/>
      <c r="CB19" s="514"/>
      <c r="CC19" s="514"/>
      <c r="CD19" s="514"/>
      <c r="CE19" s="514"/>
      <c r="CF19" s="514"/>
      <c r="CG19" s="514"/>
      <c r="CH19" s="514"/>
      <c r="CI19" s="514"/>
      <c r="CJ19" s="514"/>
      <c r="CK19" s="514"/>
      <c r="CL19" s="514"/>
      <c r="CM19" s="514"/>
      <c r="CN19" s="514"/>
      <c r="CO19" s="514"/>
      <c r="CP19" s="514"/>
      <c r="CQ19" s="514"/>
      <c r="CR19" s="514"/>
      <c r="CS19" s="514"/>
      <c r="CT19" s="514"/>
      <c r="CU19" s="514"/>
      <c r="CV19" s="514"/>
      <c r="CW19" s="514"/>
      <c r="CX19" s="514"/>
      <c r="CY19" s="514"/>
      <c r="CZ19" s="514"/>
      <c r="DA19" s="514"/>
      <c r="DB19" s="514"/>
      <c r="DC19" s="514"/>
      <c r="DD19" s="514"/>
      <c r="DE19" s="514"/>
      <c r="DF19" s="514"/>
      <c r="DG19" s="514"/>
      <c r="DH19" s="514"/>
      <c r="DI19" s="514"/>
      <c r="DJ19" s="514"/>
    </row>
    <row r="20">
      <c r="A20" s="513" t="s">
        <v>1670</v>
      </c>
      <c r="B20" s="513" t="b">
        <f>B8</f>
        <v>0</v>
      </c>
      <c r="C20" s="513"/>
      <c r="D20" s="514"/>
      <c r="E20" s="514"/>
      <c r="F20" s="514"/>
      <c r="G20" s="514"/>
      <c r="H20" s="514"/>
      <c r="I20" s="514"/>
      <c r="J20" s="514"/>
      <c r="K20" s="514"/>
      <c r="L20" s="514"/>
      <c r="M20" s="514"/>
      <c r="N20" s="514"/>
      <c r="O20" s="514"/>
      <c r="P20" s="514"/>
      <c r="Q20" s="514"/>
      <c r="R20" s="514"/>
      <c r="S20" s="514"/>
      <c r="T20" s="514"/>
      <c r="U20" s="514"/>
      <c r="V20" s="514"/>
      <c r="W20" s="514"/>
      <c r="X20" s="514"/>
      <c r="Y20" s="514"/>
      <c r="Z20" s="514"/>
      <c r="AA20" s="514"/>
      <c r="AB20" s="514"/>
      <c r="AC20" s="514"/>
      <c r="AD20" s="514"/>
      <c r="AE20" s="514"/>
      <c r="AF20" s="514"/>
      <c r="AG20" s="514"/>
      <c r="AH20" s="514"/>
      <c r="AI20" s="514"/>
      <c r="AJ20" s="514"/>
      <c r="AK20" s="514"/>
      <c r="AL20" s="514"/>
      <c r="AM20" s="514"/>
      <c r="AN20" s="514"/>
      <c r="AO20" s="514"/>
      <c r="AP20" s="514"/>
      <c r="AQ20" s="514"/>
      <c r="AR20" s="514"/>
      <c r="AS20" s="514"/>
      <c r="AT20" s="514"/>
      <c r="AU20" s="514"/>
      <c r="AV20" s="514"/>
      <c r="AW20" s="514"/>
      <c r="AX20" s="514"/>
      <c r="AY20" s="514"/>
      <c r="AZ20" s="514"/>
      <c r="BA20" s="514"/>
      <c r="BB20" s="514"/>
      <c r="BC20" s="514"/>
      <c r="BD20" s="514"/>
      <c r="BE20" s="514"/>
      <c r="BF20" s="514"/>
      <c r="BG20" s="514"/>
      <c r="BH20" s="514"/>
      <c r="BI20" s="514"/>
      <c r="BJ20" s="514"/>
      <c r="BK20" s="514"/>
      <c r="BL20" s="514"/>
      <c r="BM20" s="514"/>
      <c r="BN20" s="514"/>
      <c r="BO20" s="514"/>
      <c r="BP20" s="514"/>
      <c r="BQ20" s="514"/>
      <c r="BR20" s="514"/>
      <c r="BS20" s="514"/>
      <c r="BT20" s="514"/>
      <c r="BU20" s="514"/>
      <c r="BV20" s="514"/>
      <c r="BW20" s="514"/>
      <c r="BX20" s="514"/>
      <c r="BY20" s="514"/>
      <c r="BZ20" s="514"/>
      <c r="CA20" s="514"/>
      <c r="CB20" s="514"/>
      <c r="CC20" s="514"/>
      <c r="CD20" s="514"/>
      <c r="CE20" s="514"/>
      <c r="CF20" s="514"/>
      <c r="CG20" s="514"/>
      <c r="CH20" s="514"/>
      <c r="CI20" s="514"/>
      <c r="CJ20" s="514"/>
      <c r="CK20" s="514"/>
      <c r="CL20" s="514"/>
      <c r="CM20" s="514"/>
      <c r="CN20" s="514"/>
      <c r="CO20" s="514"/>
      <c r="CP20" s="514"/>
      <c r="CQ20" s="514"/>
      <c r="CR20" s="514"/>
      <c r="CS20" s="514"/>
      <c r="CT20" s="514"/>
      <c r="CU20" s="514"/>
      <c r="CV20" s="514"/>
      <c r="CW20" s="514"/>
      <c r="CX20" s="514"/>
      <c r="CY20" s="514"/>
      <c r="CZ20" s="514"/>
      <c r="DA20" s="514"/>
      <c r="DB20" s="514"/>
      <c r="DC20" s="514"/>
      <c r="DD20" s="514"/>
      <c r="DE20" s="514"/>
      <c r="DF20" s="514"/>
      <c r="DG20" s="514"/>
      <c r="DH20" s="514"/>
      <c r="DI20" s="514"/>
      <c r="DJ20" s="514"/>
    </row>
    <row r="21">
      <c r="A21" s="513"/>
      <c r="B21" s="513"/>
      <c r="C21" s="513"/>
      <c r="D21" s="514"/>
      <c r="E21" s="514"/>
      <c r="F21" s="514"/>
      <c r="G21" s="514"/>
      <c r="H21" s="514"/>
      <c r="I21" s="514"/>
      <c r="J21" s="514"/>
      <c r="K21" s="514"/>
      <c r="L21" s="514"/>
      <c r="M21" s="514"/>
      <c r="N21" s="514"/>
      <c r="O21" s="514"/>
      <c r="P21" s="514"/>
      <c r="Q21" s="514"/>
      <c r="R21" s="514"/>
      <c r="S21" s="514"/>
      <c r="T21" s="514"/>
      <c r="U21" s="514"/>
      <c r="V21" s="514"/>
      <c r="W21" s="514"/>
      <c r="X21" s="514"/>
      <c r="Y21" s="514"/>
      <c r="Z21" s="514"/>
      <c r="AA21" s="514"/>
      <c r="AB21" s="514"/>
      <c r="AC21" s="514"/>
      <c r="AD21" s="514"/>
      <c r="AE21" s="514"/>
      <c r="AF21" s="514"/>
      <c r="AG21" s="514"/>
      <c r="AH21" s="514"/>
      <c r="AI21" s="514"/>
      <c r="AJ21" s="514"/>
      <c r="AK21" s="514"/>
      <c r="AL21" s="514"/>
      <c r="AM21" s="514"/>
      <c r="AN21" s="514"/>
      <c r="AO21" s="514"/>
      <c r="AP21" s="514"/>
      <c r="AQ21" s="514"/>
      <c r="AR21" s="514"/>
      <c r="AS21" s="514"/>
      <c r="AT21" s="514"/>
      <c r="AU21" s="514"/>
      <c r="AV21" s="514"/>
      <c r="AW21" s="514"/>
      <c r="AX21" s="514"/>
      <c r="AY21" s="514"/>
      <c r="AZ21" s="514"/>
      <c r="BA21" s="514"/>
      <c r="BB21" s="514"/>
      <c r="BC21" s="514"/>
      <c r="BD21" s="514"/>
      <c r="BE21" s="514"/>
      <c r="BF21" s="514"/>
      <c r="BG21" s="514"/>
      <c r="BH21" s="514"/>
      <c r="BI21" s="514"/>
      <c r="BJ21" s="514"/>
      <c r="BK21" s="514"/>
      <c r="BL21" s="514"/>
      <c r="BM21" s="514"/>
      <c r="BN21" s="514"/>
      <c r="BO21" s="514"/>
      <c r="BP21" s="514"/>
      <c r="BQ21" s="514"/>
      <c r="BR21" s="514"/>
      <c r="BS21" s="514"/>
      <c r="BT21" s="514"/>
      <c r="BU21" s="514"/>
      <c r="BV21" s="514"/>
      <c r="BW21" s="514"/>
      <c r="BX21" s="514"/>
      <c r="BY21" s="514"/>
      <c r="BZ21" s="514"/>
      <c r="CA21" s="514"/>
      <c r="CB21" s="514"/>
      <c r="CC21" s="514"/>
      <c r="CD21" s="514"/>
      <c r="CE21" s="514"/>
      <c r="CF21" s="514"/>
      <c r="CG21" s="514"/>
      <c r="CH21" s="514"/>
      <c r="CI21" s="514"/>
      <c r="CJ21" s="514"/>
      <c r="CK21" s="514"/>
      <c r="CL21" s="514"/>
      <c r="CM21" s="514"/>
      <c r="CN21" s="514"/>
      <c r="CO21" s="514"/>
      <c r="CP21" s="514"/>
      <c r="CQ21" s="514"/>
      <c r="CR21" s="514"/>
      <c r="CS21" s="514"/>
      <c r="CT21" s="514"/>
      <c r="CU21" s="514"/>
      <c r="CV21" s="514"/>
      <c r="CW21" s="514"/>
      <c r="CX21" s="514"/>
      <c r="CY21" s="514"/>
      <c r="CZ21" s="514"/>
      <c r="DA21" s="514"/>
      <c r="DB21" s="514"/>
      <c r="DC21" s="514"/>
      <c r="DD21" s="514"/>
      <c r="DE21" s="514"/>
      <c r="DF21" s="514"/>
      <c r="DG21" s="514"/>
      <c r="DH21" s="514"/>
      <c r="DI21" s="514"/>
      <c r="DJ21" s="514"/>
    </row>
    <row r="22">
      <c r="A22" s="513" t="s">
        <v>1671</v>
      </c>
      <c r="B22" s="513"/>
      <c r="C22" s="513"/>
      <c r="D22" s="514"/>
      <c r="E22" s="514"/>
      <c r="F22" s="514"/>
      <c r="G22" s="514"/>
      <c r="H22" s="514"/>
      <c r="I22" s="514"/>
      <c r="J22" s="514"/>
      <c r="K22" s="514"/>
      <c r="L22" s="514"/>
      <c r="M22" s="514"/>
      <c r="N22" s="514"/>
      <c r="O22" s="514"/>
      <c r="P22" s="514"/>
      <c r="Q22" s="514"/>
      <c r="R22" s="514"/>
      <c r="S22" s="514"/>
      <c r="T22" s="514"/>
      <c r="U22" s="514"/>
      <c r="V22" s="514"/>
      <c r="W22" s="514"/>
      <c r="X22" s="514"/>
      <c r="Y22" s="514"/>
      <c r="Z22" s="514"/>
      <c r="AA22" s="514"/>
      <c r="AB22" s="514"/>
      <c r="AC22" s="514"/>
      <c r="AD22" s="514"/>
      <c r="AE22" s="514"/>
      <c r="AF22" s="514"/>
      <c r="AG22" s="514"/>
      <c r="AH22" s="514"/>
      <c r="AI22" s="514"/>
      <c r="AJ22" s="514"/>
      <c r="AK22" s="514"/>
      <c r="AL22" s="514"/>
      <c r="AM22" s="514"/>
      <c r="AN22" s="514"/>
      <c r="AO22" s="514"/>
      <c r="AP22" s="514"/>
      <c r="AQ22" s="514"/>
      <c r="AR22" s="514"/>
      <c r="AS22" s="514"/>
      <c r="AT22" s="514"/>
      <c r="AU22" s="514"/>
      <c r="AV22" s="514"/>
      <c r="AW22" s="514"/>
      <c r="AX22" s="514"/>
      <c r="AY22" s="514"/>
      <c r="AZ22" s="514"/>
      <c r="BA22" s="514"/>
      <c r="BB22" s="514"/>
      <c r="BC22" s="514"/>
      <c r="BD22" s="514"/>
      <c r="BE22" s="514"/>
      <c r="BF22" s="514"/>
      <c r="BG22" s="514"/>
      <c r="BH22" s="514"/>
      <c r="BI22" s="514"/>
      <c r="BJ22" s="514"/>
      <c r="BK22" s="514"/>
      <c r="BL22" s="514"/>
      <c r="BM22" s="514"/>
      <c r="BN22" s="514"/>
      <c r="BO22" s="514"/>
      <c r="BP22" s="514"/>
      <c r="BQ22" s="514"/>
      <c r="BR22" s="514"/>
      <c r="BS22" s="514"/>
      <c r="BT22" s="514"/>
      <c r="BU22" s="514"/>
      <c r="BV22" s="514"/>
      <c r="BW22" s="514"/>
      <c r="BX22" s="514"/>
      <c r="BY22" s="514"/>
      <c r="BZ22" s="514"/>
      <c r="CA22" s="514"/>
      <c r="CB22" s="514"/>
      <c r="CC22" s="514"/>
      <c r="CD22" s="514"/>
      <c r="CE22" s="514"/>
      <c r="CF22" s="514"/>
      <c r="CG22" s="514"/>
      <c r="CH22" s="514"/>
      <c r="CI22" s="514"/>
      <c r="CJ22" s="514"/>
      <c r="CK22" s="514"/>
      <c r="CL22" s="514"/>
      <c r="CM22" s="514"/>
      <c r="CN22" s="514"/>
      <c r="CO22" s="514"/>
      <c r="CP22" s="514"/>
      <c r="CQ22" s="514"/>
      <c r="CR22" s="514"/>
      <c r="CS22" s="514"/>
      <c r="CT22" s="514"/>
      <c r="CU22" s="514"/>
      <c r="CV22" s="514"/>
      <c r="CW22" s="514"/>
      <c r="CX22" s="514"/>
      <c r="CY22" s="514"/>
      <c r="CZ22" s="514"/>
      <c r="DA22" s="514"/>
      <c r="DB22" s="514"/>
      <c r="DC22" s="514"/>
      <c r="DD22" s="514"/>
      <c r="DE22" s="514"/>
      <c r="DF22" s="514"/>
      <c r="DG22" s="514"/>
      <c r="DH22" s="514"/>
      <c r="DI22" s="514"/>
      <c r="DJ22" s="514"/>
    </row>
    <row r="23">
      <c r="A23" s="513"/>
      <c r="B23" s="513"/>
      <c r="C23" s="513"/>
      <c r="D23" s="514"/>
      <c r="E23" s="514"/>
      <c r="F23" s="514"/>
      <c r="G23" s="514"/>
      <c r="H23" s="514"/>
      <c r="I23" s="514"/>
      <c r="J23" s="514"/>
      <c r="K23" s="514"/>
      <c r="L23" s="514"/>
      <c r="M23" s="514"/>
      <c r="N23" s="514"/>
      <c r="O23" s="514"/>
      <c r="P23" s="514"/>
      <c r="Q23" s="514"/>
      <c r="R23" s="514"/>
      <c r="S23" s="514"/>
      <c r="T23" s="514"/>
      <c r="U23" s="514"/>
      <c r="V23" s="514"/>
      <c r="W23" s="514"/>
      <c r="X23" s="514"/>
      <c r="Y23" s="514"/>
      <c r="Z23" s="514"/>
      <c r="AA23" s="514"/>
      <c r="AB23" s="514"/>
      <c r="AC23" s="514"/>
      <c r="AD23" s="514"/>
      <c r="AE23" s="514"/>
      <c r="AF23" s="514"/>
      <c r="AG23" s="514"/>
      <c r="AH23" s="514"/>
      <c r="AI23" s="514"/>
      <c r="AJ23" s="514"/>
      <c r="AK23" s="514"/>
      <c r="AL23" s="514"/>
      <c r="AM23" s="514"/>
      <c r="AN23" s="514"/>
      <c r="AO23" s="514"/>
      <c r="AP23" s="514"/>
      <c r="AQ23" s="514"/>
      <c r="AR23" s="514"/>
      <c r="AS23" s="514"/>
      <c r="AT23" s="514"/>
      <c r="AU23" s="514"/>
      <c r="AV23" s="514"/>
      <c r="AW23" s="514"/>
      <c r="AX23" s="514"/>
      <c r="AY23" s="514"/>
      <c r="AZ23" s="514"/>
      <c r="BA23" s="514"/>
      <c r="BB23" s="514"/>
      <c r="BC23" s="514"/>
      <c r="BD23" s="514"/>
      <c r="BE23" s="514"/>
      <c r="BF23" s="514"/>
      <c r="BG23" s="514"/>
      <c r="BH23" s="514"/>
      <c r="BI23" s="514"/>
      <c r="BJ23" s="514"/>
      <c r="BK23" s="514"/>
      <c r="BL23" s="514"/>
      <c r="BM23" s="514"/>
      <c r="BN23" s="514"/>
      <c r="BO23" s="514"/>
      <c r="BP23" s="514"/>
      <c r="BQ23" s="514"/>
      <c r="BR23" s="514"/>
      <c r="BS23" s="514"/>
      <c r="BT23" s="514"/>
      <c r="BU23" s="514"/>
      <c r="BV23" s="514"/>
      <c r="BW23" s="514"/>
      <c r="BX23" s="514"/>
      <c r="BY23" s="514"/>
      <c r="BZ23" s="514"/>
      <c r="CA23" s="514"/>
      <c r="CB23" s="514"/>
      <c r="CC23" s="514"/>
      <c r="CD23" s="514"/>
      <c r="CE23" s="514"/>
      <c r="CF23" s="514"/>
      <c r="CG23" s="514"/>
      <c r="CH23" s="514"/>
      <c r="CI23" s="514"/>
      <c r="CJ23" s="514"/>
      <c r="CK23" s="514"/>
      <c r="CL23" s="514"/>
      <c r="CM23" s="514"/>
      <c r="CN23" s="514"/>
      <c r="CO23" s="514"/>
      <c r="CP23" s="514"/>
      <c r="CQ23" s="514"/>
      <c r="CR23" s="514"/>
      <c r="CS23" s="514"/>
      <c r="CT23" s="514"/>
      <c r="CU23" s="514"/>
      <c r="CV23" s="514"/>
      <c r="CW23" s="514"/>
      <c r="CX23" s="514"/>
      <c r="CY23" s="514"/>
      <c r="CZ23" s="514"/>
      <c r="DA23" s="514"/>
      <c r="DB23" s="514"/>
      <c r="DC23" s="514"/>
      <c r="DD23" s="514"/>
      <c r="DE23" s="514"/>
      <c r="DF23" s="514"/>
      <c r="DG23" s="514"/>
      <c r="DH23" s="514"/>
      <c r="DI23" s="514"/>
      <c r="DJ23" s="514"/>
    </row>
    <row r="24">
      <c r="A24" s="513" t="s">
        <v>1672</v>
      </c>
      <c r="B24" s="513" t="str">
        <f>'NPC dps'!D11</f>
        <v>Stab</v>
      </c>
      <c r="C24" s="513">
        <f>'NPC dps'!L11</f>
        <v>0</v>
      </c>
      <c r="D24" s="513">
        <f>'NPC dps'!M11</f>
        <v>33</v>
      </c>
      <c r="E24" s="514">
        <f t="shared" ref="E24:E29" si="15">average(F24:DJ24)</f>
        <v>16.5</v>
      </c>
      <c r="F24" s="514">
        <f t="shared" ref="F24:DJ24" si="14">if(and(F$1&gt;=$C24,F$1&lt;=$D24),if($B$18,(1-$D$5)*F$1+$D$5*F$5,if($B$19,index($F$7:$DJ$16,match($B24,$C$7:$C$16),columns($F:F)),if($B$20,0.25*index($F$7:$DJ$16,match($B24,$C$7:$C$16)-1,columns($F:F))+0.75*index($F$7:$DJ$16,match($B24,$C$7:$C$16),columns($F:F)),F$1))),"")</f>
        <v>0</v>
      </c>
      <c r="G24" s="514">
        <f t="shared" si="14"/>
        <v>1</v>
      </c>
      <c r="H24" s="514">
        <f t="shared" si="14"/>
        <v>2</v>
      </c>
      <c r="I24" s="514">
        <f t="shared" si="14"/>
        <v>3</v>
      </c>
      <c r="J24" s="514">
        <f t="shared" si="14"/>
        <v>4</v>
      </c>
      <c r="K24" s="514">
        <f t="shared" si="14"/>
        <v>5</v>
      </c>
      <c r="L24" s="514">
        <f t="shared" si="14"/>
        <v>6</v>
      </c>
      <c r="M24" s="514">
        <f t="shared" si="14"/>
        <v>7</v>
      </c>
      <c r="N24" s="514">
        <f t="shared" si="14"/>
        <v>8</v>
      </c>
      <c r="O24" s="514">
        <f t="shared" si="14"/>
        <v>9</v>
      </c>
      <c r="P24" s="514">
        <f t="shared" si="14"/>
        <v>10</v>
      </c>
      <c r="Q24" s="514">
        <f t="shared" si="14"/>
        <v>11</v>
      </c>
      <c r="R24" s="514">
        <f t="shared" si="14"/>
        <v>12</v>
      </c>
      <c r="S24" s="514">
        <f t="shared" si="14"/>
        <v>13</v>
      </c>
      <c r="T24" s="514">
        <f t="shared" si="14"/>
        <v>14</v>
      </c>
      <c r="U24" s="514">
        <f t="shared" si="14"/>
        <v>15</v>
      </c>
      <c r="V24" s="514">
        <f t="shared" si="14"/>
        <v>16</v>
      </c>
      <c r="W24" s="514">
        <f t="shared" si="14"/>
        <v>17</v>
      </c>
      <c r="X24" s="514">
        <f t="shared" si="14"/>
        <v>18</v>
      </c>
      <c r="Y24" s="514">
        <f t="shared" si="14"/>
        <v>19</v>
      </c>
      <c r="Z24" s="514">
        <f t="shared" si="14"/>
        <v>20</v>
      </c>
      <c r="AA24" s="514">
        <f t="shared" si="14"/>
        <v>21</v>
      </c>
      <c r="AB24" s="514">
        <f t="shared" si="14"/>
        <v>22</v>
      </c>
      <c r="AC24" s="514">
        <f t="shared" si="14"/>
        <v>23</v>
      </c>
      <c r="AD24" s="514">
        <f t="shared" si="14"/>
        <v>24</v>
      </c>
      <c r="AE24" s="514">
        <f t="shared" si="14"/>
        <v>25</v>
      </c>
      <c r="AF24" s="514">
        <f t="shared" si="14"/>
        <v>26</v>
      </c>
      <c r="AG24" s="514">
        <f t="shared" si="14"/>
        <v>27</v>
      </c>
      <c r="AH24" s="514">
        <f t="shared" si="14"/>
        <v>28</v>
      </c>
      <c r="AI24" s="514">
        <f t="shared" si="14"/>
        <v>29</v>
      </c>
      <c r="AJ24" s="514">
        <f t="shared" si="14"/>
        <v>30</v>
      </c>
      <c r="AK24" s="514">
        <f t="shared" si="14"/>
        <v>31</v>
      </c>
      <c r="AL24" s="514">
        <f t="shared" si="14"/>
        <v>32</v>
      </c>
      <c r="AM24" s="514">
        <f t="shared" si="14"/>
        <v>33</v>
      </c>
      <c r="AN24" s="514" t="str">
        <f t="shared" si="14"/>
        <v/>
      </c>
      <c r="AO24" s="514" t="str">
        <f t="shared" si="14"/>
        <v/>
      </c>
      <c r="AP24" s="514" t="str">
        <f t="shared" si="14"/>
        <v/>
      </c>
      <c r="AQ24" s="514" t="str">
        <f t="shared" si="14"/>
        <v/>
      </c>
      <c r="AR24" s="514" t="str">
        <f t="shared" si="14"/>
        <v/>
      </c>
      <c r="AS24" s="514" t="str">
        <f t="shared" si="14"/>
        <v/>
      </c>
      <c r="AT24" s="514" t="str">
        <f t="shared" si="14"/>
        <v/>
      </c>
      <c r="AU24" s="514" t="str">
        <f t="shared" si="14"/>
        <v/>
      </c>
      <c r="AV24" s="514" t="str">
        <f t="shared" si="14"/>
        <v/>
      </c>
      <c r="AW24" s="514" t="str">
        <f t="shared" si="14"/>
        <v/>
      </c>
      <c r="AX24" s="514" t="str">
        <f t="shared" si="14"/>
        <v/>
      </c>
      <c r="AY24" s="514" t="str">
        <f t="shared" si="14"/>
        <v/>
      </c>
      <c r="AZ24" s="514" t="str">
        <f t="shared" si="14"/>
        <v/>
      </c>
      <c r="BA24" s="514" t="str">
        <f t="shared" si="14"/>
        <v/>
      </c>
      <c r="BB24" s="514" t="str">
        <f t="shared" si="14"/>
        <v/>
      </c>
      <c r="BC24" s="514" t="str">
        <f t="shared" si="14"/>
        <v/>
      </c>
      <c r="BD24" s="514" t="str">
        <f t="shared" si="14"/>
        <v/>
      </c>
      <c r="BE24" s="514" t="str">
        <f t="shared" si="14"/>
        <v/>
      </c>
      <c r="BF24" s="514" t="str">
        <f t="shared" si="14"/>
        <v/>
      </c>
      <c r="BG24" s="514" t="str">
        <f t="shared" si="14"/>
        <v/>
      </c>
      <c r="BH24" s="514" t="str">
        <f t="shared" si="14"/>
        <v/>
      </c>
      <c r="BI24" s="514" t="str">
        <f t="shared" si="14"/>
        <v/>
      </c>
      <c r="BJ24" s="514" t="str">
        <f t="shared" si="14"/>
        <v/>
      </c>
      <c r="BK24" s="514" t="str">
        <f t="shared" si="14"/>
        <v/>
      </c>
      <c r="BL24" s="514" t="str">
        <f t="shared" si="14"/>
        <v/>
      </c>
      <c r="BM24" s="514" t="str">
        <f t="shared" si="14"/>
        <v/>
      </c>
      <c r="BN24" s="514" t="str">
        <f t="shared" si="14"/>
        <v/>
      </c>
      <c r="BO24" s="514" t="str">
        <f t="shared" si="14"/>
        <v/>
      </c>
      <c r="BP24" s="514" t="str">
        <f t="shared" si="14"/>
        <v/>
      </c>
      <c r="BQ24" s="514" t="str">
        <f t="shared" si="14"/>
        <v/>
      </c>
      <c r="BR24" s="514" t="str">
        <f t="shared" si="14"/>
        <v/>
      </c>
      <c r="BS24" s="514" t="str">
        <f t="shared" si="14"/>
        <v/>
      </c>
      <c r="BT24" s="514" t="str">
        <f t="shared" si="14"/>
        <v/>
      </c>
      <c r="BU24" s="514" t="str">
        <f t="shared" si="14"/>
        <v/>
      </c>
      <c r="BV24" s="514" t="str">
        <f t="shared" si="14"/>
        <v/>
      </c>
      <c r="BW24" s="514" t="str">
        <f t="shared" si="14"/>
        <v/>
      </c>
      <c r="BX24" s="514" t="str">
        <f t="shared" si="14"/>
        <v/>
      </c>
      <c r="BY24" s="514" t="str">
        <f t="shared" si="14"/>
        <v/>
      </c>
      <c r="BZ24" s="514" t="str">
        <f t="shared" si="14"/>
        <v/>
      </c>
      <c r="CA24" s="514" t="str">
        <f t="shared" si="14"/>
        <v/>
      </c>
      <c r="CB24" s="514" t="str">
        <f t="shared" si="14"/>
        <v/>
      </c>
      <c r="CC24" s="514" t="str">
        <f t="shared" si="14"/>
        <v/>
      </c>
      <c r="CD24" s="514" t="str">
        <f t="shared" si="14"/>
        <v/>
      </c>
      <c r="CE24" s="514" t="str">
        <f t="shared" si="14"/>
        <v/>
      </c>
      <c r="CF24" s="514" t="str">
        <f t="shared" si="14"/>
        <v/>
      </c>
      <c r="CG24" s="514" t="str">
        <f t="shared" si="14"/>
        <v/>
      </c>
      <c r="CH24" s="514" t="str">
        <f t="shared" si="14"/>
        <v/>
      </c>
      <c r="CI24" s="514" t="str">
        <f t="shared" si="14"/>
        <v/>
      </c>
      <c r="CJ24" s="514" t="str">
        <f t="shared" si="14"/>
        <v/>
      </c>
      <c r="CK24" s="514" t="str">
        <f t="shared" si="14"/>
        <v/>
      </c>
      <c r="CL24" s="514" t="str">
        <f t="shared" si="14"/>
        <v/>
      </c>
      <c r="CM24" s="514" t="str">
        <f t="shared" si="14"/>
        <v/>
      </c>
      <c r="CN24" s="514" t="str">
        <f t="shared" si="14"/>
        <v/>
      </c>
      <c r="CO24" s="514" t="str">
        <f t="shared" si="14"/>
        <v/>
      </c>
      <c r="CP24" s="514" t="str">
        <f t="shared" si="14"/>
        <v/>
      </c>
      <c r="CQ24" s="514" t="str">
        <f t="shared" si="14"/>
        <v/>
      </c>
      <c r="CR24" s="514" t="str">
        <f t="shared" si="14"/>
        <v/>
      </c>
      <c r="CS24" s="514" t="str">
        <f t="shared" si="14"/>
        <v/>
      </c>
      <c r="CT24" s="514" t="str">
        <f t="shared" si="14"/>
        <v/>
      </c>
      <c r="CU24" s="514" t="str">
        <f t="shared" si="14"/>
        <v/>
      </c>
      <c r="CV24" s="514" t="str">
        <f t="shared" si="14"/>
        <v/>
      </c>
      <c r="CW24" s="514" t="str">
        <f t="shared" si="14"/>
        <v/>
      </c>
      <c r="CX24" s="514" t="str">
        <f t="shared" si="14"/>
        <v/>
      </c>
      <c r="CY24" s="514" t="str">
        <f t="shared" si="14"/>
        <v/>
      </c>
      <c r="CZ24" s="514" t="str">
        <f t="shared" si="14"/>
        <v/>
      </c>
      <c r="DA24" s="514" t="str">
        <f t="shared" si="14"/>
        <v/>
      </c>
      <c r="DB24" s="514" t="str">
        <f t="shared" si="14"/>
        <v/>
      </c>
      <c r="DC24" s="514" t="str">
        <f t="shared" si="14"/>
        <v/>
      </c>
      <c r="DD24" s="514" t="str">
        <f t="shared" si="14"/>
        <v/>
      </c>
      <c r="DE24" s="514" t="str">
        <f t="shared" si="14"/>
        <v/>
      </c>
      <c r="DF24" s="514" t="str">
        <f t="shared" si="14"/>
        <v/>
      </c>
      <c r="DG24" s="514" t="str">
        <f t="shared" si="14"/>
        <v/>
      </c>
      <c r="DH24" s="514" t="str">
        <f t="shared" si="14"/>
        <v/>
      </c>
      <c r="DI24" s="514" t="str">
        <f t="shared" si="14"/>
        <v/>
      </c>
      <c r="DJ24" s="514" t="str">
        <f t="shared" si="14"/>
        <v/>
      </c>
    </row>
    <row r="25">
      <c r="A25" s="513" t="s">
        <v>1673</v>
      </c>
      <c r="B25" s="513" t="str">
        <f>'NPC dps'!D12</f>
        <v>Slash</v>
      </c>
      <c r="C25" s="513">
        <f>'NPC dps'!L12</f>
        <v>0</v>
      </c>
      <c r="D25" s="513">
        <f>'NPC dps'!M12</f>
        <v>33</v>
      </c>
      <c r="E25" s="514">
        <f t="shared" si="15"/>
        <v>16.5</v>
      </c>
      <c r="F25" s="514">
        <f t="shared" ref="F25:DJ25" si="16">if(and(F$1&gt;=$C25,F$1&lt;=$D25),if($B$18,(1-$D$5)*F$1+$D$5*F$5,if($B$19,index($F$7:$DJ$16,match($B25,$C$7:$C$16),columns($F:F)),if($B$20,0.25*index($F$7:$DJ$16,match($B25,$C$7:$C$16)-1,columns($F:F))+0.75*index($F$7:$DJ$16,match($B25,$C$7:$C$16),columns($F:F)),F$1))),"")</f>
        <v>0</v>
      </c>
      <c r="G25" s="514">
        <f t="shared" si="16"/>
        <v>1</v>
      </c>
      <c r="H25" s="514">
        <f t="shared" si="16"/>
        <v>2</v>
      </c>
      <c r="I25" s="514">
        <f t="shared" si="16"/>
        <v>3</v>
      </c>
      <c r="J25" s="514">
        <f t="shared" si="16"/>
        <v>4</v>
      </c>
      <c r="K25" s="514">
        <f t="shared" si="16"/>
        <v>5</v>
      </c>
      <c r="L25" s="514">
        <f t="shared" si="16"/>
        <v>6</v>
      </c>
      <c r="M25" s="514">
        <f t="shared" si="16"/>
        <v>7</v>
      </c>
      <c r="N25" s="514">
        <f t="shared" si="16"/>
        <v>8</v>
      </c>
      <c r="O25" s="514">
        <f t="shared" si="16"/>
        <v>9</v>
      </c>
      <c r="P25" s="514">
        <f t="shared" si="16"/>
        <v>10</v>
      </c>
      <c r="Q25" s="514">
        <f t="shared" si="16"/>
        <v>11</v>
      </c>
      <c r="R25" s="514">
        <f t="shared" si="16"/>
        <v>12</v>
      </c>
      <c r="S25" s="514">
        <f t="shared" si="16"/>
        <v>13</v>
      </c>
      <c r="T25" s="514">
        <f t="shared" si="16"/>
        <v>14</v>
      </c>
      <c r="U25" s="514">
        <f t="shared" si="16"/>
        <v>15</v>
      </c>
      <c r="V25" s="514">
        <f t="shared" si="16"/>
        <v>16</v>
      </c>
      <c r="W25" s="514">
        <f t="shared" si="16"/>
        <v>17</v>
      </c>
      <c r="X25" s="514">
        <f t="shared" si="16"/>
        <v>18</v>
      </c>
      <c r="Y25" s="514">
        <f t="shared" si="16"/>
        <v>19</v>
      </c>
      <c r="Z25" s="514">
        <f t="shared" si="16"/>
        <v>20</v>
      </c>
      <c r="AA25" s="514">
        <f t="shared" si="16"/>
        <v>21</v>
      </c>
      <c r="AB25" s="514">
        <f t="shared" si="16"/>
        <v>22</v>
      </c>
      <c r="AC25" s="514">
        <f t="shared" si="16"/>
        <v>23</v>
      </c>
      <c r="AD25" s="514">
        <f t="shared" si="16"/>
        <v>24</v>
      </c>
      <c r="AE25" s="514">
        <f t="shared" si="16"/>
        <v>25</v>
      </c>
      <c r="AF25" s="514">
        <f t="shared" si="16"/>
        <v>26</v>
      </c>
      <c r="AG25" s="514">
        <f t="shared" si="16"/>
        <v>27</v>
      </c>
      <c r="AH25" s="514">
        <f t="shared" si="16"/>
        <v>28</v>
      </c>
      <c r="AI25" s="514">
        <f t="shared" si="16"/>
        <v>29</v>
      </c>
      <c r="AJ25" s="514">
        <f t="shared" si="16"/>
        <v>30</v>
      </c>
      <c r="AK25" s="514">
        <f t="shared" si="16"/>
        <v>31</v>
      </c>
      <c r="AL25" s="514">
        <f t="shared" si="16"/>
        <v>32</v>
      </c>
      <c r="AM25" s="514">
        <f t="shared" si="16"/>
        <v>33</v>
      </c>
      <c r="AN25" s="514" t="str">
        <f t="shared" si="16"/>
        <v/>
      </c>
      <c r="AO25" s="514" t="str">
        <f t="shared" si="16"/>
        <v/>
      </c>
      <c r="AP25" s="514" t="str">
        <f t="shared" si="16"/>
        <v/>
      </c>
      <c r="AQ25" s="514" t="str">
        <f t="shared" si="16"/>
        <v/>
      </c>
      <c r="AR25" s="514" t="str">
        <f t="shared" si="16"/>
        <v/>
      </c>
      <c r="AS25" s="514" t="str">
        <f t="shared" si="16"/>
        <v/>
      </c>
      <c r="AT25" s="514" t="str">
        <f t="shared" si="16"/>
        <v/>
      </c>
      <c r="AU25" s="514" t="str">
        <f t="shared" si="16"/>
        <v/>
      </c>
      <c r="AV25" s="514" t="str">
        <f t="shared" si="16"/>
        <v/>
      </c>
      <c r="AW25" s="514" t="str">
        <f t="shared" si="16"/>
        <v/>
      </c>
      <c r="AX25" s="514" t="str">
        <f t="shared" si="16"/>
        <v/>
      </c>
      <c r="AY25" s="514" t="str">
        <f t="shared" si="16"/>
        <v/>
      </c>
      <c r="AZ25" s="514" t="str">
        <f t="shared" si="16"/>
        <v/>
      </c>
      <c r="BA25" s="514" t="str">
        <f t="shared" si="16"/>
        <v/>
      </c>
      <c r="BB25" s="514" t="str">
        <f t="shared" si="16"/>
        <v/>
      </c>
      <c r="BC25" s="514" t="str">
        <f t="shared" si="16"/>
        <v/>
      </c>
      <c r="BD25" s="514" t="str">
        <f t="shared" si="16"/>
        <v/>
      </c>
      <c r="BE25" s="514" t="str">
        <f t="shared" si="16"/>
        <v/>
      </c>
      <c r="BF25" s="514" t="str">
        <f t="shared" si="16"/>
        <v/>
      </c>
      <c r="BG25" s="514" t="str">
        <f t="shared" si="16"/>
        <v/>
      </c>
      <c r="BH25" s="514" t="str">
        <f t="shared" si="16"/>
        <v/>
      </c>
      <c r="BI25" s="514" t="str">
        <f t="shared" si="16"/>
        <v/>
      </c>
      <c r="BJ25" s="514" t="str">
        <f t="shared" si="16"/>
        <v/>
      </c>
      <c r="BK25" s="514" t="str">
        <f t="shared" si="16"/>
        <v/>
      </c>
      <c r="BL25" s="514" t="str">
        <f t="shared" si="16"/>
        <v/>
      </c>
      <c r="BM25" s="514" t="str">
        <f t="shared" si="16"/>
        <v/>
      </c>
      <c r="BN25" s="514" t="str">
        <f t="shared" si="16"/>
        <v/>
      </c>
      <c r="BO25" s="514" t="str">
        <f t="shared" si="16"/>
        <v/>
      </c>
      <c r="BP25" s="514" t="str">
        <f t="shared" si="16"/>
        <v/>
      </c>
      <c r="BQ25" s="514" t="str">
        <f t="shared" si="16"/>
        <v/>
      </c>
      <c r="BR25" s="514" t="str">
        <f t="shared" si="16"/>
        <v/>
      </c>
      <c r="BS25" s="514" t="str">
        <f t="shared" si="16"/>
        <v/>
      </c>
      <c r="BT25" s="514" t="str">
        <f t="shared" si="16"/>
        <v/>
      </c>
      <c r="BU25" s="514" t="str">
        <f t="shared" si="16"/>
        <v/>
      </c>
      <c r="BV25" s="514" t="str">
        <f t="shared" si="16"/>
        <v/>
      </c>
      <c r="BW25" s="514" t="str">
        <f t="shared" si="16"/>
        <v/>
      </c>
      <c r="BX25" s="514" t="str">
        <f t="shared" si="16"/>
        <v/>
      </c>
      <c r="BY25" s="514" t="str">
        <f t="shared" si="16"/>
        <v/>
      </c>
      <c r="BZ25" s="514" t="str">
        <f t="shared" si="16"/>
        <v/>
      </c>
      <c r="CA25" s="514" t="str">
        <f t="shared" si="16"/>
        <v/>
      </c>
      <c r="CB25" s="514" t="str">
        <f t="shared" si="16"/>
        <v/>
      </c>
      <c r="CC25" s="514" t="str">
        <f t="shared" si="16"/>
        <v/>
      </c>
      <c r="CD25" s="514" t="str">
        <f t="shared" si="16"/>
        <v/>
      </c>
      <c r="CE25" s="514" t="str">
        <f t="shared" si="16"/>
        <v/>
      </c>
      <c r="CF25" s="514" t="str">
        <f t="shared" si="16"/>
        <v/>
      </c>
      <c r="CG25" s="514" t="str">
        <f t="shared" si="16"/>
        <v/>
      </c>
      <c r="CH25" s="514" t="str">
        <f t="shared" si="16"/>
        <v/>
      </c>
      <c r="CI25" s="514" t="str">
        <f t="shared" si="16"/>
        <v/>
      </c>
      <c r="CJ25" s="514" t="str">
        <f t="shared" si="16"/>
        <v/>
      </c>
      <c r="CK25" s="514" t="str">
        <f t="shared" si="16"/>
        <v/>
      </c>
      <c r="CL25" s="514" t="str">
        <f t="shared" si="16"/>
        <v/>
      </c>
      <c r="CM25" s="514" t="str">
        <f t="shared" si="16"/>
        <v/>
      </c>
      <c r="CN25" s="514" t="str">
        <f t="shared" si="16"/>
        <v/>
      </c>
      <c r="CO25" s="514" t="str">
        <f t="shared" si="16"/>
        <v/>
      </c>
      <c r="CP25" s="514" t="str">
        <f t="shared" si="16"/>
        <v/>
      </c>
      <c r="CQ25" s="514" t="str">
        <f t="shared" si="16"/>
        <v/>
      </c>
      <c r="CR25" s="514" t="str">
        <f t="shared" si="16"/>
        <v/>
      </c>
      <c r="CS25" s="514" t="str">
        <f t="shared" si="16"/>
        <v/>
      </c>
      <c r="CT25" s="514" t="str">
        <f t="shared" si="16"/>
        <v/>
      </c>
      <c r="CU25" s="514" t="str">
        <f t="shared" si="16"/>
        <v/>
      </c>
      <c r="CV25" s="514" t="str">
        <f t="shared" si="16"/>
        <v/>
      </c>
      <c r="CW25" s="514" t="str">
        <f t="shared" si="16"/>
        <v/>
      </c>
      <c r="CX25" s="514" t="str">
        <f t="shared" si="16"/>
        <v/>
      </c>
      <c r="CY25" s="514" t="str">
        <f t="shared" si="16"/>
        <v/>
      </c>
      <c r="CZ25" s="514" t="str">
        <f t="shared" si="16"/>
        <v/>
      </c>
      <c r="DA25" s="514" t="str">
        <f t="shared" si="16"/>
        <v/>
      </c>
      <c r="DB25" s="514" t="str">
        <f t="shared" si="16"/>
        <v/>
      </c>
      <c r="DC25" s="514" t="str">
        <f t="shared" si="16"/>
        <v/>
      </c>
      <c r="DD25" s="514" t="str">
        <f t="shared" si="16"/>
        <v/>
      </c>
      <c r="DE25" s="514" t="str">
        <f t="shared" si="16"/>
        <v/>
      </c>
      <c r="DF25" s="514" t="str">
        <f t="shared" si="16"/>
        <v/>
      </c>
      <c r="DG25" s="514" t="str">
        <f t="shared" si="16"/>
        <v/>
      </c>
      <c r="DH25" s="514" t="str">
        <f t="shared" si="16"/>
        <v/>
      </c>
      <c r="DI25" s="514" t="str">
        <f t="shared" si="16"/>
        <v/>
      </c>
      <c r="DJ25" s="514" t="str">
        <f t="shared" si="16"/>
        <v/>
      </c>
    </row>
    <row r="26">
      <c r="A26" s="513" t="s">
        <v>1674</v>
      </c>
      <c r="B26" s="513" t="str">
        <f>'NPC dps'!D13</f>
        <v>Crush</v>
      </c>
      <c r="C26" s="513">
        <f>'NPC dps'!L13</f>
        <v>0</v>
      </c>
      <c r="D26" s="513">
        <f>'NPC dps'!M13</f>
        <v>33</v>
      </c>
      <c r="E26" s="514">
        <f t="shared" si="15"/>
        <v>16.5</v>
      </c>
      <c r="F26" s="514">
        <f t="shared" ref="F26:DJ26" si="17">if(and(F$1&gt;=$C26,F$1&lt;=$D26),if($B$18,(1-$D$5)*F$1+$D$5*F$5,if($B$19,index($F$7:$DJ$16,match($B26,$C$7:$C$16),columns($F:F)),if($B$20,0.25*index($F$7:$DJ$16,match($B26,$C$7:$C$16)-1,columns($F:F))+0.75*index($F$7:$DJ$16,match($B26,$C$7:$C$16),columns($F:F)),F$1))),"")</f>
        <v>0</v>
      </c>
      <c r="G26" s="514">
        <f t="shared" si="17"/>
        <v>1</v>
      </c>
      <c r="H26" s="514">
        <f t="shared" si="17"/>
        <v>2</v>
      </c>
      <c r="I26" s="514">
        <f t="shared" si="17"/>
        <v>3</v>
      </c>
      <c r="J26" s="514">
        <f t="shared" si="17"/>
        <v>4</v>
      </c>
      <c r="K26" s="514">
        <f t="shared" si="17"/>
        <v>5</v>
      </c>
      <c r="L26" s="514">
        <f t="shared" si="17"/>
        <v>6</v>
      </c>
      <c r="M26" s="514">
        <f t="shared" si="17"/>
        <v>7</v>
      </c>
      <c r="N26" s="514">
        <f t="shared" si="17"/>
        <v>8</v>
      </c>
      <c r="O26" s="514">
        <f t="shared" si="17"/>
        <v>9</v>
      </c>
      <c r="P26" s="514">
        <f t="shared" si="17"/>
        <v>10</v>
      </c>
      <c r="Q26" s="514">
        <f t="shared" si="17"/>
        <v>11</v>
      </c>
      <c r="R26" s="514">
        <f t="shared" si="17"/>
        <v>12</v>
      </c>
      <c r="S26" s="514">
        <f t="shared" si="17"/>
        <v>13</v>
      </c>
      <c r="T26" s="514">
        <f t="shared" si="17"/>
        <v>14</v>
      </c>
      <c r="U26" s="514">
        <f t="shared" si="17"/>
        <v>15</v>
      </c>
      <c r="V26" s="514">
        <f t="shared" si="17"/>
        <v>16</v>
      </c>
      <c r="W26" s="514">
        <f t="shared" si="17"/>
        <v>17</v>
      </c>
      <c r="X26" s="514">
        <f t="shared" si="17"/>
        <v>18</v>
      </c>
      <c r="Y26" s="514">
        <f t="shared" si="17"/>
        <v>19</v>
      </c>
      <c r="Z26" s="514">
        <f t="shared" si="17"/>
        <v>20</v>
      </c>
      <c r="AA26" s="514">
        <f t="shared" si="17"/>
        <v>21</v>
      </c>
      <c r="AB26" s="514">
        <f t="shared" si="17"/>
        <v>22</v>
      </c>
      <c r="AC26" s="514">
        <f t="shared" si="17"/>
        <v>23</v>
      </c>
      <c r="AD26" s="514">
        <f t="shared" si="17"/>
        <v>24</v>
      </c>
      <c r="AE26" s="514">
        <f t="shared" si="17"/>
        <v>25</v>
      </c>
      <c r="AF26" s="514">
        <f t="shared" si="17"/>
        <v>26</v>
      </c>
      <c r="AG26" s="514">
        <f t="shared" si="17"/>
        <v>27</v>
      </c>
      <c r="AH26" s="514">
        <f t="shared" si="17"/>
        <v>28</v>
      </c>
      <c r="AI26" s="514">
        <f t="shared" si="17"/>
        <v>29</v>
      </c>
      <c r="AJ26" s="514">
        <f t="shared" si="17"/>
        <v>30</v>
      </c>
      <c r="AK26" s="514">
        <f t="shared" si="17"/>
        <v>31</v>
      </c>
      <c r="AL26" s="514">
        <f t="shared" si="17"/>
        <v>32</v>
      </c>
      <c r="AM26" s="514">
        <f t="shared" si="17"/>
        <v>33</v>
      </c>
      <c r="AN26" s="514" t="str">
        <f t="shared" si="17"/>
        <v/>
      </c>
      <c r="AO26" s="514" t="str">
        <f t="shared" si="17"/>
        <v/>
      </c>
      <c r="AP26" s="514" t="str">
        <f t="shared" si="17"/>
        <v/>
      </c>
      <c r="AQ26" s="514" t="str">
        <f t="shared" si="17"/>
        <v/>
      </c>
      <c r="AR26" s="514" t="str">
        <f t="shared" si="17"/>
        <v/>
      </c>
      <c r="AS26" s="514" t="str">
        <f t="shared" si="17"/>
        <v/>
      </c>
      <c r="AT26" s="514" t="str">
        <f t="shared" si="17"/>
        <v/>
      </c>
      <c r="AU26" s="514" t="str">
        <f t="shared" si="17"/>
        <v/>
      </c>
      <c r="AV26" s="514" t="str">
        <f t="shared" si="17"/>
        <v/>
      </c>
      <c r="AW26" s="514" t="str">
        <f t="shared" si="17"/>
        <v/>
      </c>
      <c r="AX26" s="514" t="str">
        <f t="shared" si="17"/>
        <v/>
      </c>
      <c r="AY26" s="514" t="str">
        <f t="shared" si="17"/>
        <v/>
      </c>
      <c r="AZ26" s="514" t="str">
        <f t="shared" si="17"/>
        <v/>
      </c>
      <c r="BA26" s="514" t="str">
        <f t="shared" si="17"/>
        <v/>
      </c>
      <c r="BB26" s="514" t="str">
        <f t="shared" si="17"/>
        <v/>
      </c>
      <c r="BC26" s="514" t="str">
        <f t="shared" si="17"/>
        <v/>
      </c>
      <c r="BD26" s="514" t="str">
        <f t="shared" si="17"/>
        <v/>
      </c>
      <c r="BE26" s="514" t="str">
        <f t="shared" si="17"/>
        <v/>
      </c>
      <c r="BF26" s="514" t="str">
        <f t="shared" si="17"/>
        <v/>
      </c>
      <c r="BG26" s="514" t="str">
        <f t="shared" si="17"/>
        <v/>
      </c>
      <c r="BH26" s="514" t="str">
        <f t="shared" si="17"/>
        <v/>
      </c>
      <c r="BI26" s="514" t="str">
        <f t="shared" si="17"/>
        <v/>
      </c>
      <c r="BJ26" s="514" t="str">
        <f t="shared" si="17"/>
        <v/>
      </c>
      <c r="BK26" s="514" t="str">
        <f t="shared" si="17"/>
        <v/>
      </c>
      <c r="BL26" s="514" t="str">
        <f t="shared" si="17"/>
        <v/>
      </c>
      <c r="BM26" s="514" t="str">
        <f t="shared" si="17"/>
        <v/>
      </c>
      <c r="BN26" s="514" t="str">
        <f t="shared" si="17"/>
        <v/>
      </c>
      <c r="BO26" s="514" t="str">
        <f t="shared" si="17"/>
        <v/>
      </c>
      <c r="BP26" s="514" t="str">
        <f t="shared" si="17"/>
        <v/>
      </c>
      <c r="BQ26" s="514" t="str">
        <f t="shared" si="17"/>
        <v/>
      </c>
      <c r="BR26" s="514" t="str">
        <f t="shared" si="17"/>
        <v/>
      </c>
      <c r="BS26" s="514" t="str">
        <f t="shared" si="17"/>
        <v/>
      </c>
      <c r="BT26" s="514" t="str">
        <f t="shared" si="17"/>
        <v/>
      </c>
      <c r="BU26" s="514" t="str">
        <f t="shared" si="17"/>
        <v/>
      </c>
      <c r="BV26" s="514" t="str">
        <f t="shared" si="17"/>
        <v/>
      </c>
      <c r="BW26" s="514" t="str">
        <f t="shared" si="17"/>
        <v/>
      </c>
      <c r="BX26" s="514" t="str">
        <f t="shared" si="17"/>
        <v/>
      </c>
      <c r="BY26" s="514" t="str">
        <f t="shared" si="17"/>
        <v/>
      </c>
      <c r="BZ26" s="514" t="str">
        <f t="shared" si="17"/>
        <v/>
      </c>
      <c r="CA26" s="514" t="str">
        <f t="shared" si="17"/>
        <v/>
      </c>
      <c r="CB26" s="514" t="str">
        <f t="shared" si="17"/>
        <v/>
      </c>
      <c r="CC26" s="514" t="str">
        <f t="shared" si="17"/>
        <v/>
      </c>
      <c r="CD26" s="514" t="str">
        <f t="shared" si="17"/>
        <v/>
      </c>
      <c r="CE26" s="514" t="str">
        <f t="shared" si="17"/>
        <v/>
      </c>
      <c r="CF26" s="514" t="str">
        <f t="shared" si="17"/>
        <v/>
      </c>
      <c r="CG26" s="514" t="str">
        <f t="shared" si="17"/>
        <v/>
      </c>
      <c r="CH26" s="514" t="str">
        <f t="shared" si="17"/>
        <v/>
      </c>
      <c r="CI26" s="514" t="str">
        <f t="shared" si="17"/>
        <v/>
      </c>
      <c r="CJ26" s="514" t="str">
        <f t="shared" si="17"/>
        <v/>
      </c>
      <c r="CK26" s="514" t="str">
        <f t="shared" si="17"/>
        <v/>
      </c>
      <c r="CL26" s="514" t="str">
        <f t="shared" si="17"/>
        <v/>
      </c>
      <c r="CM26" s="514" t="str">
        <f t="shared" si="17"/>
        <v/>
      </c>
      <c r="CN26" s="514" t="str">
        <f t="shared" si="17"/>
        <v/>
      </c>
      <c r="CO26" s="514" t="str">
        <f t="shared" si="17"/>
        <v/>
      </c>
      <c r="CP26" s="514" t="str">
        <f t="shared" si="17"/>
        <v/>
      </c>
      <c r="CQ26" s="514" t="str">
        <f t="shared" si="17"/>
        <v/>
      </c>
      <c r="CR26" s="514" t="str">
        <f t="shared" si="17"/>
        <v/>
      </c>
      <c r="CS26" s="514" t="str">
        <f t="shared" si="17"/>
        <v/>
      </c>
      <c r="CT26" s="514" t="str">
        <f t="shared" si="17"/>
        <v/>
      </c>
      <c r="CU26" s="514" t="str">
        <f t="shared" si="17"/>
        <v/>
      </c>
      <c r="CV26" s="514" t="str">
        <f t="shared" si="17"/>
        <v/>
      </c>
      <c r="CW26" s="514" t="str">
        <f t="shared" si="17"/>
        <v/>
      </c>
      <c r="CX26" s="514" t="str">
        <f t="shared" si="17"/>
        <v/>
      </c>
      <c r="CY26" s="514" t="str">
        <f t="shared" si="17"/>
        <v/>
      </c>
      <c r="CZ26" s="514" t="str">
        <f t="shared" si="17"/>
        <v/>
      </c>
      <c r="DA26" s="514" t="str">
        <f t="shared" si="17"/>
        <v/>
      </c>
      <c r="DB26" s="514" t="str">
        <f t="shared" si="17"/>
        <v/>
      </c>
      <c r="DC26" s="514" t="str">
        <f t="shared" si="17"/>
        <v/>
      </c>
      <c r="DD26" s="514" t="str">
        <f t="shared" si="17"/>
        <v/>
      </c>
      <c r="DE26" s="514" t="str">
        <f t="shared" si="17"/>
        <v/>
      </c>
      <c r="DF26" s="514" t="str">
        <f t="shared" si="17"/>
        <v/>
      </c>
      <c r="DG26" s="514" t="str">
        <f t="shared" si="17"/>
        <v/>
      </c>
      <c r="DH26" s="514" t="str">
        <f t="shared" si="17"/>
        <v/>
      </c>
      <c r="DI26" s="514" t="str">
        <f t="shared" si="17"/>
        <v/>
      </c>
      <c r="DJ26" s="514" t="str">
        <f t="shared" si="17"/>
        <v/>
      </c>
    </row>
    <row r="27">
      <c r="A27" s="513" t="s">
        <v>1675</v>
      </c>
      <c r="B27" s="513" t="str">
        <f>'NPC dps'!D15</f>
        <v>Magic</v>
      </c>
      <c r="C27" s="513">
        <f>'NPC dps'!L15</f>
        <v>0</v>
      </c>
      <c r="D27" s="513">
        <f>'NPC dps'!M15</f>
        <v>36</v>
      </c>
      <c r="E27" s="514">
        <f t="shared" si="15"/>
        <v>18</v>
      </c>
      <c r="F27" s="514">
        <f t="shared" ref="F27:DJ27" si="18">if(and(F$1&gt;=$C27,F$1&lt;=$D27),if($B$18,(1-$D$5)*F$1+$D$5*F$5,if($B$19,index($F$7:$DJ$16,match($B27,$C$7:$C$16),columns($F:F)),if($B$20,0.25*index($F$7:$DJ$16,match($B27,$C$7:$C$16)-1,columns($F:F))+0.75*index($F$7:$DJ$16,match($B27,$C$7:$C$16),columns($F:F)),F1))),"")</f>
        <v>0</v>
      </c>
      <c r="G27" s="514">
        <f t="shared" si="18"/>
        <v>1</v>
      </c>
      <c r="H27" s="514">
        <f t="shared" si="18"/>
        <v>2</v>
      </c>
      <c r="I27" s="514">
        <f t="shared" si="18"/>
        <v>3</v>
      </c>
      <c r="J27" s="514">
        <f t="shared" si="18"/>
        <v>4</v>
      </c>
      <c r="K27" s="514">
        <f t="shared" si="18"/>
        <v>5</v>
      </c>
      <c r="L27" s="514">
        <f t="shared" si="18"/>
        <v>6</v>
      </c>
      <c r="M27" s="514">
        <f t="shared" si="18"/>
        <v>7</v>
      </c>
      <c r="N27" s="514">
        <f t="shared" si="18"/>
        <v>8</v>
      </c>
      <c r="O27" s="514">
        <f t="shared" si="18"/>
        <v>9</v>
      </c>
      <c r="P27" s="514">
        <f t="shared" si="18"/>
        <v>10</v>
      </c>
      <c r="Q27" s="514">
        <f t="shared" si="18"/>
        <v>11</v>
      </c>
      <c r="R27" s="514">
        <f t="shared" si="18"/>
        <v>12</v>
      </c>
      <c r="S27" s="514">
        <f t="shared" si="18"/>
        <v>13</v>
      </c>
      <c r="T27" s="514">
        <f t="shared" si="18"/>
        <v>14</v>
      </c>
      <c r="U27" s="514">
        <f t="shared" si="18"/>
        <v>15</v>
      </c>
      <c r="V27" s="514">
        <f t="shared" si="18"/>
        <v>16</v>
      </c>
      <c r="W27" s="514">
        <f t="shared" si="18"/>
        <v>17</v>
      </c>
      <c r="X27" s="514">
        <f t="shared" si="18"/>
        <v>18</v>
      </c>
      <c r="Y27" s="514">
        <f t="shared" si="18"/>
        <v>19</v>
      </c>
      <c r="Z27" s="514">
        <f t="shared" si="18"/>
        <v>20</v>
      </c>
      <c r="AA27" s="514">
        <f t="shared" si="18"/>
        <v>21</v>
      </c>
      <c r="AB27" s="514">
        <f t="shared" si="18"/>
        <v>22</v>
      </c>
      <c r="AC27" s="514">
        <f t="shared" si="18"/>
        <v>23</v>
      </c>
      <c r="AD27" s="514">
        <f t="shared" si="18"/>
        <v>24</v>
      </c>
      <c r="AE27" s="514">
        <f t="shared" si="18"/>
        <v>25</v>
      </c>
      <c r="AF27" s="514">
        <f t="shared" si="18"/>
        <v>26</v>
      </c>
      <c r="AG27" s="514">
        <f t="shared" si="18"/>
        <v>27</v>
      </c>
      <c r="AH27" s="514">
        <f t="shared" si="18"/>
        <v>28</v>
      </c>
      <c r="AI27" s="514">
        <f t="shared" si="18"/>
        <v>29</v>
      </c>
      <c r="AJ27" s="514">
        <f t="shared" si="18"/>
        <v>30</v>
      </c>
      <c r="AK27" s="514">
        <f t="shared" si="18"/>
        <v>31</v>
      </c>
      <c r="AL27" s="514">
        <f t="shared" si="18"/>
        <v>32</v>
      </c>
      <c r="AM27" s="514">
        <f t="shared" si="18"/>
        <v>33</v>
      </c>
      <c r="AN27" s="514">
        <f t="shared" si="18"/>
        <v>34</v>
      </c>
      <c r="AO27" s="514">
        <f t="shared" si="18"/>
        <v>35</v>
      </c>
      <c r="AP27" s="514">
        <f t="shared" si="18"/>
        <v>36</v>
      </c>
      <c r="AQ27" s="514" t="str">
        <f t="shared" si="18"/>
        <v/>
      </c>
      <c r="AR27" s="514" t="str">
        <f t="shared" si="18"/>
        <v/>
      </c>
      <c r="AS27" s="514" t="str">
        <f t="shared" si="18"/>
        <v/>
      </c>
      <c r="AT27" s="514" t="str">
        <f t="shared" si="18"/>
        <v/>
      </c>
      <c r="AU27" s="514" t="str">
        <f t="shared" si="18"/>
        <v/>
      </c>
      <c r="AV27" s="514" t="str">
        <f t="shared" si="18"/>
        <v/>
      </c>
      <c r="AW27" s="514" t="str">
        <f t="shared" si="18"/>
        <v/>
      </c>
      <c r="AX27" s="514" t="str">
        <f t="shared" si="18"/>
        <v/>
      </c>
      <c r="AY27" s="514" t="str">
        <f t="shared" si="18"/>
        <v/>
      </c>
      <c r="AZ27" s="514" t="str">
        <f t="shared" si="18"/>
        <v/>
      </c>
      <c r="BA27" s="514" t="str">
        <f t="shared" si="18"/>
        <v/>
      </c>
      <c r="BB27" s="514" t="str">
        <f t="shared" si="18"/>
        <v/>
      </c>
      <c r="BC27" s="514" t="str">
        <f t="shared" si="18"/>
        <v/>
      </c>
      <c r="BD27" s="514" t="str">
        <f t="shared" si="18"/>
        <v/>
      </c>
      <c r="BE27" s="514" t="str">
        <f t="shared" si="18"/>
        <v/>
      </c>
      <c r="BF27" s="514" t="str">
        <f t="shared" si="18"/>
        <v/>
      </c>
      <c r="BG27" s="514" t="str">
        <f t="shared" si="18"/>
        <v/>
      </c>
      <c r="BH27" s="514" t="str">
        <f t="shared" si="18"/>
        <v/>
      </c>
      <c r="BI27" s="514" t="str">
        <f t="shared" si="18"/>
        <v/>
      </c>
      <c r="BJ27" s="514" t="str">
        <f t="shared" si="18"/>
        <v/>
      </c>
      <c r="BK27" s="514" t="str">
        <f t="shared" si="18"/>
        <v/>
      </c>
      <c r="BL27" s="514" t="str">
        <f t="shared" si="18"/>
        <v/>
      </c>
      <c r="BM27" s="514" t="str">
        <f t="shared" si="18"/>
        <v/>
      </c>
      <c r="BN27" s="514" t="str">
        <f t="shared" si="18"/>
        <v/>
      </c>
      <c r="BO27" s="514" t="str">
        <f t="shared" si="18"/>
        <v/>
      </c>
      <c r="BP27" s="514" t="str">
        <f t="shared" si="18"/>
        <v/>
      </c>
      <c r="BQ27" s="514" t="str">
        <f t="shared" si="18"/>
        <v/>
      </c>
      <c r="BR27" s="514" t="str">
        <f t="shared" si="18"/>
        <v/>
      </c>
      <c r="BS27" s="514" t="str">
        <f t="shared" si="18"/>
        <v/>
      </c>
      <c r="BT27" s="514" t="str">
        <f t="shared" si="18"/>
        <v/>
      </c>
      <c r="BU27" s="514" t="str">
        <f t="shared" si="18"/>
        <v/>
      </c>
      <c r="BV27" s="514" t="str">
        <f t="shared" si="18"/>
        <v/>
      </c>
      <c r="BW27" s="514" t="str">
        <f t="shared" si="18"/>
        <v/>
      </c>
      <c r="BX27" s="514" t="str">
        <f t="shared" si="18"/>
        <v/>
      </c>
      <c r="BY27" s="514" t="str">
        <f t="shared" si="18"/>
        <v/>
      </c>
      <c r="BZ27" s="514" t="str">
        <f t="shared" si="18"/>
        <v/>
      </c>
      <c r="CA27" s="514" t="str">
        <f t="shared" si="18"/>
        <v/>
      </c>
      <c r="CB27" s="514" t="str">
        <f t="shared" si="18"/>
        <v/>
      </c>
      <c r="CC27" s="514" t="str">
        <f t="shared" si="18"/>
        <v/>
      </c>
      <c r="CD27" s="514" t="str">
        <f t="shared" si="18"/>
        <v/>
      </c>
      <c r="CE27" s="514" t="str">
        <f t="shared" si="18"/>
        <v/>
      </c>
      <c r="CF27" s="514" t="str">
        <f t="shared" si="18"/>
        <v/>
      </c>
      <c r="CG27" s="514" t="str">
        <f t="shared" si="18"/>
        <v/>
      </c>
      <c r="CH27" s="514" t="str">
        <f t="shared" si="18"/>
        <v/>
      </c>
      <c r="CI27" s="514" t="str">
        <f t="shared" si="18"/>
        <v/>
      </c>
      <c r="CJ27" s="514" t="str">
        <f t="shared" si="18"/>
        <v/>
      </c>
      <c r="CK27" s="514" t="str">
        <f t="shared" si="18"/>
        <v/>
      </c>
      <c r="CL27" s="514" t="str">
        <f t="shared" si="18"/>
        <v/>
      </c>
      <c r="CM27" s="514" t="str">
        <f t="shared" si="18"/>
        <v/>
      </c>
      <c r="CN27" s="514" t="str">
        <f t="shared" si="18"/>
        <v/>
      </c>
      <c r="CO27" s="514" t="str">
        <f t="shared" si="18"/>
        <v/>
      </c>
      <c r="CP27" s="514" t="str">
        <f t="shared" si="18"/>
        <v/>
      </c>
      <c r="CQ27" s="514" t="str">
        <f t="shared" si="18"/>
        <v/>
      </c>
      <c r="CR27" s="514" t="str">
        <f t="shared" si="18"/>
        <v/>
      </c>
      <c r="CS27" s="514" t="str">
        <f t="shared" si="18"/>
        <v/>
      </c>
      <c r="CT27" s="514" t="str">
        <f t="shared" si="18"/>
        <v/>
      </c>
      <c r="CU27" s="514" t="str">
        <f t="shared" si="18"/>
        <v/>
      </c>
      <c r="CV27" s="514" t="str">
        <f t="shared" si="18"/>
        <v/>
      </c>
      <c r="CW27" s="514" t="str">
        <f t="shared" si="18"/>
        <v/>
      </c>
      <c r="CX27" s="514" t="str">
        <f t="shared" si="18"/>
        <v/>
      </c>
      <c r="CY27" s="514" t="str">
        <f t="shared" si="18"/>
        <v/>
      </c>
      <c r="CZ27" s="514" t="str">
        <f t="shared" si="18"/>
        <v/>
      </c>
      <c r="DA27" s="514" t="str">
        <f t="shared" si="18"/>
        <v/>
      </c>
      <c r="DB27" s="514" t="str">
        <f t="shared" si="18"/>
        <v/>
      </c>
      <c r="DC27" s="514" t="str">
        <f t="shared" si="18"/>
        <v/>
      </c>
      <c r="DD27" s="514" t="str">
        <f t="shared" si="18"/>
        <v/>
      </c>
      <c r="DE27" s="514" t="str">
        <f t="shared" si="18"/>
        <v/>
      </c>
      <c r="DF27" s="514" t="str">
        <f t="shared" si="18"/>
        <v/>
      </c>
      <c r="DG27" s="514" t="str">
        <f t="shared" si="18"/>
        <v/>
      </c>
      <c r="DH27" s="514" t="str">
        <f t="shared" si="18"/>
        <v/>
      </c>
      <c r="DI27" s="514" t="str">
        <f t="shared" si="18"/>
        <v/>
      </c>
      <c r="DJ27" s="514" t="str">
        <f t="shared" si="18"/>
        <v/>
      </c>
    </row>
    <row r="28">
      <c r="A28" s="513" t="s">
        <v>1676</v>
      </c>
      <c r="B28" s="513" t="str">
        <f>'NPC dps'!D16</f>
        <v>Ranged</v>
      </c>
      <c r="C28" s="513">
        <f>'NPC dps'!L16</f>
        <v>0</v>
      </c>
      <c r="D28" s="513">
        <f>'NPC dps'!M16</f>
        <v>16</v>
      </c>
      <c r="E28" s="514">
        <f t="shared" si="15"/>
        <v>8</v>
      </c>
      <c r="F28" s="514">
        <f t="shared" ref="F28:DJ28" si="19">if(and(F$1&gt;=$C28,F$1&lt;=$D28),if($B$18,(1-$D$5)*F$1+$D$5*F$5,if($B$19,index($F$7:$DJ$16,match($B28,$C$7:$C$16),columns($F:F)),if($B$20,0.25*index($F$7:$DJ$16,match($B28,$C$7:$C$16)-1,columns($F:F))+0.75*index($F$7:$DJ$16,match($B28,$C$7:$C$16),columns($F:F)),F1))),"")</f>
        <v>0</v>
      </c>
      <c r="G28" s="514">
        <f t="shared" si="19"/>
        <v>1</v>
      </c>
      <c r="H28" s="514">
        <f t="shared" si="19"/>
        <v>2</v>
      </c>
      <c r="I28" s="514">
        <f t="shared" si="19"/>
        <v>3</v>
      </c>
      <c r="J28" s="514">
        <f t="shared" si="19"/>
        <v>4</v>
      </c>
      <c r="K28" s="514">
        <f t="shared" si="19"/>
        <v>5</v>
      </c>
      <c r="L28" s="514">
        <f t="shared" si="19"/>
        <v>6</v>
      </c>
      <c r="M28" s="514">
        <f t="shared" si="19"/>
        <v>7</v>
      </c>
      <c r="N28" s="514">
        <f t="shared" si="19"/>
        <v>8</v>
      </c>
      <c r="O28" s="514">
        <f t="shared" si="19"/>
        <v>9</v>
      </c>
      <c r="P28" s="514">
        <f t="shared" si="19"/>
        <v>10</v>
      </c>
      <c r="Q28" s="514">
        <f t="shared" si="19"/>
        <v>11</v>
      </c>
      <c r="R28" s="514">
        <f t="shared" si="19"/>
        <v>12</v>
      </c>
      <c r="S28" s="514">
        <f t="shared" si="19"/>
        <v>13</v>
      </c>
      <c r="T28" s="514">
        <f t="shared" si="19"/>
        <v>14</v>
      </c>
      <c r="U28" s="514">
        <f t="shared" si="19"/>
        <v>15</v>
      </c>
      <c r="V28" s="514">
        <f t="shared" si="19"/>
        <v>16</v>
      </c>
      <c r="W28" s="514" t="str">
        <f t="shared" si="19"/>
        <v/>
      </c>
      <c r="X28" s="514" t="str">
        <f t="shared" si="19"/>
        <v/>
      </c>
      <c r="Y28" s="514" t="str">
        <f t="shared" si="19"/>
        <v/>
      </c>
      <c r="Z28" s="514" t="str">
        <f t="shared" si="19"/>
        <v/>
      </c>
      <c r="AA28" s="514" t="str">
        <f t="shared" si="19"/>
        <v/>
      </c>
      <c r="AB28" s="514" t="str">
        <f t="shared" si="19"/>
        <v/>
      </c>
      <c r="AC28" s="514" t="str">
        <f t="shared" si="19"/>
        <v/>
      </c>
      <c r="AD28" s="514" t="str">
        <f t="shared" si="19"/>
        <v/>
      </c>
      <c r="AE28" s="514" t="str">
        <f t="shared" si="19"/>
        <v/>
      </c>
      <c r="AF28" s="514" t="str">
        <f t="shared" si="19"/>
        <v/>
      </c>
      <c r="AG28" s="514" t="str">
        <f t="shared" si="19"/>
        <v/>
      </c>
      <c r="AH28" s="514" t="str">
        <f t="shared" si="19"/>
        <v/>
      </c>
      <c r="AI28" s="514" t="str">
        <f t="shared" si="19"/>
        <v/>
      </c>
      <c r="AJ28" s="514" t="str">
        <f t="shared" si="19"/>
        <v/>
      </c>
      <c r="AK28" s="514" t="str">
        <f t="shared" si="19"/>
        <v/>
      </c>
      <c r="AL28" s="514" t="str">
        <f t="shared" si="19"/>
        <v/>
      </c>
      <c r="AM28" s="514" t="str">
        <f t="shared" si="19"/>
        <v/>
      </c>
      <c r="AN28" s="514" t="str">
        <f t="shared" si="19"/>
        <v/>
      </c>
      <c r="AO28" s="514" t="str">
        <f t="shared" si="19"/>
        <v/>
      </c>
      <c r="AP28" s="514" t="str">
        <f t="shared" si="19"/>
        <v/>
      </c>
      <c r="AQ28" s="514" t="str">
        <f t="shared" si="19"/>
        <v/>
      </c>
      <c r="AR28" s="514" t="str">
        <f t="shared" si="19"/>
        <v/>
      </c>
      <c r="AS28" s="514" t="str">
        <f t="shared" si="19"/>
        <v/>
      </c>
      <c r="AT28" s="514" t="str">
        <f t="shared" si="19"/>
        <v/>
      </c>
      <c r="AU28" s="514" t="str">
        <f t="shared" si="19"/>
        <v/>
      </c>
      <c r="AV28" s="514" t="str">
        <f t="shared" si="19"/>
        <v/>
      </c>
      <c r="AW28" s="514" t="str">
        <f t="shared" si="19"/>
        <v/>
      </c>
      <c r="AX28" s="514" t="str">
        <f t="shared" si="19"/>
        <v/>
      </c>
      <c r="AY28" s="514" t="str">
        <f t="shared" si="19"/>
        <v/>
      </c>
      <c r="AZ28" s="514" t="str">
        <f t="shared" si="19"/>
        <v/>
      </c>
      <c r="BA28" s="514" t="str">
        <f t="shared" si="19"/>
        <v/>
      </c>
      <c r="BB28" s="514" t="str">
        <f t="shared" si="19"/>
        <v/>
      </c>
      <c r="BC28" s="514" t="str">
        <f t="shared" si="19"/>
        <v/>
      </c>
      <c r="BD28" s="514" t="str">
        <f t="shared" si="19"/>
        <v/>
      </c>
      <c r="BE28" s="514" t="str">
        <f t="shared" si="19"/>
        <v/>
      </c>
      <c r="BF28" s="514" t="str">
        <f t="shared" si="19"/>
        <v/>
      </c>
      <c r="BG28" s="514" t="str">
        <f t="shared" si="19"/>
        <v/>
      </c>
      <c r="BH28" s="514" t="str">
        <f t="shared" si="19"/>
        <v/>
      </c>
      <c r="BI28" s="514" t="str">
        <f t="shared" si="19"/>
        <v/>
      </c>
      <c r="BJ28" s="514" t="str">
        <f t="shared" si="19"/>
        <v/>
      </c>
      <c r="BK28" s="514" t="str">
        <f t="shared" si="19"/>
        <v/>
      </c>
      <c r="BL28" s="514" t="str">
        <f t="shared" si="19"/>
        <v/>
      </c>
      <c r="BM28" s="514" t="str">
        <f t="shared" si="19"/>
        <v/>
      </c>
      <c r="BN28" s="514" t="str">
        <f t="shared" si="19"/>
        <v/>
      </c>
      <c r="BO28" s="514" t="str">
        <f t="shared" si="19"/>
        <v/>
      </c>
      <c r="BP28" s="514" t="str">
        <f t="shared" si="19"/>
        <v/>
      </c>
      <c r="BQ28" s="514" t="str">
        <f t="shared" si="19"/>
        <v/>
      </c>
      <c r="BR28" s="514" t="str">
        <f t="shared" si="19"/>
        <v/>
      </c>
      <c r="BS28" s="514" t="str">
        <f t="shared" si="19"/>
        <v/>
      </c>
      <c r="BT28" s="514" t="str">
        <f t="shared" si="19"/>
        <v/>
      </c>
      <c r="BU28" s="514" t="str">
        <f t="shared" si="19"/>
        <v/>
      </c>
      <c r="BV28" s="514" t="str">
        <f t="shared" si="19"/>
        <v/>
      </c>
      <c r="BW28" s="514" t="str">
        <f t="shared" si="19"/>
        <v/>
      </c>
      <c r="BX28" s="514" t="str">
        <f t="shared" si="19"/>
        <v/>
      </c>
      <c r="BY28" s="514" t="str">
        <f t="shared" si="19"/>
        <v/>
      </c>
      <c r="BZ28" s="514" t="str">
        <f t="shared" si="19"/>
        <v/>
      </c>
      <c r="CA28" s="514" t="str">
        <f t="shared" si="19"/>
        <v/>
      </c>
      <c r="CB28" s="514" t="str">
        <f t="shared" si="19"/>
        <v/>
      </c>
      <c r="CC28" s="514" t="str">
        <f t="shared" si="19"/>
        <v/>
      </c>
      <c r="CD28" s="514" t="str">
        <f t="shared" si="19"/>
        <v/>
      </c>
      <c r="CE28" s="514" t="str">
        <f t="shared" si="19"/>
        <v/>
      </c>
      <c r="CF28" s="514" t="str">
        <f t="shared" si="19"/>
        <v/>
      </c>
      <c r="CG28" s="514" t="str">
        <f t="shared" si="19"/>
        <v/>
      </c>
      <c r="CH28" s="514" t="str">
        <f t="shared" si="19"/>
        <v/>
      </c>
      <c r="CI28" s="514" t="str">
        <f t="shared" si="19"/>
        <v/>
      </c>
      <c r="CJ28" s="514" t="str">
        <f t="shared" si="19"/>
        <v/>
      </c>
      <c r="CK28" s="514" t="str">
        <f t="shared" si="19"/>
        <v/>
      </c>
      <c r="CL28" s="514" t="str">
        <f t="shared" si="19"/>
        <v/>
      </c>
      <c r="CM28" s="514" t="str">
        <f t="shared" si="19"/>
        <v/>
      </c>
      <c r="CN28" s="514" t="str">
        <f t="shared" si="19"/>
        <v/>
      </c>
      <c r="CO28" s="514" t="str">
        <f t="shared" si="19"/>
        <v/>
      </c>
      <c r="CP28" s="514" t="str">
        <f t="shared" si="19"/>
        <v/>
      </c>
      <c r="CQ28" s="514" t="str">
        <f t="shared" si="19"/>
        <v/>
      </c>
      <c r="CR28" s="514" t="str">
        <f t="shared" si="19"/>
        <v/>
      </c>
      <c r="CS28" s="514" t="str">
        <f t="shared" si="19"/>
        <v/>
      </c>
      <c r="CT28" s="514" t="str">
        <f t="shared" si="19"/>
        <v/>
      </c>
      <c r="CU28" s="514" t="str">
        <f t="shared" si="19"/>
        <v/>
      </c>
      <c r="CV28" s="514" t="str">
        <f t="shared" si="19"/>
        <v/>
      </c>
      <c r="CW28" s="514" t="str">
        <f t="shared" si="19"/>
        <v/>
      </c>
      <c r="CX28" s="514" t="str">
        <f t="shared" si="19"/>
        <v/>
      </c>
      <c r="CY28" s="514" t="str">
        <f t="shared" si="19"/>
        <v/>
      </c>
      <c r="CZ28" s="514" t="str">
        <f t="shared" si="19"/>
        <v/>
      </c>
      <c r="DA28" s="514" t="str">
        <f t="shared" si="19"/>
        <v/>
      </c>
      <c r="DB28" s="514" t="str">
        <f t="shared" si="19"/>
        <v/>
      </c>
      <c r="DC28" s="514" t="str">
        <f t="shared" si="19"/>
        <v/>
      </c>
      <c r="DD28" s="514" t="str">
        <f t="shared" si="19"/>
        <v/>
      </c>
      <c r="DE28" s="514" t="str">
        <f t="shared" si="19"/>
        <v/>
      </c>
      <c r="DF28" s="514" t="str">
        <f t="shared" si="19"/>
        <v/>
      </c>
      <c r="DG28" s="514" t="str">
        <f t="shared" si="19"/>
        <v/>
      </c>
      <c r="DH28" s="514" t="str">
        <f t="shared" si="19"/>
        <v/>
      </c>
      <c r="DI28" s="514" t="str">
        <f t="shared" si="19"/>
        <v/>
      </c>
      <c r="DJ28" s="514" t="str">
        <f t="shared" si="19"/>
        <v/>
      </c>
    </row>
    <row r="29">
      <c r="A29" s="513" t="s">
        <v>1677</v>
      </c>
      <c r="B29" s="513" t="str">
        <f>'NPC dps'!D17</f>
        <v/>
      </c>
      <c r="C29" s="513" t="str">
        <f>'NPC dps'!L17</f>
        <v/>
      </c>
      <c r="D29" s="513" t="str">
        <f>'NPC dps'!M17</f>
        <v/>
      </c>
      <c r="E29" s="514">
        <f t="shared" si="15"/>
        <v>0</v>
      </c>
      <c r="F29" s="514">
        <f t="shared" ref="F29:DJ29" si="20">if(and(F$1&gt;=$C29,F$1&lt;=$D29),if($B$18,(1-$D$5)*F$1+$D$5*F$5,if($B$19,index($F$7:$DJ$16,match($B29,$C$7:$C$16),columns($F:F)),if($B$20,0.25*index($F$7:$DJ$16,match($B29,$C$7:$C$16)-1,columns($F:F))+0.75*index($F$7:$DJ$16,match($B29,$C$7:$C$16),columns($F:F)),F1))),"")</f>
        <v>0</v>
      </c>
      <c r="G29" s="514" t="str">
        <f t="shared" si="20"/>
        <v/>
      </c>
      <c r="H29" s="514" t="str">
        <f t="shared" si="20"/>
        <v/>
      </c>
      <c r="I29" s="514" t="str">
        <f t="shared" si="20"/>
        <v/>
      </c>
      <c r="J29" s="514" t="str">
        <f t="shared" si="20"/>
        <v/>
      </c>
      <c r="K29" s="514" t="str">
        <f t="shared" si="20"/>
        <v/>
      </c>
      <c r="L29" s="514" t="str">
        <f t="shared" si="20"/>
        <v/>
      </c>
      <c r="M29" s="514" t="str">
        <f t="shared" si="20"/>
        <v/>
      </c>
      <c r="N29" s="514" t="str">
        <f t="shared" si="20"/>
        <v/>
      </c>
      <c r="O29" s="514" t="str">
        <f t="shared" si="20"/>
        <v/>
      </c>
      <c r="P29" s="514" t="str">
        <f t="shared" si="20"/>
        <v/>
      </c>
      <c r="Q29" s="514" t="str">
        <f t="shared" si="20"/>
        <v/>
      </c>
      <c r="R29" s="514" t="str">
        <f t="shared" si="20"/>
        <v/>
      </c>
      <c r="S29" s="514" t="str">
        <f t="shared" si="20"/>
        <v/>
      </c>
      <c r="T29" s="514" t="str">
        <f t="shared" si="20"/>
        <v/>
      </c>
      <c r="U29" s="514" t="str">
        <f t="shared" si="20"/>
        <v/>
      </c>
      <c r="V29" s="514" t="str">
        <f t="shared" si="20"/>
        <v/>
      </c>
      <c r="W29" s="514" t="str">
        <f t="shared" si="20"/>
        <v/>
      </c>
      <c r="X29" s="514" t="str">
        <f t="shared" si="20"/>
        <v/>
      </c>
      <c r="Y29" s="514" t="str">
        <f t="shared" si="20"/>
        <v/>
      </c>
      <c r="Z29" s="514" t="str">
        <f t="shared" si="20"/>
        <v/>
      </c>
      <c r="AA29" s="514" t="str">
        <f t="shared" si="20"/>
        <v/>
      </c>
      <c r="AB29" s="514" t="str">
        <f t="shared" si="20"/>
        <v/>
      </c>
      <c r="AC29" s="514" t="str">
        <f t="shared" si="20"/>
        <v/>
      </c>
      <c r="AD29" s="514" t="str">
        <f t="shared" si="20"/>
        <v/>
      </c>
      <c r="AE29" s="514" t="str">
        <f t="shared" si="20"/>
        <v/>
      </c>
      <c r="AF29" s="514" t="str">
        <f t="shared" si="20"/>
        <v/>
      </c>
      <c r="AG29" s="514" t="str">
        <f t="shared" si="20"/>
        <v/>
      </c>
      <c r="AH29" s="514" t="str">
        <f t="shared" si="20"/>
        <v/>
      </c>
      <c r="AI29" s="514" t="str">
        <f t="shared" si="20"/>
        <v/>
      </c>
      <c r="AJ29" s="514" t="str">
        <f t="shared" si="20"/>
        <v/>
      </c>
      <c r="AK29" s="514" t="str">
        <f t="shared" si="20"/>
        <v/>
      </c>
      <c r="AL29" s="514" t="str">
        <f t="shared" si="20"/>
        <v/>
      </c>
      <c r="AM29" s="514" t="str">
        <f t="shared" si="20"/>
        <v/>
      </c>
      <c r="AN29" s="514" t="str">
        <f t="shared" si="20"/>
        <v/>
      </c>
      <c r="AO29" s="514" t="str">
        <f t="shared" si="20"/>
        <v/>
      </c>
      <c r="AP29" s="514" t="str">
        <f t="shared" si="20"/>
        <v/>
      </c>
      <c r="AQ29" s="514" t="str">
        <f t="shared" si="20"/>
        <v/>
      </c>
      <c r="AR29" s="514" t="str">
        <f t="shared" si="20"/>
        <v/>
      </c>
      <c r="AS29" s="514" t="str">
        <f t="shared" si="20"/>
        <v/>
      </c>
      <c r="AT29" s="514" t="str">
        <f t="shared" si="20"/>
        <v/>
      </c>
      <c r="AU29" s="514" t="str">
        <f t="shared" si="20"/>
        <v/>
      </c>
      <c r="AV29" s="514" t="str">
        <f t="shared" si="20"/>
        <v/>
      </c>
      <c r="AW29" s="514" t="str">
        <f t="shared" si="20"/>
        <v/>
      </c>
      <c r="AX29" s="514" t="str">
        <f t="shared" si="20"/>
        <v/>
      </c>
      <c r="AY29" s="514" t="str">
        <f t="shared" si="20"/>
        <v/>
      </c>
      <c r="AZ29" s="514" t="str">
        <f t="shared" si="20"/>
        <v/>
      </c>
      <c r="BA29" s="514" t="str">
        <f t="shared" si="20"/>
        <v/>
      </c>
      <c r="BB29" s="514" t="str">
        <f t="shared" si="20"/>
        <v/>
      </c>
      <c r="BC29" s="514" t="str">
        <f t="shared" si="20"/>
        <v/>
      </c>
      <c r="BD29" s="514" t="str">
        <f t="shared" si="20"/>
        <v/>
      </c>
      <c r="BE29" s="514" t="str">
        <f t="shared" si="20"/>
        <v/>
      </c>
      <c r="BF29" s="514" t="str">
        <f t="shared" si="20"/>
        <v/>
      </c>
      <c r="BG29" s="514" t="str">
        <f t="shared" si="20"/>
        <v/>
      </c>
      <c r="BH29" s="514" t="str">
        <f t="shared" si="20"/>
        <v/>
      </c>
      <c r="BI29" s="514" t="str">
        <f t="shared" si="20"/>
        <v/>
      </c>
      <c r="BJ29" s="514" t="str">
        <f t="shared" si="20"/>
        <v/>
      </c>
      <c r="BK29" s="514" t="str">
        <f t="shared" si="20"/>
        <v/>
      </c>
      <c r="BL29" s="514" t="str">
        <f t="shared" si="20"/>
        <v/>
      </c>
      <c r="BM29" s="514" t="str">
        <f t="shared" si="20"/>
        <v/>
      </c>
      <c r="BN29" s="514" t="str">
        <f t="shared" si="20"/>
        <v/>
      </c>
      <c r="BO29" s="514" t="str">
        <f t="shared" si="20"/>
        <v/>
      </c>
      <c r="BP29" s="514" t="str">
        <f t="shared" si="20"/>
        <v/>
      </c>
      <c r="BQ29" s="514" t="str">
        <f t="shared" si="20"/>
        <v/>
      </c>
      <c r="BR29" s="514" t="str">
        <f t="shared" si="20"/>
        <v/>
      </c>
      <c r="BS29" s="514" t="str">
        <f t="shared" si="20"/>
        <v/>
      </c>
      <c r="BT29" s="514" t="str">
        <f t="shared" si="20"/>
        <v/>
      </c>
      <c r="BU29" s="514" t="str">
        <f t="shared" si="20"/>
        <v/>
      </c>
      <c r="BV29" s="514" t="str">
        <f t="shared" si="20"/>
        <v/>
      </c>
      <c r="BW29" s="514" t="str">
        <f t="shared" si="20"/>
        <v/>
      </c>
      <c r="BX29" s="514" t="str">
        <f t="shared" si="20"/>
        <v/>
      </c>
      <c r="BY29" s="514" t="str">
        <f t="shared" si="20"/>
        <v/>
      </c>
      <c r="BZ29" s="514" t="str">
        <f t="shared" si="20"/>
        <v/>
      </c>
      <c r="CA29" s="514" t="str">
        <f t="shared" si="20"/>
        <v/>
      </c>
      <c r="CB29" s="514" t="str">
        <f t="shared" si="20"/>
        <v/>
      </c>
      <c r="CC29" s="514" t="str">
        <f t="shared" si="20"/>
        <v/>
      </c>
      <c r="CD29" s="514" t="str">
        <f t="shared" si="20"/>
        <v/>
      </c>
      <c r="CE29" s="514" t="str">
        <f t="shared" si="20"/>
        <v/>
      </c>
      <c r="CF29" s="514" t="str">
        <f t="shared" si="20"/>
        <v/>
      </c>
      <c r="CG29" s="514" t="str">
        <f t="shared" si="20"/>
        <v/>
      </c>
      <c r="CH29" s="514" t="str">
        <f t="shared" si="20"/>
        <v/>
      </c>
      <c r="CI29" s="514" t="str">
        <f t="shared" si="20"/>
        <v/>
      </c>
      <c r="CJ29" s="514" t="str">
        <f t="shared" si="20"/>
        <v/>
      </c>
      <c r="CK29" s="514" t="str">
        <f t="shared" si="20"/>
        <v/>
      </c>
      <c r="CL29" s="514" t="str">
        <f t="shared" si="20"/>
        <v/>
      </c>
      <c r="CM29" s="514" t="str">
        <f t="shared" si="20"/>
        <v/>
      </c>
      <c r="CN29" s="514" t="str">
        <f t="shared" si="20"/>
        <v/>
      </c>
      <c r="CO29" s="514" t="str">
        <f t="shared" si="20"/>
        <v/>
      </c>
      <c r="CP29" s="514" t="str">
        <f t="shared" si="20"/>
        <v/>
      </c>
      <c r="CQ29" s="514" t="str">
        <f t="shared" si="20"/>
        <v/>
      </c>
      <c r="CR29" s="514" t="str">
        <f t="shared" si="20"/>
        <v/>
      </c>
      <c r="CS29" s="514" t="str">
        <f t="shared" si="20"/>
        <v/>
      </c>
      <c r="CT29" s="514" t="str">
        <f t="shared" si="20"/>
        <v/>
      </c>
      <c r="CU29" s="514" t="str">
        <f t="shared" si="20"/>
        <v/>
      </c>
      <c r="CV29" s="514" t="str">
        <f t="shared" si="20"/>
        <v/>
      </c>
      <c r="CW29" s="514" t="str">
        <f t="shared" si="20"/>
        <v/>
      </c>
      <c r="CX29" s="514" t="str">
        <f t="shared" si="20"/>
        <v/>
      </c>
      <c r="CY29" s="514" t="str">
        <f t="shared" si="20"/>
        <v/>
      </c>
      <c r="CZ29" s="514" t="str">
        <f t="shared" si="20"/>
        <v/>
      </c>
      <c r="DA29" s="514" t="str">
        <f t="shared" si="20"/>
        <v/>
      </c>
      <c r="DB29" s="514" t="str">
        <f t="shared" si="20"/>
        <v/>
      </c>
      <c r="DC29" s="514" t="str">
        <f t="shared" si="20"/>
        <v/>
      </c>
      <c r="DD29" s="514" t="str">
        <f t="shared" si="20"/>
        <v/>
      </c>
      <c r="DE29" s="514" t="str">
        <f t="shared" si="20"/>
        <v/>
      </c>
      <c r="DF29" s="514" t="str">
        <f t="shared" si="20"/>
        <v/>
      </c>
      <c r="DG29" s="514" t="str">
        <f t="shared" si="20"/>
        <v/>
      </c>
      <c r="DH29" s="514" t="str">
        <f t="shared" si="20"/>
        <v/>
      </c>
      <c r="DI29" s="514" t="str">
        <f t="shared" si="20"/>
        <v/>
      </c>
      <c r="DJ29" s="514" t="str">
        <f t="shared" si="20"/>
        <v/>
      </c>
    </row>
    <row r="30">
      <c r="A30" s="513"/>
      <c r="B30" s="513"/>
      <c r="C30" s="513"/>
      <c r="D30" s="514"/>
      <c r="E30" s="514"/>
      <c r="F30" s="514"/>
      <c r="G30" s="514"/>
      <c r="H30" s="514"/>
      <c r="I30" s="514"/>
      <c r="J30" s="514"/>
      <c r="K30" s="514"/>
      <c r="L30" s="514"/>
      <c r="M30" s="514"/>
      <c r="N30" s="514"/>
      <c r="O30" s="514"/>
      <c r="P30" s="514"/>
      <c r="Q30" s="514"/>
      <c r="R30" s="514"/>
      <c r="S30" s="514"/>
      <c r="T30" s="514"/>
      <c r="U30" s="514"/>
      <c r="V30" s="514"/>
      <c r="W30" s="514"/>
      <c r="X30" s="514"/>
      <c r="Y30" s="514"/>
      <c r="Z30" s="514"/>
      <c r="AA30" s="514"/>
      <c r="AB30" s="514"/>
      <c r="AC30" s="514"/>
      <c r="AD30" s="514"/>
      <c r="AE30" s="514"/>
      <c r="AF30" s="514"/>
      <c r="AG30" s="514"/>
      <c r="AH30" s="514"/>
      <c r="AI30" s="514"/>
      <c r="AJ30" s="514"/>
      <c r="AK30" s="514"/>
      <c r="AL30" s="514"/>
      <c r="AM30" s="514"/>
      <c r="AN30" s="514"/>
      <c r="AO30" s="514"/>
      <c r="AP30" s="514"/>
      <c r="AQ30" s="514"/>
      <c r="AR30" s="514"/>
      <c r="AS30" s="514"/>
      <c r="AT30" s="514"/>
      <c r="AU30" s="514"/>
      <c r="AV30" s="514"/>
      <c r="AW30" s="514"/>
      <c r="AX30" s="514"/>
      <c r="AY30" s="514"/>
      <c r="AZ30" s="514"/>
      <c r="BA30" s="514"/>
      <c r="BB30" s="514"/>
      <c r="BC30" s="514"/>
      <c r="BD30" s="514"/>
      <c r="BE30" s="514"/>
      <c r="BF30" s="514"/>
      <c r="BG30" s="514"/>
      <c r="BH30" s="514"/>
      <c r="BI30" s="514"/>
      <c r="BJ30" s="514"/>
      <c r="BK30" s="514"/>
      <c r="BL30" s="514"/>
      <c r="BM30" s="514"/>
      <c r="BN30" s="514"/>
      <c r="BO30" s="514"/>
      <c r="BP30" s="514"/>
      <c r="BQ30" s="514"/>
      <c r="BR30" s="514"/>
      <c r="BS30" s="514"/>
      <c r="BT30" s="514"/>
      <c r="BU30" s="514"/>
      <c r="BV30" s="514"/>
      <c r="BW30" s="514"/>
      <c r="BX30" s="514"/>
      <c r="BY30" s="514"/>
      <c r="BZ30" s="514"/>
      <c r="CA30" s="514"/>
      <c r="CB30" s="514"/>
      <c r="CC30" s="514"/>
      <c r="CD30" s="514"/>
      <c r="CE30" s="514"/>
      <c r="CF30" s="514"/>
      <c r="CG30" s="514"/>
      <c r="CH30" s="514"/>
      <c r="CI30" s="514"/>
      <c r="CJ30" s="514"/>
      <c r="CK30" s="514"/>
      <c r="CL30" s="514"/>
      <c r="CM30" s="514"/>
      <c r="CN30" s="514"/>
      <c r="CO30" s="514"/>
      <c r="CP30" s="514"/>
      <c r="CQ30" s="514"/>
      <c r="CR30" s="514"/>
      <c r="CS30" s="514"/>
      <c r="CT30" s="514"/>
      <c r="CU30" s="514"/>
      <c r="CV30" s="514"/>
      <c r="CW30" s="514"/>
      <c r="CX30" s="514"/>
      <c r="CY30" s="514"/>
      <c r="CZ30" s="514"/>
      <c r="DA30" s="514"/>
      <c r="DB30" s="514"/>
      <c r="DC30" s="514"/>
      <c r="DD30" s="514"/>
      <c r="DE30" s="514"/>
      <c r="DF30" s="514"/>
      <c r="DG30" s="514"/>
      <c r="DH30" s="514"/>
      <c r="DI30" s="514"/>
      <c r="DJ30" s="514"/>
    </row>
    <row r="31">
      <c r="A31" s="513"/>
      <c r="B31" s="513"/>
      <c r="C31" s="513"/>
      <c r="D31" s="514"/>
      <c r="E31" s="514"/>
      <c r="F31" s="514"/>
      <c r="G31" s="514"/>
      <c r="H31" s="514"/>
      <c r="I31" s="514"/>
      <c r="J31" s="514"/>
      <c r="K31" s="514"/>
      <c r="L31" s="514"/>
      <c r="M31" s="514"/>
      <c r="N31" s="514"/>
      <c r="O31" s="514"/>
      <c r="P31" s="514"/>
      <c r="Q31" s="514"/>
      <c r="R31" s="514"/>
      <c r="S31" s="514"/>
      <c r="T31" s="514"/>
      <c r="U31" s="514"/>
      <c r="V31" s="514"/>
      <c r="W31" s="514"/>
      <c r="X31" s="514"/>
      <c r="Y31" s="514"/>
      <c r="Z31" s="514"/>
      <c r="AA31" s="514"/>
      <c r="AB31" s="514"/>
      <c r="AC31" s="514"/>
      <c r="AD31" s="514"/>
      <c r="AE31" s="514"/>
      <c r="AF31" s="514"/>
      <c r="AG31" s="514"/>
      <c r="AH31" s="514"/>
      <c r="AI31" s="514"/>
      <c r="AJ31" s="514"/>
      <c r="AK31" s="514"/>
      <c r="AL31" s="514"/>
      <c r="AM31" s="514"/>
      <c r="AN31" s="514"/>
      <c r="AO31" s="514"/>
      <c r="AP31" s="514"/>
      <c r="AQ31" s="514"/>
      <c r="AR31" s="514"/>
      <c r="AS31" s="514"/>
      <c r="AT31" s="514"/>
      <c r="AU31" s="514"/>
      <c r="AV31" s="514"/>
      <c r="AW31" s="514"/>
      <c r="AX31" s="514"/>
      <c r="AY31" s="514"/>
      <c r="AZ31" s="514"/>
      <c r="BA31" s="514"/>
      <c r="BB31" s="514"/>
      <c r="BC31" s="514"/>
      <c r="BD31" s="514"/>
      <c r="BE31" s="514"/>
      <c r="BF31" s="514"/>
      <c r="BG31" s="514"/>
      <c r="BH31" s="514"/>
      <c r="BI31" s="514"/>
      <c r="BJ31" s="514"/>
      <c r="BK31" s="514"/>
      <c r="BL31" s="514"/>
      <c r="BM31" s="514"/>
      <c r="BN31" s="514"/>
      <c r="BO31" s="514"/>
      <c r="BP31" s="514"/>
      <c r="BQ31" s="514"/>
      <c r="BR31" s="514"/>
      <c r="BS31" s="514"/>
      <c r="BT31" s="514"/>
      <c r="BU31" s="514"/>
      <c r="BV31" s="514"/>
      <c r="BW31" s="514"/>
      <c r="BX31" s="514"/>
      <c r="BY31" s="514"/>
      <c r="BZ31" s="514"/>
      <c r="CA31" s="514"/>
      <c r="CB31" s="514"/>
      <c r="CC31" s="514"/>
      <c r="CD31" s="514"/>
      <c r="CE31" s="514"/>
      <c r="CF31" s="514"/>
      <c r="CG31" s="514"/>
      <c r="CH31" s="514"/>
      <c r="CI31" s="514"/>
      <c r="CJ31" s="514"/>
      <c r="CK31" s="514"/>
      <c r="CL31" s="514"/>
      <c r="CM31" s="514"/>
      <c r="CN31" s="514"/>
      <c r="CO31" s="514"/>
      <c r="CP31" s="514"/>
      <c r="CQ31" s="514"/>
      <c r="CR31" s="514"/>
      <c r="CS31" s="514"/>
      <c r="CT31" s="514"/>
      <c r="CU31" s="514"/>
      <c r="CV31" s="514"/>
      <c r="CW31" s="514"/>
      <c r="CX31" s="514"/>
      <c r="CY31" s="514"/>
      <c r="CZ31" s="514"/>
      <c r="DA31" s="514"/>
      <c r="DB31" s="514"/>
      <c r="DC31" s="514"/>
      <c r="DD31" s="514"/>
      <c r="DE31" s="514"/>
      <c r="DF31" s="514"/>
      <c r="DG31" s="514"/>
      <c r="DH31" s="514"/>
      <c r="DI31" s="514"/>
      <c r="DJ31" s="514"/>
    </row>
    <row r="32">
      <c r="A32" s="513"/>
      <c r="B32" s="513"/>
      <c r="C32" s="513"/>
      <c r="D32" s="514"/>
      <c r="E32" s="514"/>
      <c r="F32" s="514"/>
      <c r="G32" s="514"/>
      <c r="H32" s="514"/>
      <c r="I32" s="514"/>
      <c r="J32" s="514"/>
      <c r="K32" s="514"/>
      <c r="L32" s="514"/>
      <c r="M32" s="514"/>
      <c r="N32" s="514"/>
      <c r="O32" s="514"/>
      <c r="P32" s="514"/>
      <c r="Q32" s="514"/>
      <c r="R32" s="514"/>
      <c r="S32" s="514"/>
      <c r="T32" s="514"/>
      <c r="U32" s="514"/>
      <c r="V32" s="514"/>
      <c r="W32" s="514"/>
      <c r="X32" s="514"/>
      <c r="Y32" s="514"/>
      <c r="Z32" s="514"/>
      <c r="AA32" s="514"/>
      <c r="AB32" s="514"/>
      <c r="AC32" s="514"/>
      <c r="AD32" s="514"/>
      <c r="AE32" s="514"/>
      <c r="AF32" s="514"/>
      <c r="AG32" s="514"/>
      <c r="AH32" s="514"/>
      <c r="AI32" s="514"/>
      <c r="AJ32" s="514"/>
      <c r="AK32" s="514"/>
      <c r="AL32" s="514"/>
      <c r="AM32" s="514"/>
      <c r="AN32" s="514"/>
      <c r="AO32" s="514"/>
      <c r="AP32" s="514"/>
      <c r="AQ32" s="514"/>
      <c r="AR32" s="514"/>
      <c r="AS32" s="514"/>
      <c r="AT32" s="514"/>
      <c r="AU32" s="514"/>
      <c r="AV32" s="514"/>
      <c r="AW32" s="514"/>
      <c r="AX32" s="514"/>
      <c r="AY32" s="514"/>
      <c r="AZ32" s="514"/>
      <c r="BA32" s="514"/>
      <c r="BB32" s="514"/>
      <c r="BC32" s="514"/>
      <c r="BD32" s="514"/>
      <c r="BE32" s="514"/>
      <c r="BF32" s="514"/>
      <c r="BG32" s="514"/>
      <c r="BH32" s="514"/>
      <c r="BI32" s="514"/>
      <c r="BJ32" s="514"/>
      <c r="BK32" s="514"/>
      <c r="BL32" s="514"/>
      <c r="BM32" s="514"/>
      <c r="BN32" s="514"/>
      <c r="BO32" s="514"/>
      <c r="BP32" s="514"/>
      <c r="BQ32" s="514"/>
      <c r="BR32" s="514"/>
      <c r="BS32" s="514"/>
      <c r="BT32" s="514"/>
      <c r="BU32" s="514"/>
      <c r="BV32" s="514"/>
      <c r="BW32" s="514"/>
      <c r="BX32" s="514"/>
      <c r="BY32" s="514"/>
      <c r="BZ32" s="514"/>
      <c r="CA32" s="514"/>
      <c r="CB32" s="514"/>
      <c r="CC32" s="514"/>
      <c r="CD32" s="514"/>
      <c r="CE32" s="514"/>
      <c r="CF32" s="514"/>
      <c r="CG32" s="514"/>
      <c r="CH32" s="514"/>
      <c r="CI32" s="514"/>
      <c r="CJ32" s="514"/>
      <c r="CK32" s="514"/>
      <c r="CL32" s="514"/>
      <c r="CM32" s="514"/>
      <c r="CN32" s="514"/>
      <c r="CO32" s="514"/>
      <c r="CP32" s="514"/>
      <c r="CQ32" s="514"/>
      <c r="CR32" s="514"/>
      <c r="CS32" s="514"/>
      <c r="CT32" s="514"/>
      <c r="CU32" s="514"/>
      <c r="CV32" s="514"/>
      <c r="CW32" s="514"/>
      <c r="CX32" s="514"/>
      <c r="CY32" s="514"/>
      <c r="CZ32" s="514"/>
      <c r="DA32" s="514"/>
      <c r="DB32" s="514"/>
      <c r="DC32" s="514"/>
      <c r="DD32" s="514"/>
      <c r="DE32" s="514"/>
      <c r="DF32" s="514"/>
      <c r="DG32" s="514"/>
      <c r="DH32" s="514"/>
      <c r="DI32" s="514"/>
      <c r="DJ32" s="514"/>
    </row>
    <row r="33">
      <c r="A33" s="513"/>
      <c r="B33" s="513"/>
      <c r="C33" s="513"/>
      <c r="D33" s="514"/>
      <c r="E33" s="514"/>
      <c r="F33" s="514"/>
      <c r="G33" s="514"/>
      <c r="H33" s="514"/>
      <c r="I33" s="514"/>
      <c r="J33" s="514"/>
      <c r="K33" s="514"/>
      <c r="L33" s="514"/>
      <c r="M33" s="514"/>
      <c r="N33" s="514"/>
      <c r="O33" s="514"/>
      <c r="P33" s="514"/>
      <c r="Q33" s="514"/>
      <c r="R33" s="514"/>
      <c r="S33" s="514"/>
      <c r="T33" s="514"/>
      <c r="U33" s="514"/>
      <c r="V33" s="514"/>
      <c r="W33" s="514"/>
      <c r="X33" s="514"/>
      <c r="Y33" s="514"/>
      <c r="Z33" s="514"/>
      <c r="AA33" s="514"/>
      <c r="AB33" s="514"/>
      <c r="AC33" s="514"/>
      <c r="AD33" s="514"/>
      <c r="AE33" s="514"/>
      <c r="AF33" s="514"/>
      <c r="AG33" s="514"/>
      <c r="AH33" s="514"/>
      <c r="AI33" s="514"/>
      <c r="AJ33" s="514"/>
      <c r="AK33" s="514"/>
      <c r="AL33" s="514"/>
      <c r="AM33" s="514"/>
      <c r="AN33" s="514"/>
      <c r="AO33" s="514"/>
      <c r="AP33" s="514"/>
      <c r="AQ33" s="514"/>
      <c r="AR33" s="514"/>
      <c r="AS33" s="514"/>
      <c r="AT33" s="514"/>
      <c r="AU33" s="514"/>
      <c r="AV33" s="514"/>
      <c r="AW33" s="514"/>
      <c r="AX33" s="514"/>
      <c r="AY33" s="514"/>
      <c r="AZ33" s="514"/>
      <c r="BA33" s="514"/>
      <c r="BB33" s="514"/>
      <c r="BC33" s="514"/>
      <c r="BD33" s="514"/>
      <c r="BE33" s="514"/>
      <c r="BF33" s="514"/>
      <c r="BG33" s="514"/>
      <c r="BH33" s="514"/>
      <c r="BI33" s="514"/>
      <c r="BJ33" s="514"/>
      <c r="BK33" s="514"/>
      <c r="BL33" s="514"/>
      <c r="BM33" s="514"/>
      <c r="BN33" s="514"/>
      <c r="BO33" s="514"/>
      <c r="BP33" s="514"/>
      <c r="BQ33" s="514"/>
      <c r="BR33" s="514"/>
      <c r="BS33" s="514"/>
      <c r="BT33" s="514"/>
      <c r="BU33" s="514"/>
      <c r="BV33" s="514"/>
      <c r="BW33" s="514"/>
      <c r="BX33" s="514"/>
      <c r="BY33" s="514"/>
      <c r="BZ33" s="514"/>
      <c r="CA33" s="514"/>
      <c r="CB33" s="514"/>
      <c r="CC33" s="514"/>
      <c r="CD33" s="514"/>
      <c r="CE33" s="514"/>
      <c r="CF33" s="514"/>
      <c r="CG33" s="514"/>
      <c r="CH33" s="514"/>
      <c r="CI33" s="514"/>
      <c r="CJ33" s="514"/>
      <c r="CK33" s="514"/>
      <c r="CL33" s="514"/>
      <c r="CM33" s="514"/>
      <c r="CN33" s="514"/>
      <c r="CO33" s="514"/>
      <c r="CP33" s="514"/>
      <c r="CQ33" s="514"/>
      <c r="CR33" s="514"/>
      <c r="CS33" s="514"/>
      <c r="CT33" s="514"/>
      <c r="CU33" s="514"/>
      <c r="CV33" s="514"/>
      <c r="CW33" s="514"/>
      <c r="CX33" s="514"/>
      <c r="CY33" s="514"/>
      <c r="CZ33" s="514"/>
      <c r="DA33" s="514"/>
      <c r="DB33" s="514"/>
      <c r="DC33" s="514"/>
      <c r="DD33" s="514"/>
      <c r="DE33" s="514"/>
      <c r="DF33" s="514"/>
      <c r="DG33" s="514"/>
      <c r="DH33" s="514"/>
      <c r="DI33" s="514"/>
      <c r="DJ33" s="514"/>
    </row>
    <row r="34">
      <c r="A34" s="513"/>
      <c r="B34" s="513"/>
      <c r="C34" s="513"/>
      <c r="D34" s="514"/>
      <c r="E34" s="514"/>
      <c r="F34" s="514"/>
      <c r="G34" s="514"/>
      <c r="H34" s="514"/>
      <c r="I34" s="514"/>
      <c r="J34" s="514"/>
      <c r="K34" s="514"/>
      <c r="L34" s="514"/>
      <c r="M34" s="514"/>
      <c r="N34" s="514"/>
      <c r="O34" s="514"/>
      <c r="P34" s="514"/>
      <c r="Q34" s="514"/>
      <c r="R34" s="514"/>
      <c r="S34" s="514"/>
      <c r="T34" s="514"/>
      <c r="U34" s="514"/>
      <c r="V34" s="514"/>
      <c r="W34" s="514"/>
      <c r="X34" s="514"/>
      <c r="Y34" s="514"/>
      <c r="Z34" s="514"/>
      <c r="AA34" s="514"/>
      <c r="AB34" s="514"/>
      <c r="AC34" s="514"/>
      <c r="AD34" s="514"/>
      <c r="AE34" s="514"/>
      <c r="AF34" s="514"/>
      <c r="AG34" s="514"/>
      <c r="AH34" s="514"/>
      <c r="AI34" s="514"/>
      <c r="AJ34" s="514"/>
      <c r="AK34" s="514"/>
      <c r="AL34" s="514"/>
      <c r="AM34" s="514"/>
      <c r="AN34" s="514"/>
      <c r="AO34" s="514"/>
      <c r="AP34" s="514"/>
      <c r="AQ34" s="514"/>
      <c r="AR34" s="514"/>
      <c r="AS34" s="514"/>
      <c r="AT34" s="514"/>
      <c r="AU34" s="514"/>
      <c r="AV34" s="514"/>
      <c r="AW34" s="514"/>
      <c r="AX34" s="514"/>
      <c r="AY34" s="514"/>
      <c r="AZ34" s="514"/>
      <c r="BA34" s="514"/>
      <c r="BB34" s="514"/>
      <c r="BC34" s="514"/>
      <c r="BD34" s="514"/>
      <c r="BE34" s="514"/>
      <c r="BF34" s="514"/>
      <c r="BG34" s="514"/>
      <c r="BH34" s="514"/>
      <c r="BI34" s="514"/>
      <c r="BJ34" s="514"/>
      <c r="BK34" s="514"/>
      <c r="BL34" s="514"/>
      <c r="BM34" s="514"/>
      <c r="BN34" s="514"/>
      <c r="BO34" s="514"/>
      <c r="BP34" s="514"/>
      <c r="BQ34" s="514"/>
      <c r="BR34" s="514"/>
      <c r="BS34" s="514"/>
      <c r="BT34" s="514"/>
      <c r="BU34" s="514"/>
      <c r="BV34" s="514"/>
      <c r="BW34" s="514"/>
      <c r="BX34" s="514"/>
      <c r="BY34" s="514"/>
      <c r="BZ34" s="514"/>
      <c r="CA34" s="514"/>
      <c r="CB34" s="514"/>
      <c r="CC34" s="514"/>
      <c r="CD34" s="514"/>
      <c r="CE34" s="514"/>
      <c r="CF34" s="514"/>
      <c r="CG34" s="514"/>
      <c r="CH34" s="514"/>
      <c r="CI34" s="514"/>
      <c r="CJ34" s="514"/>
      <c r="CK34" s="514"/>
      <c r="CL34" s="514"/>
      <c r="CM34" s="514"/>
      <c r="CN34" s="514"/>
      <c r="CO34" s="514"/>
      <c r="CP34" s="514"/>
      <c r="CQ34" s="514"/>
      <c r="CR34" s="514"/>
      <c r="CS34" s="514"/>
      <c r="CT34" s="514"/>
      <c r="CU34" s="514"/>
      <c r="CV34" s="514"/>
      <c r="CW34" s="514"/>
      <c r="CX34" s="514"/>
      <c r="CY34" s="514"/>
      <c r="CZ34" s="514"/>
      <c r="DA34" s="514"/>
      <c r="DB34" s="514"/>
      <c r="DC34" s="514"/>
      <c r="DD34" s="514"/>
      <c r="DE34" s="514"/>
      <c r="DF34" s="514"/>
      <c r="DG34" s="514"/>
      <c r="DH34" s="514"/>
      <c r="DI34" s="514"/>
      <c r="DJ34" s="514"/>
    </row>
    <row r="35">
      <c r="A35" s="513"/>
      <c r="B35" s="513"/>
      <c r="C35" s="513"/>
      <c r="D35" s="514"/>
      <c r="E35" s="514"/>
      <c r="F35" s="514"/>
      <c r="G35" s="514"/>
      <c r="H35" s="514"/>
      <c r="I35" s="514"/>
      <c r="J35" s="514"/>
      <c r="K35" s="514"/>
      <c r="L35" s="514"/>
      <c r="M35" s="514"/>
      <c r="N35" s="514"/>
      <c r="O35" s="514"/>
      <c r="P35" s="514"/>
      <c r="Q35" s="514"/>
      <c r="R35" s="514"/>
      <c r="S35" s="514"/>
      <c r="T35" s="514"/>
      <c r="U35" s="514"/>
      <c r="V35" s="514"/>
      <c r="W35" s="514"/>
      <c r="X35" s="514"/>
      <c r="Y35" s="514"/>
      <c r="Z35" s="514"/>
      <c r="AA35" s="514"/>
      <c r="AB35" s="514"/>
      <c r="AC35" s="514"/>
      <c r="AD35" s="514"/>
      <c r="AE35" s="514"/>
      <c r="AF35" s="514"/>
      <c r="AG35" s="514"/>
      <c r="AH35" s="514"/>
      <c r="AI35" s="514"/>
      <c r="AJ35" s="514"/>
      <c r="AK35" s="514"/>
      <c r="AL35" s="514"/>
      <c r="AM35" s="514"/>
      <c r="AN35" s="514"/>
      <c r="AO35" s="514"/>
      <c r="AP35" s="514"/>
      <c r="AQ35" s="514"/>
      <c r="AR35" s="514"/>
      <c r="AS35" s="514"/>
      <c r="AT35" s="514"/>
      <c r="AU35" s="514"/>
      <c r="AV35" s="514"/>
      <c r="AW35" s="514"/>
      <c r="AX35" s="514"/>
      <c r="AY35" s="514"/>
      <c r="AZ35" s="514"/>
      <c r="BA35" s="514"/>
      <c r="BB35" s="514"/>
      <c r="BC35" s="514"/>
      <c r="BD35" s="514"/>
      <c r="BE35" s="514"/>
      <c r="BF35" s="514"/>
      <c r="BG35" s="514"/>
      <c r="BH35" s="514"/>
      <c r="BI35" s="514"/>
      <c r="BJ35" s="514"/>
      <c r="BK35" s="514"/>
      <c r="BL35" s="514"/>
      <c r="BM35" s="514"/>
      <c r="BN35" s="514"/>
      <c r="BO35" s="514"/>
      <c r="BP35" s="514"/>
      <c r="BQ35" s="514"/>
      <c r="BR35" s="514"/>
      <c r="BS35" s="514"/>
      <c r="BT35" s="514"/>
      <c r="BU35" s="514"/>
      <c r="BV35" s="514"/>
      <c r="BW35" s="514"/>
      <c r="BX35" s="514"/>
      <c r="BY35" s="514"/>
      <c r="BZ35" s="514"/>
      <c r="CA35" s="514"/>
      <c r="CB35" s="514"/>
      <c r="CC35" s="514"/>
      <c r="CD35" s="514"/>
      <c r="CE35" s="514"/>
      <c r="CF35" s="514"/>
      <c r="CG35" s="514"/>
      <c r="CH35" s="514"/>
      <c r="CI35" s="514"/>
      <c r="CJ35" s="514"/>
      <c r="CK35" s="514"/>
      <c r="CL35" s="514"/>
      <c r="CM35" s="514"/>
      <c r="CN35" s="514"/>
      <c r="CO35" s="514"/>
      <c r="CP35" s="514"/>
      <c r="CQ35" s="514"/>
      <c r="CR35" s="514"/>
      <c r="CS35" s="514"/>
      <c r="CT35" s="514"/>
      <c r="CU35" s="514"/>
      <c r="CV35" s="514"/>
      <c r="CW35" s="514"/>
      <c r="CX35" s="514"/>
      <c r="CY35" s="514"/>
      <c r="CZ35" s="514"/>
      <c r="DA35" s="514"/>
      <c r="DB35" s="514"/>
      <c r="DC35" s="514"/>
      <c r="DD35" s="514"/>
      <c r="DE35" s="514"/>
      <c r="DF35" s="514"/>
      <c r="DG35" s="514"/>
      <c r="DH35" s="514"/>
      <c r="DI35" s="514"/>
      <c r="DJ35" s="514"/>
    </row>
    <row r="36">
      <c r="A36" s="513"/>
      <c r="B36" s="513"/>
      <c r="C36" s="513"/>
      <c r="D36" s="514"/>
      <c r="E36" s="514"/>
      <c r="F36" s="514"/>
      <c r="G36" s="514"/>
      <c r="H36" s="514"/>
      <c r="I36" s="514"/>
      <c r="J36" s="514"/>
      <c r="K36" s="514"/>
      <c r="L36" s="514"/>
      <c r="M36" s="514"/>
      <c r="N36" s="514"/>
      <c r="O36" s="514"/>
      <c r="P36" s="514"/>
      <c r="Q36" s="514"/>
      <c r="R36" s="514"/>
      <c r="S36" s="514"/>
      <c r="T36" s="514"/>
      <c r="U36" s="514"/>
      <c r="V36" s="514"/>
      <c r="W36" s="514"/>
      <c r="X36" s="514"/>
      <c r="Y36" s="514"/>
      <c r="Z36" s="514"/>
      <c r="AA36" s="514"/>
      <c r="AB36" s="514"/>
      <c r="AC36" s="514"/>
      <c r="AD36" s="514"/>
      <c r="AE36" s="514"/>
      <c r="AF36" s="514"/>
      <c r="AG36" s="514"/>
      <c r="AH36" s="514"/>
      <c r="AI36" s="514"/>
      <c r="AJ36" s="514"/>
      <c r="AK36" s="514"/>
      <c r="AL36" s="514"/>
      <c r="AM36" s="514"/>
      <c r="AN36" s="514"/>
      <c r="AO36" s="514"/>
      <c r="AP36" s="514"/>
      <c r="AQ36" s="514"/>
      <c r="AR36" s="514"/>
      <c r="AS36" s="514"/>
      <c r="AT36" s="514"/>
      <c r="AU36" s="514"/>
      <c r="AV36" s="514"/>
      <c r="AW36" s="514"/>
      <c r="AX36" s="514"/>
      <c r="AY36" s="514"/>
      <c r="AZ36" s="514"/>
      <c r="BA36" s="514"/>
      <c r="BB36" s="514"/>
      <c r="BC36" s="514"/>
      <c r="BD36" s="514"/>
      <c r="BE36" s="514"/>
      <c r="BF36" s="514"/>
      <c r="BG36" s="514"/>
      <c r="BH36" s="514"/>
      <c r="BI36" s="514"/>
      <c r="BJ36" s="514"/>
      <c r="BK36" s="514"/>
      <c r="BL36" s="514"/>
      <c r="BM36" s="514"/>
      <c r="BN36" s="514"/>
      <c r="BO36" s="514"/>
      <c r="BP36" s="514"/>
      <c r="BQ36" s="514"/>
      <c r="BR36" s="514"/>
      <c r="BS36" s="514"/>
      <c r="BT36" s="514"/>
      <c r="BU36" s="514"/>
      <c r="BV36" s="514"/>
      <c r="BW36" s="514"/>
      <c r="BX36" s="514"/>
      <c r="BY36" s="514"/>
      <c r="BZ36" s="514"/>
      <c r="CA36" s="514"/>
      <c r="CB36" s="514"/>
      <c r="CC36" s="514"/>
      <c r="CD36" s="514"/>
      <c r="CE36" s="514"/>
      <c r="CF36" s="514"/>
      <c r="CG36" s="514"/>
      <c r="CH36" s="514"/>
      <c r="CI36" s="514"/>
      <c r="CJ36" s="514"/>
      <c r="CK36" s="514"/>
      <c r="CL36" s="514"/>
      <c r="CM36" s="514"/>
      <c r="CN36" s="514"/>
      <c r="CO36" s="514"/>
      <c r="CP36" s="514"/>
      <c r="CQ36" s="514"/>
      <c r="CR36" s="514"/>
      <c r="CS36" s="514"/>
      <c r="CT36" s="514"/>
      <c r="CU36" s="514"/>
      <c r="CV36" s="514"/>
      <c r="CW36" s="514"/>
      <c r="CX36" s="514"/>
      <c r="CY36" s="514"/>
      <c r="CZ36" s="514"/>
      <c r="DA36" s="514"/>
      <c r="DB36" s="514"/>
      <c r="DC36" s="514"/>
      <c r="DD36" s="514"/>
      <c r="DE36" s="514"/>
      <c r="DF36" s="514"/>
      <c r="DG36" s="514"/>
      <c r="DH36" s="514"/>
      <c r="DI36" s="514"/>
      <c r="DJ36" s="514"/>
    </row>
    <row r="37">
      <c r="A37" s="513"/>
      <c r="B37" s="513"/>
      <c r="C37" s="513"/>
      <c r="D37" s="514"/>
      <c r="E37" s="514"/>
      <c r="F37" s="514"/>
      <c r="G37" s="514"/>
      <c r="H37" s="514"/>
      <c r="I37" s="514"/>
      <c r="J37" s="514"/>
      <c r="K37" s="514"/>
      <c r="L37" s="514"/>
      <c r="M37" s="514"/>
      <c r="N37" s="514"/>
      <c r="O37" s="514"/>
      <c r="P37" s="514"/>
      <c r="Q37" s="514"/>
      <c r="R37" s="514"/>
      <c r="S37" s="514"/>
      <c r="T37" s="514"/>
      <c r="U37" s="514"/>
      <c r="V37" s="514"/>
      <c r="W37" s="514"/>
      <c r="X37" s="514"/>
      <c r="Y37" s="514"/>
      <c r="Z37" s="514"/>
      <c r="AA37" s="514"/>
      <c r="AB37" s="514"/>
      <c r="AC37" s="514"/>
      <c r="AD37" s="514"/>
      <c r="AE37" s="514"/>
      <c r="AF37" s="514"/>
      <c r="AG37" s="514"/>
      <c r="AH37" s="514"/>
      <c r="AI37" s="514"/>
      <c r="AJ37" s="514"/>
      <c r="AK37" s="514"/>
      <c r="AL37" s="514"/>
      <c r="AM37" s="514"/>
      <c r="AN37" s="514"/>
      <c r="AO37" s="514"/>
      <c r="AP37" s="514"/>
      <c r="AQ37" s="514"/>
      <c r="AR37" s="514"/>
      <c r="AS37" s="514"/>
      <c r="AT37" s="514"/>
      <c r="AU37" s="514"/>
      <c r="AV37" s="514"/>
      <c r="AW37" s="514"/>
      <c r="AX37" s="514"/>
      <c r="AY37" s="514"/>
      <c r="AZ37" s="514"/>
      <c r="BA37" s="514"/>
      <c r="BB37" s="514"/>
      <c r="BC37" s="514"/>
      <c r="BD37" s="514"/>
      <c r="BE37" s="514"/>
      <c r="BF37" s="514"/>
      <c r="BG37" s="514"/>
      <c r="BH37" s="514"/>
      <c r="BI37" s="514"/>
      <c r="BJ37" s="514"/>
      <c r="BK37" s="514"/>
      <c r="BL37" s="514"/>
      <c r="BM37" s="514"/>
      <c r="BN37" s="514"/>
      <c r="BO37" s="514"/>
      <c r="BP37" s="514"/>
      <c r="BQ37" s="514"/>
      <c r="BR37" s="514"/>
      <c r="BS37" s="514"/>
      <c r="BT37" s="514"/>
      <c r="BU37" s="514"/>
      <c r="BV37" s="514"/>
      <c r="BW37" s="514"/>
      <c r="BX37" s="514"/>
      <c r="BY37" s="514"/>
      <c r="BZ37" s="514"/>
      <c r="CA37" s="514"/>
      <c r="CB37" s="514"/>
      <c r="CC37" s="514"/>
      <c r="CD37" s="514"/>
      <c r="CE37" s="514"/>
      <c r="CF37" s="514"/>
      <c r="CG37" s="514"/>
      <c r="CH37" s="514"/>
      <c r="CI37" s="514"/>
      <c r="CJ37" s="514"/>
      <c r="CK37" s="514"/>
      <c r="CL37" s="514"/>
      <c r="CM37" s="514"/>
      <c r="CN37" s="514"/>
      <c r="CO37" s="514"/>
      <c r="CP37" s="514"/>
      <c r="CQ37" s="514"/>
      <c r="CR37" s="514"/>
      <c r="CS37" s="514"/>
      <c r="CT37" s="514"/>
      <c r="CU37" s="514"/>
      <c r="CV37" s="514"/>
      <c r="CW37" s="514"/>
      <c r="CX37" s="514"/>
      <c r="CY37" s="514"/>
      <c r="CZ37" s="514"/>
      <c r="DA37" s="514"/>
      <c r="DB37" s="514"/>
      <c r="DC37" s="514"/>
      <c r="DD37" s="514"/>
      <c r="DE37" s="514"/>
      <c r="DF37" s="514"/>
      <c r="DG37" s="514"/>
      <c r="DH37" s="514"/>
      <c r="DI37" s="514"/>
      <c r="DJ37" s="514"/>
    </row>
    <row r="38">
      <c r="A38" s="513"/>
      <c r="B38" s="513"/>
      <c r="C38" s="513"/>
      <c r="D38" s="514"/>
      <c r="E38" s="514"/>
      <c r="F38" s="514"/>
      <c r="G38" s="514"/>
      <c r="H38" s="514"/>
      <c r="I38" s="514"/>
      <c r="J38" s="514"/>
      <c r="K38" s="514"/>
      <c r="L38" s="514"/>
      <c r="M38" s="514"/>
      <c r="N38" s="514"/>
      <c r="O38" s="514"/>
      <c r="P38" s="514"/>
      <c r="Q38" s="514"/>
      <c r="R38" s="514"/>
      <c r="S38" s="514"/>
      <c r="T38" s="514"/>
      <c r="U38" s="514"/>
      <c r="V38" s="514"/>
      <c r="W38" s="514"/>
      <c r="X38" s="514"/>
      <c r="Y38" s="514"/>
      <c r="Z38" s="514"/>
      <c r="AA38" s="514"/>
      <c r="AB38" s="514"/>
      <c r="AC38" s="514"/>
      <c r="AD38" s="514"/>
      <c r="AE38" s="514"/>
      <c r="AF38" s="514"/>
      <c r="AG38" s="514"/>
      <c r="AH38" s="514"/>
      <c r="AI38" s="514"/>
      <c r="AJ38" s="514"/>
      <c r="AK38" s="514"/>
      <c r="AL38" s="514"/>
      <c r="AM38" s="514"/>
      <c r="AN38" s="514"/>
      <c r="AO38" s="514"/>
      <c r="AP38" s="514"/>
      <c r="AQ38" s="514"/>
      <c r="AR38" s="514"/>
      <c r="AS38" s="514"/>
      <c r="AT38" s="514"/>
      <c r="AU38" s="514"/>
      <c r="AV38" s="514"/>
      <c r="AW38" s="514"/>
      <c r="AX38" s="514"/>
      <c r="AY38" s="514"/>
      <c r="AZ38" s="514"/>
      <c r="BA38" s="514"/>
      <c r="BB38" s="514"/>
      <c r="BC38" s="514"/>
      <c r="BD38" s="514"/>
      <c r="BE38" s="514"/>
      <c r="BF38" s="514"/>
      <c r="BG38" s="514"/>
      <c r="BH38" s="514"/>
      <c r="BI38" s="514"/>
      <c r="BJ38" s="514"/>
      <c r="BK38" s="514"/>
      <c r="BL38" s="514"/>
      <c r="BM38" s="514"/>
      <c r="BN38" s="514"/>
      <c r="BO38" s="514"/>
      <c r="BP38" s="514"/>
      <c r="BQ38" s="514"/>
      <c r="BR38" s="514"/>
      <c r="BS38" s="514"/>
      <c r="BT38" s="514"/>
      <c r="BU38" s="514"/>
      <c r="BV38" s="514"/>
      <c r="BW38" s="514"/>
      <c r="BX38" s="514"/>
      <c r="BY38" s="514"/>
      <c r="BZ38" s="514"/>
      <c r="CA38" s="514"/>
      <c r="CB38" s="514"/>
      <c r="CC38" s="514"/>
      <c r="CD38" s="514"/>
      <c r="CE38" s="514"/>
      <c r="CF38" s="514"/>
      <c r="CG38" s="514"/>
      <c r="CH38" s="514"/>
      <c r="CI38" s="514"/>
      <c r="CJ38" s="514"/>
      <c r="CK38" s="514"/>
      <c r="CL38" s="514"/>
      <c r="CM38" s="514"/>
      <c r="CN38" s="514"/>
      <c r="CO38" s="514"/>
      <c r="CP38" s="514"/>
      <c r="CQ38" s="514"/>
      <c r="CR38" s="514"/>
      <c r="CS38" s="514"/>
      <c r="CT38" s="514"/>
      <c r="CU38" s="514"/>
      <c r="CV38" s="514"/>
      <c r="CW38" s="514"/>
      <c r="CX38" s="514"/>
      <c r="CY38" s="514"/>
      <c r="CZ38" s="514"/>
      <c r="DA38" s="514"/>
      <c r="DB38" s="514"/>
      <c r="DC38" s="514"/>
      <c r="DD38" s="514"/>
      <c r="DE38" s="514"/>
      <c r="DF38" s="514"/>
      <c r="DG38" s="514"/>
      <c r="DH38" s="514"/>
      <c r="DI38" s="514"/>
      <c r="DJ38" s="514"/>
    </row>
    <row r="39">
      <c r="A39" s="513"/>
      <c r="B39" s="513"/>
      <c r="C39" s="513"/>
      <c r="D39" s="514"/>
      <c r="E39" s="514"/>
      <c r="F39" s="514"/>
      <c r="G39" s="514"/>
      <c r="H39" s="514"/>
      <c r="I39" s="514"/>
      <c r="J39" s="514"/>
      <c r="K39" s="514"/>
      <c r="L39" s="514"/>
      <c r="M39" s="514"/>
      <c r="N39" s="514"/>
      <c r="O39" s="514"/>
      <c r="P39" s="514"/>
      <c r="Q39" s="514"/>
      <c r="R39" s="514"/>
      <c r="S39" s="514"/>
      <c r="T39" s="514"/>
      <c r="U39" s="514"/>
      <c r="V39" s="514"/>
      <c r="W39" s="514"/>
      <c r="X39" s="514"/>
      <c r="Y39" s="514"/>
      <c r="Z39" s="514"/>
      <c r="AA39" s="514"/>
      <c r="AB39" s="514"/>
      <c r="AC39" s="514"/>
      <c r="AD39" s="514"/>
      <c r="AE39" s="514"/>
      <c r="AF39" s="514"/>
      <c r="AG39" s="514"/>
      <c r="AH39" s="514"/>
      <c r="AI39" s="514"/>
      <c r="AJ39" s="514"/>
      <c r="AK39" s="514"/>
      <c r="AL39" s="514"/>
      <c r="AM39" s="514"/>
      <c r="AN39" s="514"/>
      <c r="AO39" s="514"/>
      <c r="AP39" s="514"/>
      <c r="AQ39" s="514"/>
      <c r="AR39" s="514"/>
      <c r="AS39" s="514"/>
      <c r="AT39" s="514"/>
      <c r="AU39" s="514"/>
      <c r="AV39" s="514"/>
      <c r="AW39" s="514"/>
      <c r="AX39" s="514"/>
      <c r="AY39" s="514"/>
      <c r="AZ39" s="514"/>
      <c r="BA39" s="514"/>
      <c r="BB39" s="514"/>
      <c r="BC39" s="514"/>
      <c r="BD39" s="514"/>
      <c r="BE39" s="514"/>
      <c r="BF39" s="514"/>
      <c r="BG39" s="514"/>
      <c r="BH39" s="514"/>
      <c r="BI39" s="514"/>
      <c r="BJ39" s="514"/>
      <c r="BK39" s="514"/>
      <c r="BL39" s="514"/>
      <c r="BM39" s="514"/>
      <c r="BN39" s="514"/>
      <c r="BO39" s="514"/>
      <c r="BP39" s="514"/>
      <c r="BQ39" s="514"/>
      <c r="BR39" s="514"/>
      <c r="BS39" s="514"/>
      <c r="BT39" s="514"/>
      <c r="BU39" s="514"/>
      <c r="BV39" s="514"/>
      <c r="BW39" s="514"/>
      <c r="BX39" s="514"/>
      <c r="BY39" s="514"/>
      <c r="BZ39" s="514"/>
      <c r="CA39" s="514"/>
      <c r="CB39" s="514"/>
      <c r="CC39" s="514"/>
      <c r="CD39" s="514"/>
      <c r="CE39" s="514"/>
      <c r="CF39" s="514"/>
      <c r="CG39" s="514"/>
      <c r="CH39" s="514"/>
      <c r="CI39" s="514"/>
      <c r="CJ39" s="514"/>
      <c r="CK39" s="514"/>
      <c r="CL39" s="514"/>
      <c r="CM39" s="514"/>
      <c r="CN39" s="514"/>
      <c r="CO39" s="514"/>
      <c r="CP39" s="514"/>
      <c r="CQ39" s="514"/>
      <c r="CR39" s="514"/>
      <c r="CS39" s="514"/>
      <c r="CT39" s="514"/>
      <c r="CU39" s="514"/>
      <c r="CV39" s="514"/>
      <c r="CW39" s="514"/>
      <c r="CX39" s="514"/>
      <c r="CY39" s="514"/>
      <c r="CZ39" s="514"/>
      <c r="DA39" s="514"/>
      <c r="DB39" s="514"/>
      <c r="DC39" s="514"/>
      <c r="DD39" s="514"/>
      <c r="DE39" s="514"/>
      <c r="DF39" s="514"/>
      <c r="DG39" s="514"/>
      <c r="DH39" s="514"/>
      <c r="DI39" s="514"/>
      <c r="DJ39" s="514"/>
    </row>
    <row r="40">
      <c r="A40" s="513"/>
      <c r="B40" s="513"/>
      <c r="C40" s="513"/>
      <c r="D40" s="514"/>
      <c r="E40" s="514"/>
      <c r="F40" s="514"/>
      <c r="G40" s="514"/>
      <c r="H40" s="514"/>
      <c r="I40" s="514"/>
      <c r="J40" s="514"/>
      <c r="K40" s="514"/>
      <c r="L40" s="514"/>
      <c r="M40" s="514"/>
      <c r="N40" s="514"/>
      <c r="O40" s="514"/>
      <c r="P40" s="514"/>
      <c r="Q40" s="514"/>
      <c r="R40" s="514"/>
      <c r="S40" s="514"/>
      <c r="T40" s="514"/>
      <c r="U40" s="514"/>
      <c r="V40" s="514"/>
      <c r="W40" s="514"/>
      <c r="X40" s="514"/>
      <c r="Y40" s="514"/>
      <c r="Z40" s="514"/>
      <c r="AA40" s="514"/>
      <c r="AB40" s="514"/>
      <c r="AC40" s="514"/>
      <c r="AD40" s="514"/>
      <c r="AE40" s="514"/>
      <c r="AF40" s="514"/>
      <c r="AG40" s="514"/>
      <c r="AH40" s="514"/>
      <c r="AI40" s="514"/>
      <c r="AJ40" s="514"/>
      <c r="AK40" s="514"/>
      <c r="AL40" s="514"/>
      <c r="AM40" s="514"/>
      <c r="AN40" s="514"/>
      <c r="AO40" s="514"/>
      <c r="AP40" s="514"/>
      <c r="AQ40" s="514"/>
      <c r="AR40" s="514"/>
      <c r="AS40" s="514"/>
      <c r="AT40" s="514"/>
      <c r="AU40" s="514"/>
      <c r="AV40" s="514"/>
      <c r="AW40" s="514"/>
      <c r="AX40" s="514"/>
      <c r="AY40" s="514"/>
      <c r="AZ40" s="514"/>
      <c r="BA40" s="514"/>
      <c r="BB40" s="514"/>
      <c r="BC40" s="514"/>
      <c r="BD40" s="514"/>
      <c r="BE40" s="514"/>
      <c r="BF40" s="514"/>
      <c r="BG40" s="514"/>
      <c r="BH40" s="514"/>
      <c r="BI40" s="514"/>
      <c r="BJ40" s="514"/>
      <c r="BK40" s="514"/>
      <c r="BL40" s="514"/>
      <c r="BM40" s="514"/>
      <c r="BN40" s="514"/>
      <c r="BO40" s="514"/>
      <c r="BP40" s="514"/>
      <c r="BQ40" s="514"/>
      <c r="BR40" s="514"/>
      <c r="BS40" s="514"/>
      <c r="BT40" s="514"/>
      <c r="BU40" s="514"/>
      <c r="BV40" s="514"/>
      <c r="BW40" s="514"/>
      <c r="BX40" s="514"/>
      <c r="BY40" s="514"/>
      <c r="BZ40" s="514"/>
      <c r="CA40" s="514"/>
      <c r="CB40" s="514"/>
      <c r="CC40" s="514"/>
      <c r="CD40" s="514"/>
      <c r="CE40" s="514"/>
      <c r="CF40" s="514"/>
      <c r="CG40" s="514"/>
      <c r="CH40" s="514"/>
      <c r="CI40" s="514"/>
      <c r="CJ40" s="514"/>
      <c r="CK40" s="514"/>
      <c r="CL40" s="514"/>
      <c r="CM40" s="514"/>
      <c r="CN40" s="514"/>
      <c r="CO40" s="514"/>
      <c r="CP40" s="514"/>
      <c r="CQ40" s="514"/>
      <c r="CR40" s="514"/>
      <c r="CS40" s="514"/>
      <c r="CT40" s="514"/>
      <c r="CU40" s="514"/>
      <c r="CV40" s="514"/>
      <c r="CW40" s="514"/>
      <c r="CX40" s="514"/>
      <c r="CY40" s="514"/>
      <c r="CZ40" s="514"/>
      <c r="DA40" s="514"/>
      <c r="DB40" s="514"/>
      <c r="DC40" s="514"/>
      <c r="DD40" s="514"/>
      <c r="DE40" s="514"/>
      <c r="DF40" s="514"/>
      <c r="DG40" s="514"/>
      <c r="DH40" s="514"/>
      <c r="DI40" s="514"/>
      <c r="DJ40" s="514"/>
    </row>
  </sheetData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9.29"/>
    <col customWidth="1" min="4" max="4" width="2.43"/>
  </cols>
  <sheetData>
    <row r="1">
      <c r="A1" s="518">
        <f>IF('Dps p1'!B66,'Dps p1'!C66,IF('Dps p1'!B87,'Dps p1'!C87,IF('Dps p1'!B88,'Dps p1'!C88,IF('Dps p1'!B89,'Dps p1'!C89,IF('Dps p1'!B91,'Dps p1'!C91,IF('Dps p1'!B92,'Dps p1'!C92,if('Dps p1'!B90,'Dps p1'!C90,1)))))))</f>
        <v>1</v>
      </c>
      <c r="B1" s="518">
        <f>IF('Sheet 1'!B38=Items!A52,3,IF('Sheet 1'!B38=Items!A43,2,1))</f>
        <v>1</v>
      </c>
      <c r="C1" s="429">
        <f>IF('Sheet 1'!B38=Items!A52,1/51,IF('Sheet 1'!B38=Items!A43,1/20,0))</f>
        <v>0</v>
      </c>
    </row>
    <row r="2">
      <c r="A2" s="429">
        <f t="array" ref="A2:A23">TRANSPOSE('Dps p1'!D36:Y36)</f>
        <v>109</v>
      </c>
      <c r="B2" s="429">
        <f t="array" ref="B2:B23">IF('Dps p1'!C1="MAGIC",TRANSPOSE('Dps p1'!D65:Y65),TRANSPOSE('Dps p1'!D84:Y84))</f>
        <v>49</v>
      </c>
      <c r="C2" s="519">
        <f t="array" ref="C2">if(or('Dps p1'!$B$110,not(A1=1)),sum(int(IF((row($1:$149)-1)&gt;$B2,, if((row($1:$149)-1)&gt;50,if('Dps p1'!$B$110,'Dps p1'!$C$110,(1-$C$1) * (row($1:$149)-1)*$A$1 + $C$1*INT((row($1:$149)-1)*$B$1)),(1-$C$1) * (row($1:$149)-1)*$A$1 + $C$1*INT((row($1:$149)-1)*$B$1)) )))/(B2+1),B2/2)</f>
        <v>24.5</v>
      </c>
    </row>
    <row r="3">
      <c r="A3" s="429">
        <v>108.0</v>
      </c>
      <c r="B3" s="429">
        <v>49.0</v>
      </c>
      <c r="C3" s="519">
        <f t="array" ref="C3">if(or('Dps p1'!$B$110,not(A2=1)),sum(int(IF((row($1:$149)-1)&gt;$B3,, if((row($1:$149)-1)&gt;50,if('Dps p1'!$B$110,'Dps p1'!$C$110,(1-$C$1) * (row($1:$149)-1)*$A$1 + $C$1*INT((row($1:$149)-1)*$B$1)),(1-$C$1) * (row($1:$149)-1)*$A$1 + $C$1*INT((row($1:$149)-1)*$B$1)) )))/(B3+1),B3/2)</f>
        <v>24.5</v>
      </c>
    </row>
    <row r="4">
      <c r="A4" s="429">
        <v>107.0</v>
      </c>
      <c r="B4" s="429">
        <v>49.0</v>
      </c>
      <c r="C4" s="519">
        <f t="array" ref="C4">if(or('Dps p1'!$B$110,not(A3=1)),sum(int(IF((row($1:$149)-1)&gt;$B4,, if((row($1:$149)-1)&gt;50,if('Dps p1'!$B$110,'Dps p1'!$C$110,(1-$C$1) * (row($1:$149)-1)*$A$1 + $C$1*INT((row($1:$149)-1)*$B$1)),(1-$C$1) * (row($1:$149)-1)*$A$1 + $C$1*INT((row($1:$149)-1)*$B$1)) )))/(B4+1),B4/2)</f>
        <v>24.5</v>
      </c>
    </row>
    <row r="5">
      <c r="A5" s="429">
        <v>106.0</v>
      </c>
      <c r="B5" s="429">
        <v>49.0</v>
      </c>
      <c r="C5" s="519">
        <f t="array" ref="C5">if(or('Dps p1'!$B$110,not(A4=1)),sum(int(IF((row($1:$149)-1)&gt;$B5,, if((row($1:$149)-1)&gt;50,if('Dps p1'!$B$110,'Dps p1'!$C$110,(1-$C$1) * (row($1:$149)-1)*$A$1 + $C$1*INT((row($1:$149)-1)*$B$1)),(1-$C$1) * (row($1:$149)-1)*$A$1 + $C$1*INT((row($1:$149)-1)*$B$1)) )))/(B5+1),B5/2)</f>
        <v>24.5</v>
      </c>
    </row>
    <row r="6">
      <c r="A6" s="429">
        <v>105.0</v>
      </c>
      <c r="B6" s="429">
        <v>49.0</v>
      </c>
      <c r="C6" s="519">
        <f t="array" ref="C6">if(or('Dps p1'!$B$110,not(A5=1)),sum(int(IF((row($1:$149)-1)&gt;$B6,, if((row($1:$149)-1)&gt;50,if('Dps p1'!$B$110,'Dps p1'!$C$110,(1-$C$1) * (row($1:$149)-1)*$A$1 + $C$1*INT((row($1:$149)-1)*$B$1)),(1-$C$1) * (row($1:$149)-1)*$A$1 + $C$1*INT((row($1:$149)-1)*$B$1)) )))/(B6+1),B6/2)</f>
        <v>24.5</v>
      </c>
    </row>
    <row r="7">
      <c r="A7" s="429">
        <v>104.0</v>
      </c>
      <c r="B7" s="429">
        <v>49.0</v>
      </c>
      <c r="C7" s="519">
        <f t="array" ref="C7">if(or('Dps p1'!$B$110,not(A6=1)),sum(int(IF((row($1:$149)-1)&gt;$B7,, if((row($1:$149)-1)&gt;50,if('Dps p1'!$B$110,'Dps p1'!$C$110,(1-$C$1) * (row($1:$149)-1)*$A$1 + $C$1*INT((row($1:$149)-1)*$B$1)),(1-$C$1) * (row($1:$149)-1)*$A$1 + $C$1*INT((row($1:$149)-1)*$B$1)) )))/(B7+1),B7/2)</f>
        <v>24.5</v>
      </c>
    </row>
    <row r="8">
      <c r="A8" s="429">
        <v>103.0</v>
      </c>
      <c r="B8" s="429">
        <v>49.0</v>
      </c>
      <c r="C8" s="519">
        <f t="array" ref="C8">if(or('Dps p1'!$B$110,not(A7=1)),sum(int(IF((row($1:$149)-1)&gt;$B8,, if((row($1:$149)-1)&gt;50,if('Dps p1'!$B$110,'Dps p1'!$C$110,(1-$C$1) * (row($1:$149)-1)*$A$1 + $C$1*INT((row($1:$149)-1)*$B$1)),(1-$C$1) * (row($1:$149)-1)*$A$1 + $C$1*INT((row($1:$149)-1)*$B$1)) )))/(B8+1),B8/2)</f>
        <v>24.5</v>
      </c>
    </row>
    <row r="9">
      <c r="A9" s="429">
        <v>102.0</v>
      </c>
      <c r="B9" s="429">
        <v>49.0</v>
      </c>
      <c r="C9" s="519">
        <f t="array" ref="C9">if(or('Dps p1'!$B$110,not(A8=1)),sum(int(IF((row($1:$149)-1)&gt;$B9,, if((row($1:$149)-1)&gt;50,if('Dps p1'!$B$110,'Dps p1'!$C$110,(1-$C$1) * (row($1:$149)-1)*$A$1 + $C$1*INT((row($1:$149)-1)*$B$1)),(1-$C$1) * (row($1:$149)-1)*$A$1 + $C$1*INT((row($1:$149)-1)*$B$1)) )))/(B9+1),B9/2)</f>
        <v>24.5</v>
      </c>
    </row>
    <row r="10">
      <c r="A10" s="429">
        <v>101.0</v>
      </c>
      <c r="B10" s="429">
        <v>49.0</v>
      </c>
      <c r="C10" s="519">
        <f t="array" ref="C10">if(or('Dps p1'!$B$110,not(A9=1)),sum(int(IF((row($1:$149)-1)&gt;$B10,, if((row($1:$149)-1)&gt;50,if('Dps p1'!$B$110,'Dps p1'!$C$110,(1-$C$1) * (row($1:$149)-1)*$A$1 + $C$1*INT((row($1:$149)-1)*$B$1)),(1-$C$1) * (row($1:$149)-1)*$A$1 + $C$1*INT((row($1:$149)-1)*$B$1)) )))/(B10+1),B10/2)</f>
        <v>24.5</v>
      </c>
    </row>
    <row r="11">
      <c r="A11" s="429">
        <v>100.0</v>
      </c>
      <c r="B11" s="429">
        <v>49.0</v>
      </c>
      <c r="C11" s="519">
        <f t="array" ref="C11">if(or('Dps p1'!$B$110,not(A10=1)),sum(int(IF((row($1:$149)-1)&gt;$B11,, if((row($1:$149)-1)&gt;50,if('Dps p1'!$B$110,'Dps p1'!$C$110,(1-$C$1) * (row($1:$149)-1)*$A$1 + $C$1*INT((row($1:$149)-1)*$B$1)),(1-$C$1) * (row($1:$149)-1)*$A$1 + $C$1*INT((row($1:$149)-1)*$B$1)) )))/(B11+1),B11/2)</f>
        <v>24.5</v>
      </c>
    </row>
    <row r="12">
      <c r="A12" s="429">
        <v>99.0</v>
      </c>
      <c r="B12" s="429">
        <v>49.0</v>
      </c>
      <c r="C12" s="519">
        <f t="array" ref="C12">if(or('Dps p1'!$B$110,not(A11=1)),sum(int(IF((row($1:$149)-1)&gt;$B12,, if((row($1:$149)-1)&gt;50,if('Dps p1'!$B$110,'Dps p1'!$C$110,(1-$C$1) * (row($1:$149)-1)*$A$1 + $C$1*INT((row($1:$149)-1)*$B$1)),(1-$C$1) * (row($1:$149)-1)*$A$1 + $C$1*INT((row($1:$149)-1)*$B$1)) )))/(B12+1),B12/2)</f>
        <v>24.5</v>
      </c>
    </row>
    <row r="13">
      <c r="A13" s="429">
        <v>99.0</v>
      </c>
      <c r="B13" s="429">
        <v>49.0</v>
      </c>
      <c r="C13" s="519">
        <f t="array" ref="C13">if(or('Dps p1'!$B$110,not(A12=1)),sum(int(IF((row($1:$149)-1)&gt;$B13,, if((row($1:$149)-1)&gt;50,if('Dps p1'!$B$110,'Dps p1'!$C$110,(1-$C$1) * (row($1:$149)-1)*$A$1 + $C$1*INT((row($1:$149)-1)*$B$1)),(1-$C$1) * (row($1:$149)-1)*$A$1 + $C$1*INT((row($1:$149)-1)*$B$1)) )))/(B13+1),B13/2)</f>
        <v>24.5</v>
      </c>
    </row>
    <row r="14">
      <c r="A14" s="429">
        <v>99.0</v>
      </c>
      <c r="B14" s="429">
        <v>49.0</v>
      </c>
      <c r="C14" s="519">
        <f t="array" ref="C14">if(or('Dps p1'!$B$110,not(A13=1)),sum(int(IF((row($1:$149)-1)&gt;$B14,, if((row($1:$149)-1)&gt;50,if('Dps p1'!$B$110,'Dps p1'!$C$110,(1-$C$1) * (row($1:$149)-1)*$A$1 + $C$1*INT((row($1:$149)-1)*$B$1)),(1-$C$1) * (row($1:$149)-1)*$A$1 + $C$1*INT((row($1:$149)-1)*$B$1)) )))/(B14+1),B14/2)</f>
        <v>24.5</v>
      </c>
    </row>
    <row r="15">
      <c r="A15" s="429">
        <v>99.0</v>
      </c>
      <c r="B15" s="429">
        <v>49.0</v>
      </c>
      <c r="C15" s="519">
        <f t="array" ref="C15">if(or('Dps p1'!$B$110,not(A14=1)),sum(int(IF((row($1:$149)-1)&gt;$B15,, if((row($1:$149)-1)&gt;50,if('Dps p1'!$B$110,'Dps p1'!$C$110,(1-$C$1) * (row($1:$149)-1)*$A$1 + $C$1*INT((row($1:$149)-1)*$B$1)),(1-$C$1) * (row($1:$149)-1)*$A$1 + $C$1*INT((row($1:$149)-1)*$B$1)) )))/(B15+1),B15/2)</f>
        <v>24.5</v>
      </c>
    </row>
    <row r="16">
      <c r="A16" s="429">
        <v>99.0</v>
      </c>
      <c r="B16" s="429">
        <v>49.0</v>
      </c>
      <c r="C16" s="519">
        <f t="array" ref="C16">if(or('Dps p1'!$B$110,not(A15=1)),sum(int(IF((row($1:$149)-1)&gt;$B16,, if((row($1:$149)-1)&gt;50,if('Dps p1'!$B$110,'Dps p1'!$C$110,(1-$C$1) * (row($1:$149)-1)*$A$1 + $C$1*INT((row($1:$149)-1)*$B$1)),(1-$C$1) * (row($1:$149)-1)*$A$1 + $C$1*INT((row($1:$149)-1)*$B$1)) )))/(B16+1),B16/2)</f>
        <v>24.5</v>
      </c>
    </row>
    <row r="17">
      <c r="A17" s="429">
        <v>99.0</v>
      </c>
      <c r="B17" s="429">
        <v>49.0</v>
      </c>
      <c r="C17" s="519">
        <f t="array" ref="C17">if(or('Dps p1'!$B$110,not(A16=1)),sum(int(IF((row($1:$149)-1)&gt;$B17,, if((row($1:$149)-1)&gt;50,if('Dps p1'!$B$110,'Dps p1'!$C$110,(1-$C$1) * (row($1:$149)-1)*$A$1 + $C$1*INT((row($1:$149)-1)*$B$1)),(1-$C$1) * (row($1:$149)-1)*$A$1 + $C$1*INT((row($1:$149)-1)*$B$1)) )))/(B17+1),B17/2)</f>
        <v>24.5</v>
      </c>
    </row>
    <row r="18">
      <c r="A18" s="429">
        <v>99.0</v>
      </c>
      <c r="B18" s="429">
        <v>49.0</v>
      </c>
      <c r="C18" s="519">
        <f t="array" ref="C18">if(or('Dps p1'!$B$110,not(A17=1)),sum(int(IF((row($1:$149)-1)&gt;$B18,, if((row($1:$149)-1)&gt;50,if('Dps p1'!$B$110,'Dps p1'!$C$110,(1-$C$1) * (row($1:$149)-1)*$A$1 + $C$1*INT((row($1:$149)-1)*$B$1)),(1-$C$1) * (row($1:$149)-1)*$A$1 + $C$1*INT((row($1:$149)-1)*$B$1)) )))/(B18+1),B18/2)</f>
        <v>24.5</v>
      </c>
    </row>
    <row r="19">
      <c r="A19" s="429">
        <v>99.0</v>
      </c>
      <c r="B19" s="429">
        <v>49.0</v>
      </c>
      <c r="C19" s="519">
        <f t="array" ref="C19">if(or('Dps p1'!$B$110,not(A18=1)),sum(int(IF((row($1:$149)-1)&gt;$B19,, if((row($1:$149)-1)&gt;50,if('Dps p1'!$B$110,'Dps p1'!$C$110,(1-$C$1) * (row($1:$149)-1)*$A$1 + $C$1*INT((row($1:$149)-1)*$B$1)),(1-$C$1) * (row($1:$149)-1)*$A$1 + $C$1*INT((row($1:$149)-1)*$B$1)) )))/(B19+1),B19/2)</f>
        <v>24.5</v>
      </c>
    </row>
    <row r="20">
      <c r="A20" s="429">
        <v>99.0</v>
      </c>
      <c r="B20" s="429">
        <v>49.0</v>
      </c>
      <c r="C20" s="519">
        <f t="array" ref="C20">if(or('Dps p1'!$B$110,not(A19=1)),sum(int(IF((row($1:$149)-1)&gt;$B20,, if((row($1:$149)-1)&gt;50,if('Dps p1'!$B$110,'Dps p1'!$C$110,(1-$C$1) * (row($1:$149)-1)*$A$1 + $C$1*INT((row($1:$149)-1)*$B$1)),(1-$C$1) * (row($1:$149)-1)*$A$1 + $C$1*INT((row($1:$149)-1)*$B$1)) )))/(B20+1),B20/2)</f>
        <v>24.5</v>
      </c>
    </row>
    <row r="21">
      <c r="A21" s="429">
        <v>99.0</v>
      </c>
      <c r="B21" s="429">
        <v>49.0</v>
      </c>
      <c r="C21" s="519">
        <f t="array" ref="C21">if(or('Dps p1'!$B$110,not(A20=1)),sum(int(IF((row($1:$149)-1)&gt;$B21,, if((row($1:$149)-1)&gt;50,if('Dps p1'!$B$110,'Dps p1'!$C$110,(1-$C$1) * (row($1:$149)-1)*$A$1 + $C$1*INT((row($1:$149)-1)*$B$1)),(1-$C$1) * (row($1:$149)-1)*$A$1 + $C$1*INT((row($1:$149)-1)*$B$1)) )))/(B21+1),B21/2)</f>
        <v>24.5</v>
      </c>
    </row>
    <row r="22">
      <c r="A22" s="429">
        <v>99.0</v>
      </c>
      <c r="B22" s="429">
        <v>49.0</v>
      </c>
      <c r="C22" s="519">
        <f t="array" ref="C22">if(or('Dps p1'!$B$110,not(A21=1)),sum(int(IF((row($1:$149)-1)&gt;$B22,, if((row($1:$149)-1)&gt;50,if('Dps p1'!$B$110,'Dps p1'!$C$110,(1-$C$1) * (row($1:$149)-1)*$A$1 + $C$1*INT((row($1:$149)-1)*$B$1)),(1-$C$1) * (row($1:$149)-1)*$A$1 + $C$1*INT((row($1:$149)-1)*$B$1)) )))/(B22+1),B22/2)</f>
        <v>24.5</v>
      </c>
    </row>
    <row r="23">
      <c r="A23" s="429">
        <v>99.0</v>
      </c>
      <c r="B23" s="429">
        <v>49.0</v>
      </c>
      <c r="C23" s="519">
        <f t="array" ref="C23">if(or('Dps p1'!$B$110,not(A22=1)),sum(int(IF((row($1:$149)-1)&gt;$B23,, if((row($1:$149)-1)&gt;50,if('Dps p1'!$B$110,'Dps p1'!$C$110,(1-$C$1) * (row($1:$149)-1)*$A$1 + $C$1*INT((row($1:$149)-1)*$B$1)),(1-$C$1) * (row($1:$149)-1)*$A$1 + $C$1*INT((row($1:$149)-1)*$B$1)) )))/(B23+1),B23/2)</f>
        <v>24.5</v>
      </c>
    </row>
  </sheetData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9.29"/>
    <col customWidth="1" min="4" max="4" width="2.43"/>
  </cols>
  <sheetData>
    <row r="1">
      <c r="A1" s="518">
        <f>IF('Dps p1'!B66,'Dps p1'!C66,IF('Dps p1'!B87,'Dps p1'!C87,IF('Dps p1'!B88,'Dps p1'!C88,IF('Dps p1'!B89,'Dps p1'!C89,IF('Dps p1'!B91,'Dps p1'!C91,IF('Dps p1'!B92,'Dps p1'!C92,if('Dps p1'!B90,'Dps p1'!C90,1)))))))</f>
        <v>1</v>
      </c>
      <c r="B1" s="518">
        <f>IF('Sheet 1'!B38=Items!A52,3,IF('Sheet 1'!B38=Items!A43,2,1))</f>
        <v>1</v>
      </c>
      <c r="C1" s="429">
        <f>IF('Sheet 1'!B38=Items!A52,1/51,IF('Sheet 1'!B38=Items!A43,1/20,0))</f>
        <v>0</v>
      </c>
      <c r="D1" s="429"/>
    </row>
    <row r="2">
      <c r="A2" s="429">
        <f t="array" ref="A2:A23">TRANSPOSE('Dps p1'!D36:Y36)</f>
        <v>109</v>
      </c>
      <c r="B2" s="429">
        <f t="array" ref="B2:B23">IF('Dps p1'!C1="MAGIC",TRANSPOSE('Dps p1'!D65:Y65),TRANSPOSE('Dps p1'!D108:Y108))</f>
        <v>49</v>
      </c>
      <c r="C2" s="519">
        <f t="array" ref="C2">if(or('Dps p1'!$B$110,not(A1=1)),sum(int(IF((row($1:$149)-1)&gt;$B2,, if((row($1:$149)-1)&gt;50,if('Dps p1'!$B$110,'Dps p1'!$C$110,(1-$C$1) * (row($1:$149)-1)*$A$1 + $C$1*INT((row($1:$149)-1)*$B$1)),(1-$C$1) * (row($1:$149)-1)*$A$1 + $C$1*INT((row($1:$149)-1)*$B$1)) )))/(B2+1),B2/2)</f>
        <v>24.5</v>
      </c>
      <c r="D2" s="519"/>
    </row>
    <row r="3">
      <c r="A3" s="429">
        <v>108.0</v>
      </c>
      <c r="B3" s="429">
        <v>49.0</v>
      </c>
      <c r="C3" s="519">
        <f t="array" ref="C3">if(or('Dps p1'!$B$110,not(A2=1)),sum(int(IF((row($1:$149)-1)&gt;$B3,, if((row($1:$149)-1)&gt;50,if('Dps p1'!$B$110,'Dps p1'!$C$110,(1-$C$1) * (row($1:$149)-1)*$A$1 + $C$1*INT((row($1:$149)-1)*$B$1)),(1-$C$1) * (row($1:$149)-1)*$A$1 + $C$1*INT((row($1:$149)-1)*$B$1)) )))/(B3+1),B3/2)</f>
        <v>24.5</v>
      </c>
      <c r="D3" s="519"/>
    </row>
    <row r="4">
      <c r="A4" s="429">
        <v>107.0</v>
      </c>
      <c r="B4" s="429">
        <v>49.0</v>
      </c>
      <c r="C4" s="519">
        <f t="array" ref="C4">if(or('Dps p1'!$B$110,not(A3=1)),sum(int(IF((row($1:$149)-1)&gt;$B4,, if((row($1:$149)-1)&gt;50,if('Dps p1'!$B$110,'Dps p1'!$C$110,(1-$C$1) * (row($1:$149)-1)*$A$1 + $C$1*INT((row($1:$149)-1)*$B$1)),(1-$C$1) * (row($1:$149)-1)*$A$1 + $C$1*INT((row($1:$149)-1)*$B$1)) )))/(B4+1),B4/2)</f>
        <v>24.5</v>
      </c>
      <c r="D4" s="519"/>
    </row>
    <row r="5">
      <c r="A5" s="429">
        <v>106.0</v>
      </c>
      <c r="B5" s="429">
        <v>49.0</v>
      </c>
      <c r="C5" s="519">
        <f t="array" ref="C5">if(or('Dps p1'!$B$110,not(A4=1)),sum(int(IF((row($1:$149)-1)&gt;$B5,, if((row($1:$149)-1)&gt;50,if('Dps p1'!$B$110,'Dps p1'!$C$110,(1-$C$1) * (row($1:$149)-1)*$A$1 + $C$1*INT((row($1:$149)-1)*$B$1)),(1-$C$1) * (row($1:$149)-1)*$A$1 + $C$1*INT((row($1:$149)-1)*$B$1)) )))/(B5+1),B5/2)</f>
        <v>24.5</v>
      </c>
      <c r="D5" s="519"/>
    </row>
    <row r="6">
      <c r="A6" s="429">
        <v>105.0</v>
      </c>
      <c r="B6" s="429">
        <v>49.0</v>
      </c>
      <c r="C6" s="519">
        <f t="array" ref="C6">if(or('Dps p1'!$B$110,not(A5=1)),sum(int(IF((row($1:$149)-1)&gt;$B6,, if((row($1:$149)-1)&gt;50,if('Dps p1'!$B$110,'Dps p1'!$C$110,(1-$C$1) * (row($1:$149)-1)*$A$1 + $C$1*INT((row($1:$149)-1)*$B$1)),(1-$C$1) * (row($1:$149)-1)*$A$1 + $C$1*INT((row($1:$149)-1)*$B$1)) )))/(B6+1),B6/2)</f>
        <v>24.5</v>
      </c>
      <c r="D6" s="519"/>
    </row>
    <row r="7">
      <c r="A7" s="429">
        <v>104.0</v>
      </c>
      <c r="B7" s="429">
        <v>49.0</v>
      </c>
      <c r="C7" s="519">
        <f t="array" ref="C7">if(or('Dps p1'!$B$110,not(A6=1)),sum(int(IF((row($1:$149)-1)&gt;$B7,, if((row($1:$149)-1)&gt;50,if('Dps p1'!$B$110,'Dps p1'!$C$110,(1-$C$1) * (row($1:$149)-1)*$A$1 + $C$1*INT((row($1:$149)-1)*$B$1)),(1-$C$1) * (row($1:$149)-1)*$A$1 + $C$1*INT((row($1:$149)-1)*$B$1)) )))/(B7+1),B7/2)</f>
        <v>24.5</v>
      </c>
      <c r="D7" s="519"/>
    </row>
    <row r="8">
      <c r="A8" s="429">
        <v>103.0</v>
      </c>
      <c r="B8" s="429">
        <v>49.0</v>
      </c>
      <c r="C8" s="519">
        <f t="array" ref="C8">if(or('Dps p1'!$B$110,not(A7=1)),sum(int(IF((row($1:$149)-1)&gt;$B8,, if((row($1:$149)-1)&gt;50,if('Dps p1'!$B$110,'Dps p1'!$C$110,(1-$C$1) * (row($1:$149)-1)*$A$1 + $C$1*INT((row($1:$149)-1)*$B$1)),(1-$C$1) * (row($1:$149)-1)*$A$1 + $C$1*INT((row($1:$149)-1)*$B$1)) )))/(B8+1),B8/2)</f>
        <v>24.5</v>
      </c>
      <c r="D8" s="519"/>
    </row>
    <row r="9">
      <c r="A9" s="429">
        <v>102.0</v>
      </c>
      <c r="B9" s="429">
        <v>49.0</v>
      </c>
      <c r="C9" s="519">
        <f t="array" ref="C9">if(or('Dps p1'!$B$110,not(A8=1)),sum(int(IF((row($1:$149)-1)&gt;$B9,, if((row($1:$149)-1)&gt;50,if('Dps p1'!$B$110,'Dps p1'!$C$110,(1-$C$1) * (row($1:$149)-1)*$A$1 + $C$1*INT((row($1:$149)-1)*$B$1)),(1-$C$1) * (row($1:$149)-1)*$A$1 + $C$1*INT((row($1:$149)-1)*$B$1)) )))/(B9+1),B9/2)</f>
        <v>24.5</v>
      </c>
      <c r="D9" s="519"/>
    </row>
    <row r="10">
      <c r="A10" s="429">
        <v>101.0</v>
      </c>
      <c r="B10" s="429">
        <v>49.0</v>
      </c>
      <c r="C10" s="519">
        <f t="array" ref="C10">if(or('Dps p1'!$B$110,not(A9=1)),sum(int(IF((row($1:$149)-1)&gt;$B10,, if((row($1:$149)-1)&gt;50,if('Dps p1'!$B$110,'Dps p1'!$C$110,(1-$C$1) * (row($1:$149)-1)*$A$1 + $C$1*INT((row($1:$149)-1)*$B$1)),(1-$C$1) * (row($1:$149)-1)*$A$1 + $C$1*INT((row($1:$149)-1)*$B$1)) )))/(B10+1),B10/2)</f>
        <v>24.5</v>
      </c>
      <c r="D10" s="519"/>
    </row>
    <row r="11">
      <c r="A11" s="429">
        <v>100.0</v>
      </c>
      <c r="B11" s="429">
        <v>49.0</v>
      </c>
      <c r="C11" s="519">
        <f t="array" ref="C11">if(or('Dps p1'!$B$110,not(A10=1)),sum(int(IF((row($1:$149)-1)&gt;$B11,, if((row($1:$149)-1)&gt;50,if('Dps p1'!$B$110,'Dps p1'!$C$110,(1-$C$1) * (row($1:$149)-1)*$A$1 + $C$1*INT((row($1:$149)-1)*$B$1)),(1-$C$1) * (row($1:$149)-1)*$A$1 + $C$1*INT((row($1:$149)-1)*$B$1)) )))/(B11+1),B11/2)</f>
        <v>24.5</v>
      </c>
      <c r="D11" s="519"/>
    </row>
    <row r="12">
      <c r="A12" s="429">
        <v>99.0</v>
      </c>
      <c r="B12" s="429">
        <v>49.0</v>
      </c>
      <c r="C12" s="519">
        <f t="array" ref="C12">if(or('Dps p1'!$B$110,not(A11=1)),sum(int(IF((row($1:$149)-1)&gt;$B12,, if((row($1:$149)-1)&gt;50,if('Dps p1'!$B$110,'Dps p1'!$C$110,(1-$C$1) * (row($1:$149)-1)*$A$1 + $C$1*INT((row($1:$149)-1)*$B$1)),(1-$C$1) * (row($1:$149)-1)*$A$1 + $C$1*INT((row($1:$149)-1)*$B$1)) )))/(B12+1),B12/2)</f>
        <v>24.5</v>
      </c>
      <c r="D12" s="519"/>
    </row>
    <row r="13">
      <c r="A13" s="429">
        <v>99.0</v>
      </c>
      <c r="B13" s="429">
        <v>49.0</v>
      </c>
      <c r="C13" s="519">
        <f t="array" ref="C13">if(or('Dps p1'!$B$110,not(A12=1)),sum(int(IF((row($1:$149)-1)&gt;$B13,, if((row($1:$149)-1)&gt;50,if('Dps p1'!$B$110,'Dps p1'!$C$110,(1-$C$1) * (row($1:$149)-1)*$A$1 + $C$1*INT((row($1:$149)-1)*$B$1)),(1-$C$1) * (row($1:$149)-1)*$A$1 + $C$1*INT((row($1:$149)-1)*$B$1)) )))/(B13+1),B13/2)</f>
        <v>24.5</v>
      </c>
      <c r="D13" s="519"/>
    </row>
    <row r="14">
      <c r="A14" s="429">
        <v>99.0</v>
      </c>
      <c r="B14" s="429">
        <v>49.0</v>
      </c>
      <c r="C14" s="519">
        <f t="array" ref="C14">if(or('Dps p1'!$B$110,not(A13=1)),sum(int(IF((row($1:$149)-1)&gt;$B14,, if((row($1:$149)-1)&gt;50,if('Dps p1'!$B$110,'Dps p1'!$C$110,(1-$C$1) * (row($1:$149)-1)*$A$1 + $C$1*INT((row($1:$149)-1)*$B$1)),(1-$C$1) * (row($1:$149)-1)*$A$1 + $C$1*INT((row($1:$149)-1)*$B$1)) )))/(B14+1),B14/2)</f>
        <v>24.5</v>
      </c>
      <c r="D14" s="519"/>
    </row>
    <row r="15">
      <c r="A15" s="429">
        <v>99.0</v>
      </c>
      <c r="B15" s="429">
        <v>49.0</v>
      </c>
      <c r="C15" s="519">
        <f t="array" ref="C15">if(or('Dps p1'!$B$110,not(A14=1)),sum(int(IF((row($1:$149)-1)&gt;$B15,, if((row($1:$149)-1)&gt;50,if('Dps p1'!$B$110,'Dps p1'!$C$110,(1-$C$1) * (row($1:$149)-1)*$A$1 + $C$1*INT((row($1:$149)-1)*$B$1)),(1-$C$1) * (row($1:$149)-1)*$A$1 + $C$1*INT((row($1:$149)-1)*$B$1)) )))/(B15+1),B15/2)</f>
        <v>24.5</v>
      </c>
      <c r="D15" s="519"/>
    </row>
    <row r="16">
      <c r="A16" s="429">
        <v>99.0</v>
      </c>
      <c r="B16" s="429">
        <v>49.0</v>
      </c>
      <c r="C16" s="519">
        <f t="array" ref="C16">if(or('Dps p1'!$B$110,not(A15=1)),sum(int(IF((row($1:$149)-1)&gt;$B16,, if((row($1:$149)-1)&gt;50,if('Dps p1'!$B$110,'Dps p1'!$C$110,(1-$C$1) * (row($1:$149)-1)*$A$1 + $C$1*INT((row($1:$149)-1)*$B$1)),(1-$C$1) * (row($1:$149)-1)*$A$1 + $C$1*INT((row($1:$149)-1)*$B$1)) )))/(B16+1),B16/2)</f>
        <v>24.5</v>
      </c>
      <c r="D16" s="519"/>
    </row>
    <row r="17">
      <c r="A17" s="429">
        <v>99.0</v>
      </c>
      <c r="B17" s="429">
        <v>49.0</v>
      </c>
      <c r="C17" s="519">
        <f t="array" ref="C17">if(or('Dps p1'!$B$110,not(A16=1)),sum(int(IF((row($1:$149)-1)&gt;$B17,, if((row($1:$149)-1)&gt;50,if('Dps p1'!$B$110,'Dps p1'!$C$110,(1-$C$1) * (row($1:$149)-1)*$A$1 + $C$1*INT((row($1:$149)-1)*$B$1)),(1-$C$1) * (row($1:$149)-1)*$A$1 + $C$1*INT((row($1:$149)-1)*$B$1)) )))/(B17+1),B17/2)</f>
        <v>24.5</v>
      </c>
      <c r="D17" s="519"/>
    </row>
    <row r="18">
      <c r="A18" s="429">
        <v>99.0</v>
      </c>
      <c r="B18" s="429">
        <v>49.0</v>
      </c>
      <c r="C18" s="519">
        <f t="array" ref="C18">if(or('Dps p1'!$B$110,not(A17=1)),sum(int(IF((row($1:$149)-1)&gt;$B18,, if((row($1:$149)-1)&gt;50,if('Dps p1'!$B$110,'Dps p1'!$C$110,(1-$C$1) * (row($1:$149)-1)*$A$1 + $C$1*INT((row($1:$149)-1)*$B$1)),(1-$C$1) * (row($1:$149)-1)*$A$1 + $C$1*INT((row($1:$149)-1)*$B$1)) )))/(B18+1),B18/2)</f>
        <v>24.5</v>
      </c>
      <c r="D18" s="519"/>
    </row>
    <row r="19">
      <c r="A19" s="429">
        <v>99.0</v>
      </c>
      <c r="B19" s="429">
        <v>49.0</v>
      </c>
      <c r="C19" s="519">
        <f t="array" ref="C19">if(or('Dps p1'!$B$110,not(A18=1)),sum(int(IF((row($1:$149)-1)&gt;$B19,, if((row($1:$149)-1)&gt;50,if('Dps p1'!$B$110,'Dps p1'!$C$110,(1-$C$1) * (row($1:$149)-1)*$A$1 + $C$1*INT((row($1:$149)-1)*$B$1)),(1-$C$1) * (row($1:$149)-1)*$A$1 + $C$1*INT((row($1:$149)-1)*$B$1)) )))/(B19+1),B19/2)</f>
        <v>24.5</v>
      </c>
      <c r="D19" s="519"/>
    </row>
    <row r="20">
      <c r="A20" s="429">
        <v>99.0</v>
      </c>
      <c r="B20" s="429">
        <v>49.0</v>
      </c>
      <c r="C20" s="519">
        <f t="array" ref="C20">if(or('Dps p1'!$B$110,not(A19=1)),sum(int(IF((row($1:$149)-1)&gt;$B20,, if((row($1:$149)-1)&gt;50,if('Dps p1'!$B$110,'Dps p1'!$C$110,(1-$C$1) * (row($1:$149)-1)*$A$1 + $C$1*INT((row($1:$149)-1)*$B$1)),(1-$C$1) * (row($1:$149)-1)*$A$1 + $C$1*INT((row($1:$149)-1)*$B$1)) )))/(B20+1),B20/2)</f>
        <v>24.5</v>
      </c>
      <c r="D20" s="519"/>
    </row>
    <row r="21">
      <c r="A21" s="429">
        <v>99.0</v>
      </c>
      <c r="B21" s="429">
        <v>49.0</v>
      </c>
      <c r="C21" s="519">
        <f t="array" ref="C21">if(or('Dps p1'!$B$110,not(A20=1)),sum(int(IF((row($1:$149)-1)&gt;$B21,, if((row($1:$149)-1)&gt;50,if('Dps p1'!$B$110,'Dps p1'!$C$110,(1-$C$1) * (row($1:$149)-1)*$A$1 + $C$1*INT((row($1:$149)-1)*$B$1)),(1-$C$1) * (row($1:$149)-1)*$A$1 + $C$1*INT((row($1:$149)-1)*$B$1)) )))/(B21+1),B21/2)</f>
        <v>24.5</v>
      </c>
      <c r="D21" s="519"/>
    </row>
    <row r="22">
      <c r="A22" s="429">
        <v>99.0</v>
      </c>
      <c r="B22" s="429">
        <v>49.0</v>
      </c>
      <c r="C22" s="519">
        <f t="array" ref="C22">if(or('Dps p1'!$B$110,not(A21=1)),sum(int(IF((row($1:$149)-1)&gt;$B22,, if((row($1:$149)-1)&gt;50,if('Dps p1'!$B$110,'Dps p1'!$C$110,(1-$C$1) * (row($1:$149)-1)*$A$1 + $C$1*INT((row($1:$149)-1)*$B$1)),(1-$C$1) * (row($1:$149)-1)*$A$1 + $C$1*INT((row($1:$149)-1)*$B$1)) )))/(B22+1),B22/2)</f>
        <v>24.5</v>
      </c>
      <c r="D22" s="519"/>
    </row>
    <row r="23">
      <c r="A23" s="429">
        <v>99.0</v>
      </c>
      <c r="B23" s="429">
        <v>49.0</v>
      </c>
      <c r="C23" s="519">
        <f t="array" ref="C23">if(or('Dps p1'!$B$110,not(A22=1)),sum(int(IF((row($1:$149)-1)&gt;$B23,, if((row($1:$149)-1)&gt;50,if('Dps p1'!$B$110,'Dps p1'!$C$110,(1-$C$1) * (row($1:$149)-1)*$A$1 + $C$1*INT((row($1:$149)-1)*$B$1)),(1-$C$1) * (row($1:$149)-1)*$A$1 + $C$1*INT((row($1:$149)-1)*$B$1)) )))/(B23+1),B23/2)</f>
        <v>24.5</v>
      </c>
      <c r="D23" s="519"/>
    </row>
  </sheetData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9.29"/>
    <col customWidth="1" min="4" max="4" width="2.43"/>
  </cols>
  <sheetData>
    <row r="1">
      <c r="A1" s="518">
        <f>IF('Dps p2'!B66,'Dps p2'!C66,IF('Dps p2'!B87,'Dps p2'!C87,IF('Dps p2'!B88,'Dps p2'!C88,IF('Dps p2'!B89,'Dps p2'!C89,IF('Dps p2'!B91,'Dps p2'!C91,IF('Dps p2'!B92,'Dps p2'!C92,if('Dps p2'!B90,'Dps p2'!C90,1)))))))</f>
        <v>1</v>
      </c>
      <c r="B1" s="518">
        <f>IF('Sheet 1'!B58=Items!A52,3,IF('Sheet 1'!B58=Items!A43,2,1))</f>
        <v>1</v>
      </c>
      <c r="C1" s="429">
        <f>IF('Sheet 1'!B58=Items!A52,1/51,IF('Sheet 1'!B58=Items!A43,1/20,0))</f>
        <v>0</v>
      </c>
      <c r="D1" s="429">
        <v>0.0</v>
      </c>
    </row>
    <row r="2">
      <c r="A2" s="429">
        <f t="array" ref="A2:A23">TRANSPOSE('Dps p2'!D36:Y36)</f>
        <v>118</v>
      </c>
      <c r="B2" s="429">
        <f t="array" ref="B2:B23">IF('Dps p2'!C1="MAGIC",TRANSPOSE('Dps p2'!D65:Y65),TRANSPOSE('Dps p2'!D84:Y84))</f>
        <v>7</v>
      </c>
      <c r="C2" s="519">
        <f t="array" ref="C2">if(or('Dps p2'!$B$110,not(A1=1)),sum(int(IF((row($1:$147)-1)&gt;$B2,, if((row($1:$147)-1)&gt;50,if('Dps p2'!$B$110,'Dps p2'!$C$110,(1-$C$1) * (row($1:$147)-1)*$A$1 + $C$1*INT((row($1:$147)-1)*$B$1)),(1-$C$1) * (row($1:$147)-1)*$A$1 + $C$1*INT((row($1:$147)-1)*$B$1)) )))/(B2+1),B2/2)</f>
        <v>3.5</v>
      </c>
      <c r="D2" s="520"/>
    </row>
    <row r="3">
      <c r="A3" s="429">
        <v>117.0</v>
      </c>
      <c r="B3" s="429">
        <v>7.0</v>
      </c>
      <c r="C3" s="519">
        <f t="array" ref="C3">if(or('Dps p2'!$B$110,not(A2=1)),sum(int(IF((row($1:$147)-1)&gt;$B3,, if((row($1:$147)-1)&gt;50,if('Dps p2'!$B$110,'Dps p2'!$C$110,(1-$C$1) * (row($1:$147)-1)*$A$1 + $C$1*INT((row($1:$147)-1)*$B$1)),(1-$C$1) * (row($1:$147)-1)*$A$1 + $C$1*INT((row($1:$147)-1)*$B$1)) )))/(B3+1),B3/2)</f>
        <v>3.5</v>
      </c>
      <c r="D3" s="520"/>
    </row>
    <row r="4">
      <c r="A4" s="429">
        <v>116.0</v>
      </c>
      <c r="B4" s="429">
        <v>7.0</v>
      </c>
      <c r="C4" s="519">
        <f t="array" ref="C4">if(or('Dps p2'!$B$110,not(A3=1)),sum(int(IF((row($1:$147)-1)&gt;$B4,, if((row($1:$147)-1)&gt;50,if('Dps p2'!$B$110,'Dps p2'!$C$110,(1-$C$1) * (row($1:$147)-1)*$A$1 + $C$1*INT((row($1:$147)-1)*$B$1)),(1-$C$1) * (row($1:$147)-1)*$A$1 + $C$1*INT((row($1:$147)-1)*$B$1)) )))/(B4+1),B4/2)</f>
        <v>3.5</v>
      </c>
      <c r="D4" s="520"/>
    </row>
    <row r="5">
      <c r="A5" s="429">
        <v>115.0</v>
      </c>
      <c r="B5" s="429">
        <v>7.0</v>
      </c>
      <c r="C5" s="519">
        <f t="array" ref="C5">if(or('Dps p2'!$B$110,not(A4=1)),sum(int(IF((row($1:$147)-1)&gt;$B5,, if((row($1:$147)-1)&gt;50,if('Dps p2'!$B$110,'Dps p2'!$C$110,(1-$C$1) * (row($1:$147)-1)*$A$1 + $C$1*INT((row($1:$147)-1)*$B$1)),(1-$C$1) * (row($1:$147)-1)*$A$1 + $C$1*INT((row($1:$147)-1)*$B$1)) )))/(B5+1),B5/2)</f>
        <v>3.5</v>
      </c>
      <c r="D5" s="520"/>
    </row>
    <row r="6">
      <c r="A6" s="429">
        <v>114.0</v>
      </c>
      <c r="B6" s="429">
        <v>7.0</v>
      </c>
      <c r="C6" s="519">
        <f t="array" ref="C6">if(or('Dps p2'!$B$110,not(A5=1)),sum(int(IF((row($1:$147)-1)&gt;$B6,, if((row($1:$147)-1)&gt;50,if('Dps p2'!$B$110,'Dps p2'!$C$110,(1-$C$1) * (row($1:$147)-1)*$A$1 + $C$1*INT((row($1:$147)-1)*$B$1)),(1-$C$1) * (row($1:$147)-1)*$A$1 + $C$1*INT((row($1:$147)-1)*$B$1)) )))/(B6+1),B6/2)</f>
        <v>3.5</v>
      </c>
      <c r="D6" s="520"/>
    </row>
    <row r="7">
      <c r="A7" s="429">
        <v>113.0</v>
      </c>
      <c r="B7" s="429">
        <v>7.0</v>
      </c>
      <c r="C7" s="519">
        <f t="array" ref="C7">if(or('Dps p2'!$B$110,not(A6=1)),sum(int(IF((row($1:$147)-1)&gt;$B7,, if((row($1:$147)-1)&gt;50,if('Dps p2'!$B$110,'Dps p2'!$C$110,(1-$C$1) * (row($1:$147)-1)*$A$1 + $C$1*INT((row($1:$147)-1)*$B$1)),(1-$C$1) * (row($1:$147)-1)*$A$1 + $C$1*INT((row($1:$147)-1)*$B$1)) )))/(B7+1),B7/2)</f>
        <v>3.5</v>
      </c>
      <c r="D7" s="520"/>
    </row>
    <row r="8">
      <c r="A8" s="429">
        <v>112.0</v>
      </c>
      <c r="B8" s="429">
        <v>7.0</v>
      </c>
      <c r="C8" s="519">
        <f t="array" ref="C8">if(or('Dps p2'!$B$110,not(A7=1)),sum(int(IF((row($1:$147)-1)&gt;$B8,, if((row($1:$147)-1)&gt;50,if('Dps p2'!$B$110,'Dps p2'!$C$110,(1-$C$1) * (row($1:$147)-1)*$A$1 + $C$1*INT((row($1:$147)-1)*$B$1)),(1-$C$1) * (row($1:$147)-1)*$A$1 + $C$1*INT((row($1:$147)-1)*$B$1)) )))/(B8+1),B8/2)</f>
        <v>3.5</v>
      </c>
      <c r="D8" s="520"/>
    </row>
    <row r="9">
      <c r="A9" s="429">
        <v>111.0</v>
      </c>
      <c r="B9" s="429">
        <v>7.0</v>
      </c>
      <c r="C9" s="519">
        <f t="array" ref="C9">if(or('Dps p2'!$B$110,not(A8=1)),sum(int(IF((row($1:$147)-1)&gt;$B9,, if((row($1:$147)-1)&gt;50,if('Dps p2'!$B$110,'Dps p2'!$C$110,(1-$C$1) * (row($1:$147)-1)*$A$1 + $C$1*INT((row($1:$147)-1)*$B$1)),(1-$C$1) * (row($1:$147)-1)*$A$1 + $C$1*INT((row($1:$147)-1)*$B$1)) )))/(B9+1),B9/2)</f>
        <v>3.5</v>
      </c>
      <c r="D9" s="520"/>
    </row>
    <row r="10">
      <c r="A10" s="429">
        <v>110.0</v>
      </c>
      <c r="B10" s="429">
        <v>7.0</v>
      </c>
      <c r="C10" s="519">
        <f t="array" ref="C10">if(or('Dps p2'!$B$110,not(A9=1)),sum(int(IF((row($1:$147)-1)&gt;$B10,, if((row($1:$147)-1)&gt;50,if('Dps p2'!$B$110,'Dps p2'!$C$110,(1-$C$1) * (row($1:$147)-1)*$A$1 + $C$1*INT((row($1:$147)-1)*$B$1)),(1-$C$1) * (row($1:$147)-1)*$A$1 + $C$1*INT((row($1:$147)-1)*$B$1)) )))/(B10+1),B10/2)</f>
        <v>3.5</v>
      </c>
      <c r="D10" s="520"/>
    </row>
    <row r="11">
      <c r="A11" s="429">
        <v>109.0</v>
      </c>
      <c r="B11" s="429">
        <v>7.0</v>
      </c>
      <c r="C11" s="519">
        <f t="array" ref="C11">if(or('Dps p2'!$B$110,not(A10=1)),sum(int(IF((row($1:$147)-1)&gt;$B11,, if((row($1:$147)-1)&gt;50,if('Dps p2'!$B$110,'Dps p2'!$C$110,(1-$C$1) * (row($1:$147)-1)*$A$1 + $C$1*INT((row($1:$147)-1)*$B$1)),(1-$C$1) * (row($1:$147)-1)*$A$1 + $C$1*INT((row($1:$147)-1)*$B$1)) )))/(B11+1),B11/2)</f>
        <v>3.5</v>
      </c>
      <c r="D11" s="520"/>
    </row>
    <row r="12">
      <c r="A12" s="429">
        <v>108.0</v>
      </c>
      <c r="B12" s="429">
        <v>7.0</v>
      </c>
      <c r="C12" s="519">
        <f t="array" ref="C12">if(or('Dps p2'!$B$110,not(A11=1)),sum(int(IF((row($1:$147)-1)&gt;$B12,, if((row($1:$147)-1)&gt;50,if('Dps p2'!$B$110,'Dps p2'!$C$110,(1-$C$1) * (row($1:$147)-1)*$A$1 + $C$1*INT((row($1:$147)-1)*$B$1)),(1-$C$1) * (row($1:$147)-1)*$A$1 + $C$1*INT((row($1:$147)-1)*$B$1)) )))/(B12+1),B12/2)</f>
        <v>3.5</v>
      </c>
      <c r="D12" s="520"/>
    </row>
    <row r="13">
      <c r="A13" s="429">
        <v>107.0</v>
      </c>
      <c r="B13" s="429">
        <v>7.0</v>
      </c>
      <c r="C13" s="519">
        <f t="array" ref="C13">if(or('Dps p2'!$B$110,not(A12=1)),sum(int(IF((row($1:$147)-1)&gt;$B13,, if((row($1:$147)-1)&gt;50,if('Dps p2'!$B$110,'Dps p2'!$C$110,(1-$C$1) * (row($1:$147)-1)*$A$1 + $C$1*INT((row($1:$147)-1)*$B$1)),(1-$C$1) * (row($1:$147)-1)*$A$1 + $C$1*INT((row($1:$147)-1)*$B$1)) )))/(B13+1),B13/2)</f>
        <v>3.5</v>
      </c>
      <c r="D13" s="520"/>
    </row>
    <row r="14">
      <c r="A14" s="429">
        <v>106.0</v>
      </c>
      <c r="B14" s="429">
        <v>7.0</v>
      </c>
      <c r="C14" s="519">
        <f t="array" ref="C14">if(or('Dps p2'!$B$110,not(A13=1)),sum(int(IF((row($1:$147)-1)&gt;$B14,, if((row($1:$147)-1)&gt;50,if('Dps p2'!$B$110,'Dps p2'!$C$110,(1-$C$1) * (row($1:$147)-1)*$A$1 + $C$1*INT((row($1:$147)-1)*$B$1)),(1-$C$1) * (row($1:$147)-1)*$A$1 + $C$1*INT((row($1:$147)-1)*$B$1)) )))/(B14+1),B14/2)</f>
        <v>3.5</v>
      </c>
      <c r="D14" s="520"/>
    </row>
    <row r="15">
      <c r="A15" s="429">
        <v>105.0</v>
      </c>
      <c r="B15" s="429">
        <v>7.0</v>
      </c>
      <c r="C15" s="519">
        <f t="array" ref="C15">if(or('Dps p2'!$B$110,not(A14=1)),sum(int(IF((row($1:$147)-1)&gt;$B15,, if((row($1:$147)-1)&gt;50,if('Dps p2'!$B$110,'Dps p2'!$C$110,(1-$C$1) * (row($1:$147)-1)*$A$1 + $C$1*INT((row($1:$147)-1)*$B$1)),(1-$C$1) * (row($1:$147)-1)*$A$1 + $C$1*INT((row($1:$147)-1)*$B$1)) )))/(B15+1),B15/2)</f>
        <v>3.5</v>
      </c>
      <c r="D15" s="520"/>
    </row>
    <row r="16">
      <c r="A16" s="429">
        <v>104.0</v>
      </c>
      <c r="B16" s="429">
        <v>7.0</v>
      </c>
      <c r="C16" s="519">
        <f t="array" ref="C16">if(or('Dps p2'!$B$110,not(A15=1)),sum(int(IF((row($1:$147)-1)&gt;$B16,, if((row($1:$147)-1)&gt;50,if('Dps p2'!$B$110,'Dps p2'!$C$110,(1-$C$1) * (row($1:$147)-1)*$A$1 + $C$1*INT((row($1:$147)-1)*$B$1)),(1-$C$1) * (row($1:$147)-1)*$A$1 + $C$1*INT((row($1:$147)-1)*$B$1)) )))/(B16+1),B16/2)</f>
        <v>3.5</v>
      </c>
      <c r="D16" s="520"/>
    </row>
    <row r="17">
      <c r="A17" s="429">
        <v>103.0</v>
      </c>
      <c r="B17" s="429">
        <v>6.0</v>
      </c>
      <c r="C17" s="519">
        <f t="array" ref="C17">if(or('Dps p2'!$B$110,not(A16=1)),sum(int(IF((row($1:$147)-1)&gt;$B17,, if((row($1:$147)-1)&gt;50,if('Dps p2'!$B$110,'Dps p2'!$C$110,(1-$C$1) * (row($1:$147)-1)*$A$1 + $C$1*INT((row($1:$147)-1)*$B$1)),(1-$C$1) * (row($1:$147)-1)*$A$1 + $C$1*INT((row($1:$147)-1)*$B$1)) )))/(B17+1),B17/2)</f>
        <v>3</v>
      </c>
      <c r="D17" s="520"/>
    </row>
    <row r="18">
      <c r="A18" s="429">
        <v>102.0</v>
      </c>
      <c r="B18" s="429">
        <v>6.0</v>
      </c>
      <c r="C18" s="519">
        <f t="array" ref="C18">if(or('Dps p2'!$B$110,not(A17=1)),sum(int(IF((row($1:$147)-1)&gt;$B18,, if((row($1:$147)-1)&gt;50,if('Dps p2'!$B$110,'Dps p2'!$C$110,(1-$C$1) * (row($1:$147)-1)*$A$1 + $C$1*INT((row($1:$147)-1)*$B$1)),(1-$C$1) * (row($1:$147)-1)*$A$1 + $C$1*INT((row($1:$147)-1)*$B$1)) )))/(B18+1),B18/2)</f>
        <v>3</v>
      </c>
      <c r="D18" s="520"/>
    </row>
    <row r="19">
      <c r="A19" s="429">
        <v>101.0</v>
      </c>
      <c r="B19" s="429">
        <v>6.0</v>
      </c>
      <c r="C19" s="519">
        <f t="array" ref="C19">if(or('Dps p2'!$B$110,not(A18=1)),sum(int(IF((row($1:$147)-1)&gt;$B19,, if((row($1:$147)-1)&gt;50,if('Dps p2'!$B$110,'Dps p2'!$C$110,(1-$C$1) * (row($1:$147)-1)*$A$1 + $C$1*INT((row($1:$147)-1)*$B$1)),(1-$C$1) * (row($1:$147)-1)*$A$1 + $C$1*INT((row($1:$147)-1)*$B$1)) )))/(B19+1),B19/2)</f>
        <v>3</v>
      </c>
      <c r="D19" s="520"/>
    </row>
    <row r="20">
      <c r="A20" s="429">
        <v>100.0</v>
      </c>
      <c r="B20" s="429">
        <v>6.0</v>
      </c>
      <c r="C20" s="519">
        <f t="array" ref="C20">if(or('Dps p2'!$B$110,not(A19=1)),sum(int(IF((row($1:$147)-1)&gt;$B20,, if((row($1:$147)-1)&gt;50,if('Dps p2'!$B$110,'Dps p2'!$C$110,(1-$C$1) * (row($1:$147)-1)*$A$1 + $C$1*INT((row($1:$147)-1)*$B$1)),(1-$C$1) * (row($1:$147)-1)*$A$1 + $C$1*INT((row($1:$147)-1)*$B$1)) )))/(B20+1),B20/2)</f>
        <v>3</v>
      </c>
      <c r="D20" s="520"/>
    </row>
    <row r="21">
      <c r="A21" s="429">
        <v>99.0</v>
      </c>
      <c r="B21" s="429">
        <v>6.0</v>
      </c>
      <c r="C21" s="519">
        <f t="array" ref="C21">if(or('Dps p2'!$B$110,not(A20=1)),sum(int(IF((row($1:$147)-1)&gt;$B21,, if((row($1:$147)-1)&gt;50,if('Dps p2'!$B$110,'Dps p2'!$C$110,(1-$C$1) * (row($1:$147)-1)*$A$1 + $C$1*INT((row($1:$147)-1)*$B$1)),(1-$C$1) * (row($1:$147)-1)*$A$1 + $C$1*INT((row($1:$147)-1)*$B$1)) )))/(B21+1),B21/2)</f>
        <v>3</v>
      </c>
      <c r="D21" s="520"/>
    </row>
    <row r="22">
      <c r="A22" s="429">
        <v>99.0</v>
      </c>
      <c r="B22" s="429">
        <v>6.0</v>
      </c>
      <c r="C22" s="519">
        <f t="array" ref="C22">if(or('Dps p2'!$B$110,not(A21=1)),sum(int(IF((row($1:$147)-1)&gt;$B22,, if((row($1:$147)-1)&gt;50,if('Dps p2'!$B$110,'Dps p2'!$C$110,(1-$C$1) * (row($1:$147)-1)*$A$1 + $C$1*INT((row($1:$147)-1)*$B$1)),(1-$C$1) * (row($1:$147)-1)*$A$1 + $C$1*INT((row($1:$147)-1)*$B$1)) )))/(B22+1),B22/2)</f>
        <v>3</v>
      </c>
      <c r="D22" s="520"/>
    </row>
    <row r="23">
      <c r="A23" s="429">
        <v>99.0</v>
      </c>
      <c r="B23" s="429">
        <v>6.0</v>
      </c>
      <c r="C23" s="519">
        <f t="array" ref="C23">if(or('Dps p2'!$B$110,not(A22=1)),sum(int(IF((row($1:$147)-1)&gt;$B23,, if((row($1:$147)-1)&gt;50,if('Dps p2'!$B$110,'Dps p2'!$C$110,(1-$C$1) * (row($1:$147)-1)*$A$1 + $C$1*INT((row($1:$147)-1)*$B$1)),(1-$C$1) * (row($1:$147)-1)*$A$1 + $C$1*INT((row($1:$147)-1)*$B$1)) )))/(B23+1),B23/2)</f>
        <v>3</v>
      </c>
      <c r="D23" s="520"/>
    </row>
  </sheetData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9.29"/>
    <col customWidth="1" min="4" max="4" width="2.43"/>
  </cols>
  <sheetData>
    <row r="1">
      <c r="A1" s="518">
        <f>IF('Dps p2'!B66,'Dps p2'!C66,IF('Dps p2'!B87,'Dps p2'!C87,IF('Dps p2'!B88,'Dps p2'!C88,IF('Dps p2'!B89,'Dps p2'!C89,IF('Dps p2'!B91,'Dps p2'!C91,IF('Dps p2'!B92,'Dps p2'!C92,if('Dps p2'!B90,'Dps p2'!C90,1)))))))</f>
        <v>1</v>
      </c>
      <c r="B1" s="518">
        <f>IF('Sheet 1'!B58=Items!A52,3,IF('Sheet 1'!B58=Items!A43,2,1))</f>
        <v>1</v>
      </c>
      <c r="C1" s="429">
        <f>IF('Sheet 1'!B58=Items!A52,1/51,IF('Sheet 1'!B58=Items!A43,1/20,0))</f>
        <v>0</v>
      </c>
      <c r="D1" s="429"/>
    </row>
    <row r="2">
      <c r="A2" s="429">
        <f t="array" ref="A2:A23">TRANSPOSE('Dps p2'!D36:Y36)</f>
        <v>118</v>
      </c>
      <c r="B2" s="429" t="str">
        <f t="array" ref="B2:B23">IF('Dps p2'!C1="MAGIC",TRANSPOSE('Dps p2'!D65:Y65),TRANSPOSE('Dps p2'!D108:Y108))</f>
        <v/>
      </c>
      <c r="C2" s="519">
        <f t="array" ref="C2">if(or('Dps p2'!$B$110,not(A1=1)),sum(int(IF((row($1:$147)-1)&gt;$B2,, if((row($1:$147)-1)&gt;50,if('Dps p2'!$B$110,'Dps p2'!$C$110,(1-$C$1) * (row($1:$147)-1)*$A$1 + $C$1*INT((row($1:$147)-1)*$B$1)),(1-$C$1) * (row($1:$147)-1)*$A$1 + $C$1*INT((row($1:$147)-1)*$B$1)) )))/(B2+1),B2/2)</f>
        <v>0</v>
      </c>
      <c r="D2" s="519"/>
    </row>
    <row r="3">
      <c r="A3" s="429">
        <v>117.0</v>
      </c>
      <c r="B3" s="429"/>
      <c r="C3" s="519">
        <f t="array" ref="C3">if(or('Dps p2'!$B$110,not(A2=1)),sum(int(IF((row($1:$147)-1)&gt;$B3,, if((row($1:$147)-1)&gt;50,if('Dps p2'!$B$110,'Dps p2'!$C$110,(1-$C$1) * (row($1:$147)-1)*$A$1 + $C$1*INT((row($1:$147)-1)*$B$1)),(1-$C$1) * (row($1:$147)-1)*$A$1 + $C$1*INT((row($1:$147)-1)*$B$1)) )))/(B3+1),B3/2)</f>
        <v>0</v>
      </c>
      <c r="D3" s="519"/>
    </row>
    <row r="4">
      <c r="A4" s="429">
        <v>116.0</v>
      </c>
      <c r="B4" s="429"/>
      <c r="C4" s="519">
        <f t="array" ref="C4">if(or('Dps p2'!$B$110,not(A3=1)),sum(int(IF((row($1:$147)-1)&gt;$B4,, if((row($1:$147)-1)&gt;50,if('Dps p2'!$B$110,'Dps p2'!$C$110,(1-$C$1) * (row($1:$147)-1)*$A$1 + $C$1*INT((row($1:$147)-1)*$B$1)),(1-$C$1) * (row($1:$147)-1)*$A$1 + $C$1*INT((row($1:$147)-1)*$B$1)) )))/(B4+1),B4/2)</f>
        <v>0</v>
      </c>
      <c r="D4" s="519"/>
    </row>
    <row r="5">
      <c r="A5" s="429">
        <v>115.0</v>
      </c>
      <c r="B5" s="429"/>
      <c r="C5" s="519">
        <f t="array" ref="C5">if(or('Dps p2'!$B$110,not(A4=1)),sum(int(IF((row($1:$147)-1)&gt;$B5,, if((row($1:$147)-1)&gt;50,if('Dps p2'!$B$110,'Dps p2'!$C$110,(1-$C$1) * (row($1:$147)-1)*$A$1 + $C$1*INT((row($1:$147)-1)*$B$1)),(1-$C$1) * (row($1:$147)-1)*$A$1 + $C$1*INT((row($1:$147)-1)*$B$1)) )))/(B5+1),B5/2)</f>
        <v>0</v>
      </c>
      <c r="D5" s="519"/>
    </row>
    <row r="6">
      <c r="A6" s="429">
        <v>114.0</v>
      </c>
      <c r="B6" s="429"/>
      <c r="C6" s="519">
        <f t="array" ref="C6">if(or('Dps p2'!$B$110,not(A5=1)),sum(int(IF((row($1:$147)-1)&gt;$B6,, if((row($1:$147)-1)&gt;50,if('Dps p2'!$B$110,'Dps p2'!$C$110,(1-$C$1) * (row($1:$147)-1)*$A$1 + $C$1*INT((row($1:$147)-1)*$B$1)),(1-$C$1) * (row($1:$147)-1)*$A$1 + $C$1*INT((row($1:$147)-1)*$B$1)) )))/(B6+1),B6/2)</f>
        <v>0</v>
      </c>
      <c r="D6" s="519"/>
    </row>
    <row r="7">
      <c r="A7" s="429">
        <v>113.0</v>
      </c>
      <c r="B7" s="429"/>
      <c r="C7" s="519">
        <f t="array" ref="C7">if(or('Dps p2'!$B$110,not(A6=1)),sum(int(IF((row($1:$147)-1)&gt;$B7,, if((row($1:$147)-1)&gt;50,if('Dps p2'!$B$110,'Dps p2'!$C$110,(1-$C$1) * (row($1:$147)-1)*$A$1 + $C$1*INT((row($1:$147)-1)*$B$1)),(1-$C$1) * (row($1:$147)-1)*$A$1 + $C$1*INT((row($1:$147)-1)*$B$1)) )))/(B7+1),B7/2)</f>
        <v>0</v>
      </c>
      <c r="D7" s="519"/>
    </row>
    <row r="8">
      <c r="A8" s="429">
        <v>112.0</v>
      </c>
      <c r="B8" s="429"/>
      <c r="C8" s="519">
        <f t="array" ref="C8">if(or('Dps p2'!$B$110,not(A7=1)),sum(int(IF((row($1:$147)-1)&gt;$B8,, if((row($1:$147)-1)&gt;50,if('Dps p2'!$B$110,'Dps p2'!$C$110,(1-$C$1) * (row($1:$147)-1)*$A$1 + $C$1*INT((row($1:$147)-1)*$B$1)),(1-$C$1) * (row($1:$147)-1)*$A$1 + $C$1*INT((row($1:$147)-1)*$B$1)) )))/(B8+1),B8/2)</f>
        <v>0</v>
      </c>
      <c r="D8" s="519"/>
    </row>
    <row r="9">
      <c r="A9" s="429">
        <v>111.0</v>
      </c>
      <c r="B9" s="429"/>
      <c r="C9" s="519">
        <f t="array" ref="C9">if(or('Dps p2'!$B$110,not(A8=1)),sum(int(IF((row($1:$147)-1)&gt;$B9,, if((row($1:$147)-1)&gt;50,if('Dps p2'!$B$110,'Dps p2'!$C$110,(1-$C$1) * (row($1:$147)-1)*$A$1 + $C$1*INT((row($1:$147)-1)*$B$1)),(1-$C$1) * (row($1:$147)-1)*$A$1 + $C$1*INT((row($1:$147)-1)*$B$1)) )))/(B9+1),B9/2)</f>
        <v>0</v>
      </c>
      <c r="D9" s="519"/>
    </row>
    <row r="10">
      <c r="A10" s="429">
        <v>110.0</v>
      </c>
      <c r="B10" s="429"/>
      <c r="C10" s="519">
        <f t="array" ref="C10">if(or('Dps p2'!$B$110,not(A9=1)),sum(int(IF((row($1:$147)-1)&gt;$B10,, if((row($1:$147)-1)&gt;50,if('Dps p2'!$B$110,'Dps p2'!$C$110,(1-$C$1) * (row($1:$147)-1)*$A$1 + $C$1*INT((row($1:$147)-1)*$B$1)),(1-$C$1) * (row($1:$147)-1)*$A$1 + $C$1*INT((row($1:$147)-1)*$B$1)) )))/(B10+1),B10/2)</f>
        <v>0</v>
      </c>
      <c r="D10" s="519"/>
    </row>
    <row r="11">
      <c r="A11" s="429">
        <v>109.0</v>
      </c>
      <c r="B11" s="429"/>
      <c r="C11" s="519">
        <f t="array" ref="C11">if(or('Dps p2'!$B$110,not(A10=1)),sum(int(IF((row($1:$147)-1)&gt;$B11,, if((row($1:$147)-1)&gt;50,if('Dps p2'!$B$110,'Dps p2'!$C$110,(1-$C$1) * (row($1:$147)-1)*$A$1 + $C$1*INT((row($1:$147)-1)*$B$1)),(1-$C$1) * (row($1:$147)-1)*$A$1 + $C$1*INT((row($1:$147)-1)*$B$1)) )))/(B11+1),B11/2)</f>
        <v>0</v>
      </c>
      <c r="D11" s="519"/>
    </row>
    <row r="12">
      <c r="A12" s="429">
        <v>108.0</v>
      </c>
      <c r="B12" s="429"/>
      <c r="C12" s="519">
        <f t="array" ref="C12">if(or('Dps p2'!$B$110,not(A11=1)),sum(int(IF((row($1:$147)-1)&gt;$B12,, if((row($1:$147)-1)&gt;50,if('Dps p2'!$B$110,'Dps p2'!$C$110,(1-$C$1) * (row($1:$147)-1)*$A$1 + $C$1*INT((row($1:$147)-1)*$B$1)),(1-$C$1) * (row($1:$147)-1)*$A$1 + $C$1*INT((row($1:$147)-1)*$B$1)) )))/(B12+1),B12/2)</f>
        <v>0</v>
      </c>
      <c r="D12" s="519"/>
    </row>
    <row r="13">
      <c r="A13" s="429">
        <v>107.0</v>
      </c>
      <c r="B13" s="429"/>
      <c r="C13" s="519">
        <f t="array" ref="C13">if(or('Dps p2'!$B$110,not(A12=1)),sum(int(IF((row($1:$147)-1)&gt;$B13,, if((row($1:$147)-1)&gt;50,if('Dps p2'!$B$110,'Dps p2'!$C$110,(1-$C$1) * (row($1:$147)-1)*$A$1 + $C$1*INT((row($1:$147)-1)*$B$1)),(1-$C$1) * (row($1:$147)-1)*$A$1 + $C$1*INT((row($1:$147)-1)*$B$1)) )))/(B13+1),B13/2)</f>
        <v>0</v>
      </c>
      <c r="D13" s="519"/>
    </row>
    <row r="14">
      <c r="A14" s="429">
        <v>106.0</v>
      </c>
      <c r="B14" s="429"/>
      <c r="C14" s="519">
        <f t="array" ref="C14">if(or('Dps p2'!$B$110,not(A13=1)),sum(int(IF((row($1:$147)-1)&gt;$B14,, if((row($1:$147)-1)&gt;50,if('Dps p2'!$B$110,'Dps p2'!$C$110,(1-$C$1) * (row($1:$147)-1)*$A$1 + $C$1*INT((row($1:$147)-1)*$B$1)),(1-$C$1) * (row($1:$147)-1)*$A$1 + $C$1*INT((row($1:$147)-1)*$B$1)) )))/(B14+1),B14/2)</f>
        <v>0</v>
      </c>
      <c r="D14" s="519"/>
    </row>
    <row r="15">
      <c r="A15" s="429">
        <v>105.0</v>
      </c>
      <c r="B15" s="429"/>
      <c r="C15" s="519">
        <f t="array" ref="C15">if(or('Dps p2'!$B$110,not(A14=1)),sum(int(IF((row($1:$147)-1)&gt;$B15,, if((row($1:$147)-1)&gt;50,if('Dps p2'!$B$110,'Dps p2'!$C$110,(1-$C$1) * (row($1:$147)-1)*$A$1 + $C$1*INT((row($1:$147)-1)*$B$1)),(1-$C$1) * (row($1:$147)-1)*$A$1 + $C$1*INT((row($1:$147)-1)*$B$1)) )))/(B15+1),B15/2)</f>
        <v>0</v>
      </c>
      <c r="D15" s="519"/>
    </row>
    <row r="16">
      <c r="A16" s="429">
        <v>104.0</v>
      </c>
      <c r="B16" s="429"/>
      <c r="C16" s="519">
        <f t="array" ref="C16">if(or('Dps p2'!$B$110,not(A15=1)),sum(int(IF((row($1:$147)-1)&gt;$B16,, if((row($1:$147)-1)&gt;50,if('Dps p2'!$B$110,'Dps p2'!$C$110,(1-$C$1) * (row($1:$147)-1)*$A$1 + $C$1*INT((row($1:$147)-1)*$B$1)),(1-$C$1) * (row($1:$147)-1)*$A$1 + $C$1*INT((row($1:$147)-1)*$B$1)) )))/(B16+1),B16/2)</f>
        <v>0</v>
      </c>
      <c r="D16" s="519"/>
    </row>
    <row r="17">
      <c r="A17" s="429">
        <v>103.0</v>
      </c>
      <c r="B17" s="429"/>
      <c r="C17" s="519">
        <f t="array" ref="C17">if(or('Dps p2'!$B$110,not(A16=1)),sum(int(IF((row($1:$147)-1)&gt;$B17,, if((row($1:$147)-1)&gt;50,if('Dps p2'!$B$110,'Dps p2'!$C$110,(1-$C$1) * (row($1:$147)-1)*$A$1 + $C$1*INT((row($1:$147)-1)*$B$1)),(1-$C$1) * (row($1:$147)-1)*$A$1 + $C$1*INT((row($1:$147)-1)*$B$1)) )))/(B17+1),B17/2)</f>
        <v>0</v>
      </c>
      <c r="D17" s="519"/>
    </row>
    <row r="18">
      <c r="A18" s="429">
        <v>102.0</v>
      </c>
      <c r="B18" s="429"/>
      <c r="C18" s="519">
        <f t="array" ref="C18">if(or('Dps p2'!$B$110,not(A17=1)),sum(int(IF((row($1:$147)-1)&gt;$B18,, if((row($1:$147)-1)&gt;50,if('Dps p2'!$B$110,'Dps p2'!$C$110,(1-$C$1) * (row($1:$147)-1)*$A$1 + $C$1*INT((row($1:$147)-1)*$B$1)),(1-$C$1) * (row($1:$147)-1)*$A$1 + $C$1*INT((row($1:$147)-1)*$B$1)) )))/(B18+1),B18/2)</f>
        <v>0</v>
      </c>
      <c r="D18" s="519"/>
    </row>
    <row r="19">
      <c r="A19" s="429">
        <v>101.0</v>
      </c>
      <c r="B19" s="429"/>
      <c r="C19" s="519">
        <f t="array" ref="C19">if(or('Dps p2'!$B$110,not(A18=1)),sum(int(IF((row($1:$147)-1)&gt;$B19,, if((row($1:$147)-1)&gt;50,if('Dps p2'!$B$110,'Dps p2'!$C$110,(1-$C$1) * (row($1:$147)-1)*$A$1 + $C$1*INT((row($1:$147)-1)*$B$1)),(1-$C$1) * (row($1:$147)-1)*$A$1 + $C$1*INT((row($1:$147)-1)*$B$1)) )))/(B19+1),B19/2)</f>
        <v>0</v>
      </c>
      <c r="D19" s="519"/>
    </row>
    <row r="20">
      <c r="A20" s="429">
        <v>100.0</v>
      </c>
      <c r="B20" s="429"/>
      <c r="C20" s="519">
        <f t="array" ref="C20">if(or('Dps p2'!$B$110,not(A19=1)),sum(int(IF((row($1:$147)-1)&gt;$B20,, if((row($1:$147)-1)&gt;50,if('Dps p2'!$B$110,'Dps p2'!$C$110,(1-$C$1) * (row($1:$147)-1)*$A$1 + $C$1*INT((row($1:$147)-1)*$B$1)),(1-$C$1) * (row($1:$147)-1)*$A$1 + $C$1*INT((row($1:$147)-1)*$B$1)) )))/(B20+1),B20/2)</f>
        <v>0</v>
      </c>
      <c r="D20" s="519"/>
    </row>
    <row r="21">
      <c r="A21" s="429">
        <v>99.0</v>
      </c>
      <c r="B21" s="429"/>
      <c r="C21" s="519">
        <f t="array" ref="C21">if(or('Dps p2'!$B$110,not(A20=1)),sum(int(IF((row($1:$147)-1)&gt;$B21,, if((row($1:$147)-1)&gt;50,if('Dps p2'!$B$110,'Dps p2'!$C$110,(1-$C$1) * (row($1:$147)-1)*$A$1 + $C$1*INT((row($1:$147)-1)*$B$1)),(1-$C$1) * (row($1:$147)-1)*$A$1 + $C$1*INT((row($1:$147)-1)*$B$1)) )))/(B21+1),B21/2)</f>
        <v>0</v>
      </c>
      <c r="D21" s="519"/>
    </row>
    <row r="22">
      <c r="A22" s="429">
        <v>99.0</v>
      </c>
      <c r="B22" s="429"/>
      <c r="C22" s="519">
        <f t="array" ref="C22">if(or('Dps p2'!$B$110,not(A21=1)),sum(int(IF((row($1:$147)-1)&gt;$B22,, if((row($1:$147)-1)&gt;50,if('Dps p2'!$B$110,'Dps p2'!$C$110,(1-$C$1) * (row($1:$147)-1)*$A$1 + $C$1*INT((row($1:$147)-1)*$B$1)),(1-$C$1) * (row($1:$147)-1)*$A$1 + $C$1*INT((row($1:$147)-1)*$B$1)) )))/(B22+1),B22/2)</f>
        <v>0</v>
      </c>
      <c r="D22" s="519"/>
    </row>
    <row r="23">
      <c r="A23" s="429">
        <v>99.0</v>
      </c>
      <c r="B23" s="429"/>
      <c r="C23" s="519">
        <f t="array" ref="C23">if(or('Dps p2'!$B$110,not(A22=1)),sum(int(IF((row($1:$147)-1)&gt;$B23,, if((row($1:$147)-1)&gt;50,if('Dps p2'!$B$110,'Dps p2'!$C$110,(1-$C$1) * (row($1:$147)-1)*$A$1 + $C$1*INT((row($1:$147)-1)*$B$1)),(1-$C$1) * (row($1:$147)-1)*$A$1 + $C$1*INT((row($1:$147)-1)*$B$1)) )))/(B23+1),B23/2)</f>
        <v>0</v>
      </c>
      <c r="D23" s="519"/>
    </row>
  </sheetData>
  <drawing r:id="rId2"/>
  <legacyDrawing r:id="rId3"/>
</worksheet>
</file>