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b\thesis-coding\external-data\"/>
    </mc:Choice>
  </mc:AlternateContent>
  <xr:revisionPtr revIDLastSave="0" documentId="13_ncr:1_{C2AC8A94-C489-451B-9A9C-EC07EF5AEA1E}" xr6:coauthVersionLast="47" xr6:coauthVersionMax="47" xr10:uidLastSave="{00000000-0000-0000-0000-000000000000}"/>
  <bookViews>
    <workbookView xWindow="-98" yWindow="-98" windowWidth="21795" windowHeight="12975" firstSheet="1" activeTab="1" xr2:uid="{9957BEEC-D385-4312-AA94-4620899D06DA}"/>
  </bookViews>
  <sheets>
    <sheet name="SBahn" sheetId="1" state="hidden" r:id="rId1"/>
    <sheet name="S-Bahn" sheetId="3" r:id="rId2"/>
    <sheet name="U-Bahn" sheetId="4" r:id="rId3"/>
    <sheet name="Tram" sheetId="2" r:id="rId4"/>
    <sheet name="Bu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3" l="1"/>
  <c r="O16" i="3"/>
  <c r="O13" i="3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G14" i="2"/>
  <c r="G11" i="2"/>
  <c r="E10" i="2"/>
  <c r="G10" i="2" s="1"/>
  <c r="E9" i="2"/>
  <c r="E7" i="2"/>
  <c r="E6" i="2"/>
  <c r="E5" i="2"/>
  <c r="I18" i="4"/>
  <c r="C21" i="4"/>
  <c r="C19" i="4"/>
  <c r="N7" i="3"/>
  <c r="M7" i="3" s="1"/>
  <c r="O7" i="3" s="1"/>
  <c r="F18" i="4"/>
  <c r="I5" i="4"/>
  <c r="I4" i="4"/>
  <c r="F11" i="4"/>
  <c r="F12" i="4"/>
  <c r="F10" i="4"/>
  <c r="F5" i="4"/>
  <c r="F6" i="4"/>
  <c r="F7" i="4"/>
  <c r="F8" i="4"/>
  <c r="F9" i="4"/>
  <c r="F4" i="4"/>
  <c r="M9" i="3"/>
  <c r="N5" i="3"/>
  <c r="M5" i="3" s="1"/>
  <c r="N8" i="3"/>
  <c r="M8" i="3" s="1"/>
  <c r="N10" i="3"/>
  <c r="M12" i="3"/>
  <c r="M15" i="3"/>
  <c r="M19" i="3"/>
  <c r="M16" i="3"/>
  <c r="M13" i="3"/>
  <c r="Q6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M11" i="3"/>
  <c r="M14" i="3"/>
  <c r="M17" i="3"/>
  <c r="K29" i="3"/>
  <c r="J29" i="3"/>
  <c r="H29" i="3"/>
  <c r="G29" i="3"/>
  <c r="F29" i="3"/>
  <c r="E29" i="3"/>
  <c r="D29" i="3"/>
  <c r="C29" i="3"/>
  <c r="B29" i="3"/>
  <c r="D27" i="3"/>
  <c r="M18" i="3" s="1"/>
  <c r="K25" i="3"/>
  <c r="J25" i="3"/>
  <c r="H25" i="3"/>
  <c r="G25" i="3"/>
  <c r="F25" i="3"/>
  <c r="E25" i="3"/>
  <c r="D25" i="3"/>
  <c r="C25" i="3"/>
  <c r="B25" i="3"/>
  <c r="E30" i="1"/>
  <c r="F30" i="1"/>
  <c r="G30" i="1"/>
  <c r="H30" i="1"/>
  <c r="J30" i="1"/>
  <c r="K30" i="1"/>
  <c r="K34" i="1"/>
  <c r="J34" i="1"/>
  <c r="H34" i="1"/>
  <c r="G34" i="1"/>
  <c r="F34" i="1"/>
  <c r="E34" i="1"/>
  <c r="D34" i="1"/>
  <c r="D32" i="1"/>
  <c r="D30" i="1"/>
  <c r="C30" i="1"/>
  <c r="C34" i="1"/>
  <c r="B34" i="1"/>
  <c r="B30" i="1"/>
  <c r="M10" i="3" l="1"/>
  <c r="O10" i="3" s="1"/>
</calcChain>
</file>

<file path=xl/sharedStrings.xml><?xml version="1.0" encoding="utf-8"?>
<sst xmlns="http://schemas.openxmlformats.org/spreadsheetml/2006/main" count="276" uniqueCount="172">
  <si>
    <t>Wagenbestand</t>
  </si>
  <si>
    <t>10.1.1946</t>
  </si>
  <si>
    <t>ET</t>
  </si>
  <si>
    <t>ES</t>
  </si>
  <si>
    <t>EB</t>
  </si>
  <si>
    <t>Quelle</t>
  </si>
  <si>
    <t>Lokrundschau Nr. 66</t>
  </si>
  <si>
    <t>Beobachtungen und Umzeichnungssystem 1970</t>
  </si>
  <si>
    <t>Beobachtungen und Der Modelleisenbahner 8/1968</t>
  </si>
  <si>
    <t>Beobachtungen und Elektrische Bahnen 1959</t>
  </si>
  <si>
    <t>31.12.1944</t>
  </si>
  <si>
    <t>Elektrische Bahnen 6/1950</t>
  </si>
  <si>
    <t>Bauart 1924</t>
  </si>
  <si>
    <t>B 1925</t>
  </si>
  <si>
    <t>B 1927-30</t>
  </si>
  <si>
    <t>B 1932</t>
  </si>
  <si>
    <t>B 1934-38</t>
  </si>
  <si>
    <t>B 1936</t>
  </si>
  <si>
    <t>B 1938-41</t>
  </si>
  <si>
    <t>B 1941 (ex Peenemünde)</t>
  </si>
  <si>
    <t>B 170.0</t>
  </si>
  <si>
    <t>Insgesamt</t>
  </si>
  <si>
    <t>*einschl. ET, die als EB liefen</t>
  </si>
  <si>
    <t>einschl. Sadwagenpark</t>
  </si>
  <si>
    <t>EB/ES</t>
  </si>
  <si>
    <t>24**</t>
  </si>
  <si>
    <t>** 8 Halbzüge = 16 Viertelzüge</t>
  </si>
  <si>
    <t>429***</t>
  </si>
  <si>
    <t>*** einschl. 315 Umgebauter Steuerwagen</t>
  </si>
  <si>
    <t>Zeitpunkt</t>
  </si>
  <si>
    <t>Anmerkungen</t>
  </si>
  <si>
    <t>406*</t>
  </si>
  <si>
    <t>*davon 2 Versuchstriebwagen</t>
  </si>
  <si>
    <t>Anmerkungen2</t>
  </si>
  <si>
    <t>Treib Si/St</t>
  </si>
  <si>
    <t>Beiwagen Si/St</t>
  </si>
  <si>
    <t>Ins.</t>
  </si>
  <si>
    <t>66/90*</t>
  </si>
  <si>
    <t>*Nach Umbau 62/90</t>
  </si>
  <si>
    <t>36/50**</t>
  </si>
  <si>
    <t>**Nach Umbau 35/50</t>
  </si>
  <si>
    <t>Bauart 1924 (ET/EB 169)</t>
  </si>
  <si>
    <t>Umbau: 1956/57</t>
  </si>
  <si>
    <t>ES Si/St</t>
  </si>
  <si>
    <t>B 1925 (ET/EB 168)</t>
  </si>
  <si>
    <t>Höchstgeschwindigkeit</t>
  </si>
  <si>
    <t>70***</t>
  </si>
  <si>
    <t>***Nach Umbau 80</t>
  </si>
  <si>
    <t>54/100</t>
  </si>
  <si>
    <t>58/90</t>
  </si>
  <si>
    <t>B 1927-30 (ET/EB/ES 165.0 - 6; 275.0 - 8; 276.1</t>
  </si>
  <si>
    <t>63/42</t>
  </si>
  <si>
    <t>B 1932 (ET/EB 165.8; 275.9; 276.1)</t>
  </si>
  <si>
    <t>63/90</t>
  </si>
  <si>
    <t>B 1934-38 (ET/EB 166; 125; 276.0;</t>
  </si>
  <si>
    <t>56/90</t>
  </si>
  <si>
    <t>56/100</t>
  </si>
  <si>
    <t>61/90</t>
  </si>
  <si>
    <t>63/75</t>
  </si>
  <si>
    <t>B 1938-41 (ET/EB 167; 277.0 -3)</t>
  </si>
  <si>
    <t>52/100</t>
  </si>
  <si>
    <t>B 170.0 (278.2)</t>
  </si>
  <si>
    <t>52/134</t>
  </si>
  <si>
    <t>60/113</t>
  </si>
  <si>
    <t>B 270</t>
  </si>
  <si>
    <t>46/115</t>
  </si>
  <si>
    <t>58/130</t>
  </si>
  <si>
    <t>B 1941 (ex Peenemünde) ET/ES 166; 276.0; 277.4</t>
  </si>
  <si>
    <t>Fragen:</t>
  </si>
  <si>
    <t>Ein Sbahn Zug hat wieviele Wagen?, Ist die Wagenlänge auf unterschiedlichen Strecken anders? Werden die Fahrzeugtypen auf Linien gleich verteilt oder haben manche Linien generell neuere Fahrzeuge?</t>
  </si>
  <si>
    <t>Akkumulatorwagen</t>
  </si>
  <si>
    <t>Fahrzeug-Typ</t>
  </si>
  <si>
    <t>Avg. Wagonsize</t>
  </si>
  <si>
    <t>1901–1904</t>
  </si>
  <si>
    <t>1906–1913</t>
  </si>
  <si>
    <t>1924–1926</t>
  </si>
  <si>
    <t>A3-60</t>
  </si>
  <si>
    <t>A3-64</t>
  </si>
  <si>
    <t>A3-66</t>
  </si>
  <si>
    <t>A3L66</t>
  </si>
  <si>
    <t>A3L67</t>
  </si>
  <si>
    <t>A3L71</t>
  </si>
  <si>
    <t>A3L82</t>
  </si>
  <si>
    <t>1978–1983</t>
  </si>
  <si>
    <t>1986–1989</t>
  </si>
  <si>
    <t>1955–1965</t>
  </si>
  <si>
    <t>D</t>
  </si>
  <si>
    <t>1956–1957</t>
  </si>
  <si>
    <t>1965–1966</t>
  </si>
  <si>
    <t>DL65</t>
  </si>
  <si>
    <t>1962–1990</t>
  </si>
  <si>
    <t>1968–1970</t>
  </si>
  <si>
    <t>DL68</t>
  </si>
  <si>
    <t>1926–1927</t>
  </si>
  <si>
    <t>1970–1973</t>
  </si>
  <si>
    <t>DL70</t>
  </si>
  <si>
    <t>1973–1975</t>
  </si>
  <si>
    <t>F74</t>
  </si>
  <si>
    <t>C-II</t>
  </si>
  <si>
    <t>1976–1978</t>
  </si>
  <si>
    <t>F76</t>
  </si>
  <si>
    <t>C-III</t>
  </si>
  <si>
    <t>1979–1981</t>
  </si>
  <si>
    <t>F79</t>
  </si>
  <si>
    <t>1930–1931</t>
  </si>
  <si>
    <t>C-IV</t>
  </si>
  <si>
    <t>1984–1985</t>
  </si>
  <si>
    <t>F84</t>
  </si>
  <si>
    <t>1987–1988</t>
  </si>
  <si>
    <t>F87</t>
  </si>
  <si>
    <t>A-I</t>
  </si>
  <si>
    <t>1960–1961</t>
  </si>
  <si>
    <t>G-I</t>
  </si>
  <si>
    <t>G-II</t>
  </si>
  <si>
    <t>1928–1929</t>
  </si>
  <si>
    <t>A-II</t>
  </si>
  <si>
    <t>G-I/1</t>
  </si>
  <si>
    <t>1967–1968</t>
  </si>
  <si>
    <t>1972–1973</t>
  </si>
  <si>
    <t>1982–1983</t>
  </si>
  <si>
    <t>Übersicht der Kapazitäten gängiger Busmodelle - Bürger Pro CityBahn</t>
  </si>
  <si>
    <t>Statistisches Bundesamt Wiesbaden (Hrsg.), 1997: Verkehrsstatistische Übersichten 1947 bis 1989 (Teil II). Sonderreihe mit Beiträgen für das Gebiet der ehemaligen DDR, Heft 29. Wiesbaden.</t>
  </si>
  <si>
    <t>Sitzplätze pro Kraftomnibus</t>
  </si>
  <si>
    <t>Großprofil = {'5', '6', '7', '8', '9','C', 'C I', 'C II', 'D', 'E', 'G'}</t>
  </si>
  <si>
    <t>Kleinprofil = {'1', '2', '3', '4', 'A', 'A I', 'A II', 'A III', 'A1', 'A2', 'B', 'B I', 'B II', 'B III', 'B1', 'B2', }</t>
  </si>
  <si>
    <t>Train Wagon availability in period</t>
  </si>
  <si>
    <t>Time</t>
  </si>
  <si>
    <t>Total Wagons</t>
  </si>
  <si>
    <t>Capacity by Wagon Type</t>
  </si>
  <si>
    <t>Average Train Capacity (4 wagons, 1 ET &amp; 3 EB)</t>
  </si>
  <si>
    <t>Großprofil Train Types</t>
  </si>
  <si>
    <t>Kleinprofil train types and their capacity (4 wagons)</t>
  </si>
  <si>
    <t>Berlin U-Bahn Wagon types in production 1901–1945</t>
  </si>
  <si>
    <t>West Berlin U-Bahn Wagon types in production 1945–1990</t>
  </si>
  <si>
    <t>East Berlin U-Bahn Wagon types in production 1945–1990</t>
  </si>
  <si>
    <t>Capacity of Train with 4 wagons of type</t>
  </si>
  <si>
    <t>East Berlin U-Bahn Wagon types in production 1945–1990 (Linie E)</t>
  </si>
  <si>
    <t>G</t>
  </si>
  <si>
    <t>E-I, only U5,  1962-1990</t>
  </si>
  <si>
    <t>E-III, only U5, 1962-1990</t>
  </si>
  <si>
    <t>Tram Wagon Type</t>
  </si>
  <si>
    <t>Capacity of Wagon</t>
  </si>
  <si>
    <t>Capacity of Tram</t>
  </si>
  <si>
    <t>Hawa TF 20/29</t>
  </si>
  <si>
    <t>T 24</t>
  </si>
  <si>
    <t>B 24</t>
  </si>
  <si>
    <t>TEM 26</t>
  </si>
  <si>
    <t>TM 33</t>
  </si>
  <si>
    <t>Wagons in Tram</t>
  </si>
  <si>
    <t>Source</t>
  </si>
  <si>
    <t>TG 29</t>
  </si>
  <si>
    <t>Additional</t>
  </si>
  <si>
    <t>Main Wagon type of the 1930s, 40s and 50s</t>
  </si>
  <si>
    <t>VEB Wagon 1959</t>
  </si>
  <si>
    <t>G 4-61 (1961)</t>
  </si>
  <si>
    <t>Öff pg. 688</t>
  </si>
  <si>
    <t>Öff pg. 689</t>
  </si>
  <si>
    <t>TED 52 ET / TED 52 EB</t>
  </si>
  <si>
    <t>95 / 110</t>
  </si>
  <si>
    <t>C-I, all remaining brought to Moscow after the war.</t>
  </si>
  <si>
    <t>DSB pg. 26</t>
  </si>
  <si>
    <t>DSB pg. 28</t>
  </si>
  <si>
    <t>DSB pg. 30</t>
  </si>
  <si>
    <t>DSB</t>
  </si>
  <si>
    <t>Reichard, Hans, Die Straßenbahnen Berlinsb Eine Geschichte der BVG und ihrer Straßenbahnen, Düsseldorf 1974</t>
  </si>
  <si>
    <t>Öff</t>
  </si>
  <si>
    <t>Schmiedeke, Carl, Wagenpark der Berliner S-Bahn, Bberlin 1982.</t>
  </si>
  <si>
    <t>We know that in 1974 West Berlin had 230 D type wagons, 202 DL type wagons and 56 F type wagons for its Großprofil train system - BU pg. 91</t>
  </si>
  <si>
    <t>BU - Lemke, Ulrich, Poppel, Uwe, Berliner U-Bahn, Düsseldorf 1974.</t>
  </si>
  <si>
    <t>Year</t>
  </si>
  <si>
    <t>Total amount of Autobuses</t>
  </si>
  <si>
    <t>Total seated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</si>
</sst>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rgb="FF202122"/>
      <name val="Arial"/>
      <family val="2"/>
    </font>
    <font>
      <b/>
      <sz val="5"/>
      <color rgb="FF20212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5"/>
      <color rgb="FFD4D4D4"/>
      <name val="Consolas"/>
      <family val="3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0F0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6" fillId="0" borderId="0" xfId="0" applyFont="1"/>
    <xf numFmtId="0" fontId="4" fillId="5" borderId="0" xfId="0" applyFont="1" applyFill="1" applyAlignment="1">
      <alignment vertical="center" wrapText="1"/>
    </xf>
    <xf numFmtId="0" fontId="4" fillId="3" borderId="0" xfId="0" applyFont="1" applyFill="1" applyAlignment="1">
      <alignment horizontal="right" vertical="center" wrapText="1" indent="1"/>
    </xf>
    <xf numFmtId="0" fontId="4" fillId="3" borderId="0" xfId="0" applyFont="1" applyFill="1" applyAlignment="1">
      <alignment horizontal="left" vertical="center" wrapText="1" indent="1"/>
    </xf>
    <xf numFmtId="0" fontId="4" fillId="4" borderId="0" xfId="0" applyFont="1" applyFill="1" applyAlignment="1">
      <alignment horizontal="right" vertical="center" wrapText="1" indent="1"/>
    </xf>
    <xf numFmtId="0" fontId="4" fillId="4" borderId="0" xfId="0" applyFont="1" applyFill="1" applyAlignment="1">
      <alignment horizontal="left" vertical="center" wrapText="1" indent="1"/>
    </xf>
    <xf numFmtId="0" fontId="4" fillId="3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5" fillId="5" borderId="0" xfId="0" applyFont="1" applyFill="1" applyAlignment="1">
      <alignment vertical="center" wrapText="1"/>
    </xf>
    <xf numFmtId="0" fontId="3" fillId="0" borderId="0" xfId="1"/>
    <xf numFmtId="0" fontId="7" fillId="0" borderId="0" xfId="0" applyFont="1"/>
    <xf numFmtId="1" fontId="0" fillId="0" borderId="0" xfId="0" applyNumberFormat="1"/>
    <xf numFmtId="0" fontId="8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 indent="1"/>
    </xf>
    <xf numFmtId="0" fontId="5" fillId="5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" fillId="4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6" fillId="0" borderId="0" xfId="0" applyFont="1" applyAlignment="1">
      <alignment wrapText="1"/>
    </xf>
    <xf numFmtId="0" fontId="9" fillId="0" borderId="0" xfId="0" applyFont="1"/>
  </cellXfs>
  <cellStyles count="2">
    <cellStyle name="Hyperlink" xfId="1" builtinId="8"/>
    <cellStyle name="Normal" xfId="0" builtinId="0"/>
  </cellStyles>
  <dxfs count="48"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E355BE-1503-4215-8038-B9C8FB1ED02F}" name="Table1" displayName="Table1" ref="B5:Q23" totalsRowShown="0" headerRowDxfId="47" dataDxfId="46">
  <autoFilter ref="B5:Q23" xr:uid="{CFE355BE-1503-4215-8038-B9C8FB1ED02F}"/>
  <tableColumns count="16">
    <tableColumn id="1" xr3:uid="{0938141F-549F-46A6-B63D-DEF37A05AE45}" name="Quelle" dataDxfId="45"/>
    <tableColumn id="2" xr3:uid="{DDB94D4E-D4A3-47B2-B050-222F5719BEA9}" name="Zeitpunkt" dataDxfId="44"/>
    <tableColumn id="3" xr3:uid="{BC73A961-EC82-4E44-9EB0-9FC1C4389EB6}" name="Fahrzeug-Typ" dataDxfId="43"/>
    <tableColumn id="4" xr3:uid="{60586CA9-4CB1-4AF2-83D0-D397B98CB428}" name="Bauart 1924" dataDxfId="42"/>
    <tableColumn id="5" xr3:uid="{BF741066-C461-4487-87D7-9D4C4263FE74}" name="B 1925" dataDxfId="41"/>
    <tableColumn id="6" xr3:uid="{A773B969-92CA-42D8-835C-B306F6953A84}" name="B 1927-30" dataDxfId="40"/>
    <tableColumn id="7" xr3:uid="{9E197B7F-533A-4A03-A837-A02BE2D1AC20}" name="B 1932" dataDxfId="39"/>
    <tableColumn id="8" xr3:uid="{AD2E5E8C-1AA8-43A5-858A-CE768766BB3F}" name="B 1934-38" dataDxfId="38"/>
    <tableColumn id="9" xr3:uid="{11B414CA-C074-432E-81AF-0259CD532B0C}" name="B 1936" dataDxfId="37"/>
    <tableColumn id="10" xr3:uid="{0B97F05F-BC53-4A56-BFB2-FAF1FCF44F57}" name="B 1938-41" dataDxfId="36"/>
    <tableColumn id="11" xr3:uid="{D85BD4DB-F5F3-47FF-9B98-B424A394D732}" name="B 1941 (ex Peenemünde)" dataDxfId="35"/>
    <tableColumn id="12" xr3:uid="{0DAC3CD5-CD6B-49FA-B9C0-8AB14BA55D8F}" name="B 170.0" dataDxfId="34"/>
    <tableColumn id="16" xr3:uid="{2030AA91-CCA2-45BA-B1A6-26CB75E1976B}" name="Avg. Wagonsize" dataDxfId="33">
      <calculatedColumnFormula>Table1[[#This Row],[Bauart 1924]]*B30+Table1[[#This Row],[B 1925]]*C30+Table1[[#This Row],[B 1927-30]]*D30+Table1[[#This Row],[B 1932]]*E30+Table1[[#This Row],[B 1934-38]]*F30+Table1[[#This Row],[B 1936]]*G30+Table1[[#This Row],[B 1938-41]]*H30+Table1[[#This Row],[B 1941 (ex Peenemünde)]]*I29+Table1[[#This Row],[B 170.0]]*J30</calculatedColumnFormula>
    </tableColumn>
    <tableColumn id="13" xr3:uid="{62F11D01-C2D9-4C3C-93CC-3BFA57CE7EF0}" name="Insgesamt" dataDxfId="32"/>
    <tableColumn id="14" xr3:uid="{0812BA84-5447-4A21-AA0F-B012E8F5C3C5}" name="Anmerkungen" dataDxfId="31"/>
    <tableColumn id="15" xr3:uid="{54C6A64D-741E-4CAD-AD85-B034DB711F98}" name="Anmerkungen2" dataDxfId="3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F4D7D5-2FC8-4AB5-BC52-E94F277CB551}" name="Table13" displayName="Table13" ref="B4:O19" totalsRowShown="0" headerRowDxfId="29" dataDxfId="28">
  <autoFilter ref="B4:O19" xr:uid="{63F4D7D5-2FC8-4AB5-BC52-E94F277CB551}"/>
  <tableColumns count="14">
    <tableColumn id="2" xr3:uid="{06B52DD8-14F0-4A16-A3BC-4C2D31EB6F86}" name="Time" dataDxfId="27" totalsRowDxfId="14"/>
    <tableColumn id="3" xr3:uid="{3D846BD2-2F96-4791-8DD6-7C351F63CB30}" name="Fahrzeug-Typ" dataDxfId="26" totalsRowDxfId="13"/>
    <tableColumn id="4" xr3:uid="{4DC7A87F-88E1-45B1-8825-C242E76A13A2}" name="Bauart 1924" dataDxfId="25" totalsRowDxfId="12"/>
    <tableColumn id="5" xr3:uid="{DC01B7FF-6992-4E91-B66C-92DBDF370AAD}" name="B 1925" dataDxfId="24" totalsRowDxfId="11"/>
    <tableColumn id="6" xr3:uid="{8E89B981-E79C-4DC8-A3C3-B47B4026250E}" name="B 1927-30" dataDxfId="23" totalsRowDxfId="10"/>
    <tableColumn id="7" xr3:uid="{A4A33438-4FF3-42A4-89BA-0D2F5CE58074}" name="B 1932" dataDxfId="22" totalsRowDxfId="9"/>
    <tableColumn id="8" xr3:uid="{3DA98B9E-3E27-4289-91D6-36576330BF6D}" name="B 1934-38" dataDxfId="21" totalsRowDxfId="8"/>
    <tableColumn id="9" xr3:uid="{74C974CC-7526-46FD-A06D-7CFF21BB3123}" name="B 1936" dataDxfId="20" totalsRowDxfId="7"/>
    <tableColumn id="10" xr3:uid="{4ADF49DB-5072-4570-9198-D3754BCD0CB0}" name="B 1938-41" dataDxfId="19" totalsRowDxfId="6"/>
    <tableColumn id="11" xr3:uid="{46645C33-07BD-4D33-AD11-2DD026E2FDAA}" name="B 1941 (ex Peenemünde)" dataDxfId="18" totalsRowDxfId="5"/>
    <tableColumn id="12" xr3:uid="{1B8F8419-5412-43DB-BDB9-48A8FFDFB0EB}" name="B 170.0" dataDxfId="17" totalsRowDxfId="4"/>
    <tableColumn id="16" xr3:uid="{69956370-E5A0-4BF0-A64D-791912EB197E}" name="Avg. Wagonsize" dataDxfId="16" totalsRowDxfId="3">
      <calculatedColumnFormula>((Table13[[#This Row],[Bauart 1924]]*156)+Table13[[#This Row],[B 1925]]*154+Table13[[#This Row],[B 1927-30]]*154+Table13[[#This Row],[B 1932]]*154+Table13[[#This Row],[B 1934-38]]*156+Table13[[#This Row],[B 1936]]*142+Table13[[#This Row],[B 1938-41]]*152+Table13[[#This Row],[B 1941 (ex Peenemünde)]]*55)/Table13[[#This Row],[Total Wagons]]</calculatedColumnFormula>
    </tableColumn>
    <tableColumn id="13" xr3:uid="{B89C4229-8D76-4903-A082-432F90C6520F}" name="Total Wagons" dataDxfId="15" totalsRowDxfId="2"/>
    <tableColumn id="1" xr3:uid="{F3AFDED8-B450-47E8-AA1A-25D7844268D5}" name="Average Train Capacity (4 wagons, 1 ET &amp; 3 EB)" dataDxfId="0" totalsRowDxfId="1">
      <calculatedColumnFormula>(M3*2)+(Table13[[#This Row],[Avg. Wagonsize]]*2)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procitybahn.de/kapazitaet-busmodel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425D-7829-4974-9CA0-E29438E7F9C0}">
  <dimension ref="A2:Q39"/>
  <sheetViews>
    <sheetView topLeftCell="H2" zoomScale="111" workbookViewId="0">
      <selection activeCell="Q5" sqref="Q5"/>
    </sheetView>
  </sheetViews>
  <sheetFormatPr defaultRowHeight="14.25" x14ac:dyDescent="0.45"/>
  <cols>
    <col min="1" max="1" width="11.86328125" style="1" customWidth="1"/>
    <col min="2" max="3" width="11.6640625" style="1" customWidth="1"/>
    <col min="4" max="4" width="18.53125" style="1" customWidth="1"/>
    <col min="5" max="11" width="11.6640625" style="1" customWidth="1"/>
    <col min="12" max="12" width="14.59765625" style="1" customWidth="1"/>
    <col min="13" max="15" width="11.6640625" style="1" customWidth="1"/>
    <col min="16" max="17" width="17" style="1" customWidth="1"/>
    <col min="18" max="16384" width="9.06640625" style="1"/>
  </cols>
  <sheetData>
    <row r="2" spans="2:17" ht="57" customHeight="1" x14ac:dyDescent="0.45">
      <c r="B2" s="1" t="s">
        <v>68</v>
      </c>
      <c r="C2" s="18" t="s">
        <v>69</v>
      </c>
      <c r="D2" s="18"/>
      <c r="E2" s="18"/>
      <c r="F2" s="18"/>
    </row>
    <row r="4" spans="2:17" x14ac:dyDescent="0.45">
      <c r="B4" s="18" t="s">
        <v>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</row>
    <row r="5" spans="2:17" ht="28.5" x14ac:dyDescent="0.45">
      <c r="B5" s="1" t="s">
        <v>5</v>
      </c>
      <c r="C5" s="1" t="s">
        <v>29</v>
      </c>
      <c r="D5" s="1" t="s">
        <v>71</v>
      </c>
      <c r="E5" s="1" t="s">
        <v>12</v>
      </c>
      <c r="F5" s="1" t="s">
        <v>13</v>
      </c>
      <c r="G5" s="1" t="s">
        <v>14</v>
      </c>
      <c r="H5" s="1" t="s">
        <v>15</v>
      </c>
      <c r="I5" s="1" t="s">
        <v>16</v>
      </c>
      <c r="J5" s="1" t="s">
        <v>17</v>
      </c>
      <c r="K5" s="1" t="s">
        <v>18</v>
      </c>
      <c r="L5" s="1" t="s">
        <v>19</v>
      </c>
      <c r="M5" s="1" t="s">
        <v>20</v>
      </c>
      <c r="N5" s="1" t="s">
        <v>72</v>
      </c>
      <c r="O5" s="1" t="s">
        <v>21</v>
      </c>
      <c r="P5" s="1" t="s">
        <v>30</v>
      </c>
      <c r="Q5" s="1" t="s">
        <v>33</v>
      </c>
    </row>
    <row r="6" spans="2:17" ht="28.5" customHeight="1" x14ac:dyDescent="0.45">
      <c r="B6" s="2" t="s">
        <v>11</v>
      </c>
      <c r="C6" s="2" t="s">
        <v>10</v>
      </c>
      <c r="D6" s="1" t="s">
        <v>2</v>
      </c>
      <c r="E6" s="1">
        <v>24</v>
      </c>
      <c r="F6" s="1">
        <v>36</v>
      </c>
      <c r="G6" s="1">
        <v>592</v>
      </c>
      <c r="H6" s="1">
        <v>51</v>
      </c>
      <c r="I6" s="1">
        <v>18</v>
      </c>
      <c r="J6" s="1">
        <v>33</v>
      </c>
      <c r="K6" s="1">
        <v>267</v>
      </c>
      <c r="N6" s="1">
        <f>Table1[[#This Row],[Bauart 1924]]*B30+Table1[[#This Row],[B 1925]]*C30+Table1[[#This Row],[B 1927-30]]*D30+Table1[[#This Row],[B 1932]]*E30+Table1[[#This Row],[B 1934-38]]*F30+Table1[[#This Row],[B 1936]]*G30+Table1[[#This Row],[B 1938-41]]*H30+Table1[[#This Row],[B 1941 (ex Peenemünde)]]*I29+Table1[[#This Row],[B 170.0]]*J30</f>
        <v>156388</v>
      </c>
      <c r="O6" s="1">
        <v>1021</v>
      </c>
      <c r="Q6" s="1">
        <f>Table1[[#This Row],[Avg. Wagonsize]]/Table1[[#This Row],[Insgesamt]]</f>
        <v>153.17140058765915</v>
      </c>
    </row>
    <row r="7" spans="2:17" x14ac:dyDescent="0.45">
      <c r="B7" s="2"/>
      <c r="C7" s="2"/>
      <c r="D7" s="1" t="s">
        <v>3</v>
      </c>
      <c r="N7" s="1" t="e">
        <f>Table1[[#This Row],[Bauart 1924]]*B31+Table1[[#This Row],[B 1925]]*C31+Table1[[#This Row],[B 1927-30]]*D31+Table1[[#This Row],[B 1932]]*E31+Table1[[#This Row],[B 1934-38]]*F31+Table1[[#This Row],[B 1936]]*G31+Table1[[#This Row],[B 1938-41]]*H31+Table1[[#This Row],[B 1941 (ex Peenemünde)]]*I30+Table1[[#This Row],[B 170.0]]*J31</f>
        <v>#VALUE!</v>
      </c>
    </row>
    <row r="8" spans="2:17" ht="28.5" x14ac:dyDescent="0.45">
      <c r="B8" s="2"/>
      <c r="C8" s="2"/>
      <c r="D8" s="1" t="s">
        <v>4</v>
      </c>
      <c r="E8" s="1">
        <v>36</v>
      </c>
      <c r="F8" s="1">
        <v>36</v>
      </c>
      <c r="G8" s="1">
        <v>592</v>
      </c>
      <c r="H8" s="1">
        <v>51</v>
      </c>
      <c r="I8" s="1">
        <v>18</v>
      </c>
      <c r="J8" s="1">
        <v>33</v>
      </c>
      <c r="K8" s="1">
        <v>267</v>
      </c>
      <c r="N8" s="1">
        <f>Table1[[#This Row],[Bauart 1924]]*B32+Table1[[#This Row],[B 1925]]*C32+Table1[[#This Row],[B 1927-30]]*D32+Table1[[#This Row],[B 1932]]*E32+Table1[[#This Row],[B 1934-38]]*F32+Table1[[#This Row],[B 1936]]*G32+Table1[[#This Row],[B 1938-41]]*H32+Table1[[#This Row],[B 1941 (ex Peenemünde)]]*I31+Table1[[#This Row],[B 170.0]]*J32</f>
        <v>87616</v>
      </c>
      <c r="O8" s="1">
        <v>1033</v>
      </c>
      <c r="P8" s="1" t="s">
        <v>22</v>
      </c>
      <c r="Q8" s="1" t="s">
        <v>23</v>
      </c>
    </row>
    <row r="9" spans="2:17" x14ac:dyDescent="0.45">
      <c r="B9" s="2"/>
      <c r="C9" s="2" t="s">
        <v>1</v>
      </c>
      <c r="D9" s="1" t="s">
        <v>2</v>
      </c>
      <c r="N9" s="1" t="e">
        <f>Table1[[#This Row],[Bauart 1924]]*B33+Table1[[#This Row],[B 1925]]*C33+Table1[[#This Row],[B 1927-30]]*D33+Table1[[#This Row],[B 1932]]*E33+Table1[[#This Row],[B 1934-38]]*F33+Table1[[#This Row],[B 1936]]*G33+Table1[[#This Row],[B 1938-41]]*H33+Table1[[#This Row],[B 1941 (ex Peenemünde)]]*I32+Table1[[#This Row],[B 170.0]]*J33</f>
        <v>#VALUE!</v>
      </c>
      <c r="O9" s="1">
        <v>1003</v>
      </c>
    </row>
    <row r="10" spans="2:17" x14ac:dyDescent="0.45">
      <c r="B10" s="2"/>
      <c r="C10" s="2"/>
      <c r="D10" s="1" t="s">
        <v>3</v>
      </c>
      <c r="N10" s="1">
        <f>Table1[[#This Row],[Bauart 1924]]*B34+Table1[[#This Row],[B 1925]]*C34+Table1[[#This Row],[B 1927-30]]*D34+Table1[[#This Row],[B 1932]]*E34+Table1[[#This Row],[B 1934-38]]*F34+Table1[[#This Row],[B 1936]]*G34+Table1[[#This Row],[B 1938-41]]*H34+Table1[[#This Row],[B 1941 (ex Peenemünde)]]*I33+Table1[[#This Row],[B 170.0]]*J34</f>
        <v>0</v>
      </c>
    </row>
    <row r="11" spans="2:17" x14ac:dyDescent="0.45">
      <c r="B11" s="2"/>
      <c r="C11" s="2"/>
      <c r="D11" s="1" t="s">
        <v>4</v>
      </c>
      <c r="N11" s="1" t="e">
        <f>Table1[[#This Row],[Bauart 1924]]*B35+Table1[[#This Row],[B 1925]]*C35+Table1[[#This Row],[B 1927-30]]*D35+Table1[[#This Row],[B 1932]]*E35+Table1[[#This Row],[B 1934-38]]*F35+Table1[[#This Row],[B 1936]]*G35+Table1[[#This Row],[B 1938-41]]*H35+Table1[[#This Row],[B 1941 (ex Peenemünde)]]*I34+Table1[[#This Row],[B 170.0]]*J35</f>
        <v>#VALUE!</v>
      </c>
      <c r="O11" s="1">
        <v>990</v>
      </c>
      <c r="P11" s="1" t="s">
        <v>24</v>
      </c>
    </row>
    <row r="12" spans="2:17" ht="42.75" customHeight="1" x14ac:dyDescent="0.45">
      <c r="B12" s="2" t="s">
        <v>9</v>
      </c>
      <c r="C12" s="2">
        <v>1958</v>
      </c>
      <c r="D12" s="1" t="s">
        <v>2</v>
      </c>
      <c r="E12" s="1">
        <v>16</v>
      </c>
      <c r="F12" s="1">
        <v>19</v>
      </c>
      <c r="G12" s="1">
        <v>435</v>
      </c>
      <c r="H12" s="1">
        <v>36</v>
      </c>
      <c r="I12" s="1">
        <v>18</v>
      </c>
      <c r="J12" s="1">
        <v>19</v>
      </c>
      <c r="K12" s="1">
        <v>181</v>
      </c>
      <c r="L12" s="1">
        <v>9</v>
      </c>
      <c r="N12" s="1" t="e">
        <f>Table1[[#This Row],[Bauart 1924]]*B36+Table1[[#This Row],[B 1925]]*C36+Table1[[#This Row],[B 1927-30]]*D36+Table1[[#This Row],[B 1932]]*E36+Table1[[#This Row],[B 1934-38]]*F36+Table1[[#This Row],[B 1936]]*G36+Table1[[#This Row],[B 1938-41]]*H36+Table1[[#This Row],[B 1941 (ex Peenemünde)]]*I35+Table1[[#This Row],[B 170.0]]*J36</f>
        <v>#VALUE!</v>
      </c>
      <c r="O12" s="1">
        <v>773</v>
      </c>
    </row>
    <row r="13" spans="2:17" x14ac:dyDescent="0.45">
      <c r="B13" s="2"/>
      <c r="C13" s="2"/>
      <c r="D13" s="1" t="s">
        <v>3</v>
      </c>
      <c r="G13" s="1">
        <v>3</v>
      </c>
      <c r="N13" s="1" t="e">
        <f>Table1[[#This Row],[Bauart 1924]]*B37+Table1[[#This Row],[B 1925]]*C37+Table1[[#This Row],[B 1927-30]]*D37+Table1[[#This Row],[B 1932]]*E37+Table1[[#This Row],[B 1934-38]]*F37+Table1[[#This Row],[B 1936]]*G37+Table1[[#This Row],[B 1938-41]]*H37+Table1[[#This Row],[B 1941 (ex Peenemünde)]]*I36+Table1[[#This Row],[B 170.0]]*J37</f>
        <v>#VALUE!</v>
      </c>
      <c r="O13" s="1">
        <v>3</v>
      </c>
    </row>
    <row r="14" spans="2:17" ht="42.75" x14ac:dyDescent="0.45">
      <c r="B14" s="2"/>
      <c r="C14" s="2"/>
      <c r="D14" s="1" t="s">
        <v>4</v>
      </c>
      <c r="E14" s="1" t="s">
        <v>25</v>
      </c>
      <c r="F14" s="1">
        <v>21</v>
      </c>
      <c r="G14" s="1" t="s">
        <v>27</v>
      </c>
      <c r="H14" s="1">
        <v>37</v>
      </c>
      <c r="I14" s="1">
        <v>18</v>
      </c>
      <c r="J14" s="1">
        <v>19</v>
      </c>
      <c r="K14" s="1">
        <v>181</v>
      </c>
      <c r="L14" s="1">
        <v>9</v>
      </c>
      <c r="N14" s="1" t="e">
        <f>Table1[[#This Row],[Bauart 1924]]*B38+Table1[[#This Row],[B 1925]]*C38+Table1[[#This Row],[B 1927-30]]*D38+Table1[[#This Row],[B 1932]]*E38+Table1[[#This Row],[B 1934-38]]*F38+Table1[[#This Row],[B 1936]]*G38+Table1[[#This Row],[B 1938-41]]*H38+Table1[[#This Row],[B 1941 (ex Peenemünde)]]*I37+Table1[[#This Row],[B 170.0]]*J38</f>
        <v>#VALUE!</v>
      </c>
      <c r="O14" s="1">
        <v>730</v>
      </c>
      <c r="P14" s="1" t="s">
        <v>26</v>
      </c>
      <c r="Q14" s="1" t="s">
        <v>28</v>
      </c>
    </row>
    <row r="15" spans="2:17" ht="57" customHeight="1" x14ac:dyDescent="0.45">
      <c r="B15" s="2" t="s">
        <v>8</v>
      </c>
      <c r="C15" s="2">
        <v>1968</v>
      </c>
      <c r="D15" s="1" t="s">
        <v>2</v>
      </c>
      <c r="G15" s="1">
        <v>432</v>
      </c>
      <c r="H15" s="1">
        <v>36</v>
      </c>
      <c r="I15" s="1">
        <v>18</v>
      </c>
      <c r="J15" s="1">
        <v>19</v>
      </c>
      <c r="K15" s="1">
        <v>182</v>
      </c>
      <c r="L15" s="1">
        <v>9</v>
      </c>
      <c r="M15" s="1">
        <v>8</v>
      </c>
      <c r="N15" s="1" t="e">
        <f>Table1[[#This Row],[Bauart 1924]]*B39+Table1[[#This Row],[B 1925]]*C39+Table1[[#This Row],[B 1927-30]]*D39+Table1[[#This Row],[B 1932]]*E39+Table1[[#This Row],[B 1934-38]]*F39+Table1[[#This Row],[B 1936]]*G39+Table1[[#This Row],[B 1938-41]]*H39+Table1[[#This Row],[B 1941 (ex Peenemünde)]]*I38+Table1[[#This Row],[B 170.0]]*J39</f>
        <v>#VALUE!</v>
      </c>
      <c r="O15" s="1">
        <v>704</v>
      </c>
    </row>
    <row r="16" spans="2:17" x14ac:dyDescent="0.45">
      <c r="B16" s="2"/>
      <c r="C16" s="2"/>
      <c r="D16" s="1" t="s">
        <v>3</v>
      </c>
      <c r="G16" s="1">
        <v>3</v>
      </c>
      <c r="L16" s="1">
        <v>7</v>
      </c>
      <c r="N16" s="1">
        <f>Table1[[#This Row],[Bauart 1924]]*B40+Table1[[#This Row],[B 1925]]*C40+Table1[[#This Row],[B 1927-30]]*D40+Table1[[#This Row],[B 1932]]*E40+Table1[[#This Row],[B 1934-38]]*F40+Table1[[#This Row],[B 1936]]*G40+Table1[[#This Row],[B 1938-41]]*H40+Table1[[#This Row],[B 1941 (ex Peenemünde)]]*I39+Table1[[#This Row],[B 170.0]]*J40</f>
        <v>0</v>
      </c>
      <c r="O16" s="1">
        <v>10</v>
      </c>
    </row>
    <row r="17" spans="1:16" x14ac:dyDescent="0.45">
      <c r="B17" s="2"/>
      <c r="C17" s="2"/>
      <c r="D17" s="1" t="s">
        <v>4</v>
      </c>
      <c r="F17" s="1">
        <v>2</v>
      </c>
      <c r="G17" s="1">
        <v>426</v>
      </c>
      <c r="H17" s="1">
        <v>37</v>
      </c>
      <c r="I17" s="1">
        <v>18</v>
      </c>
      <c r="J17" s="1">
        <v>19</v>
      </c>
      <c r="K17" s="1">
        <v>182</v>
      </c>
      <c r="L17" s="1">
        <v>2</v>
      </c>
      <c r="N17" s="1">
        <f>Table1[[#This Row],[Bauart 1924]]*B41+Table1[[#This Row],[B 1925]]*C41+Table1[[#This Row],[B 1927-30]]*D41+Table1[[#This Row],[B 1932]]*E41+Table1[[#This Row],[B 1934-38]]*F41+Table1[[#This Row],[B 1936]]*G41+Table1[[#This Row],[B 1938-41]]*H41+Table1[[#This Row],[B 1941 (ex Peenemünde)]]*I40+Table1[[#This Row],[B 170.0]]*J41</f>
        <v>0</v>
      </c>
      <c r="O17" s="1">
        <v>686</v>
      </c>
    </row>
    <row r="18" spans="1:16" ht="57" customHeight="1" x14ac:dyDescent="0.45">
      <c r="B18" s="2" t="s">
        <v>7</v>
      </c>
      <c r="C18" s="2">
        <v>1970</v>
      </c>
      <c r="D18" s="1" t="s">
        <v>2</v>
      </c>
      <c r="G18" s="1">
        <v>417</v>
      </c>
      <c r="H18" s="1">
        <v>36</v>
      </c>
      <c r="I18" s="1">
        <v>18</v>
      </c>
      <c r="J18" s="1">
        <v>19</v>
      </c>
      <c r="K18" s="1">
        <v>181</v>
      </c>
      <c r="L18" s="1">
        <v>9</v>
      </c>
      <c r="M18" s="1">
        <v>4</v>
      </c>
      <c r="N18" s="1">
        <f>Table1[[#This Row],[Bauart 1924]]*B42+Table1[[#This Row],[B 1925]]*C42+Table1[[#This Row],[B 1927-30]]*D42+Table1[[#This Row],[B 1932]]*E42+Table1[[#This Row],[B 1934-38]]*F42+Table1[[#This Row],[B 1936]]*G42+Table1[[#This Row],[B 1938-41]]*H42+Table1[[#This Row],[B 1941 (ex Peenemünde)]]*I41+Table1[[#This Row],[B 170.0]]*J42</f>
        <v>0</v>
      </c>
      <c r="O18" s="1">
        <v>684</v>
      </c>
    </row>
    <row r="19" spans="1:16" x14ac:dyDescent="0.45">
      <c r="B19" s="2"/>
      <c r="C19" s="2"/>
      <c r="D19" s="1" t="s">
        <v>3</v>
      </c>
      <c r="G19" s="1">
        <v>3</v>
      </c>
      <c r="L19" s="1">
        <v>7</v>
      </c>
      <c r="N19" s="1">
        <f>Table1[[#This Row],[Bauart 1924]]*B43+Table1[[#This Row],[B 1925]]*C43+Table1[[#This Row],[B 1927-30]]*D43+Table1[[#This Row],[B 1932]]*E43+Table1[[#This Row],[B 1934-38]]*F43+Table1[[#This Row],[B 1936]]*G43+Table1[[#This Row],[B 1938-41]]*H43+Table1[[#This Row],[B 1941 (ex Peenemünde)]]*I42+Table1[[#This Row],[B 170.0]]*J43</f>
        <v>0</v>
      </c>
      <c r="O19" s="1">
        <v>10</v>
      </c>
    </row>
    <row r="20" spans="1:16" x14ac:dyDescent="0.45">
      <c r="B20" s="2"/>
      <c r="C20" s="2"/>
      <c r="D20" s="1" t="s">
        <v>4</v>
      </c>
      <c r="G20" s="1">
        <v>413</v>
      </c>
      <c r="H20" s="1">
        <v>37</v>
      </c>
      <c r="I20" s="1">
        <v>18</v>
      </c>
      <c r="J20" s="1">
        <v>19</v>
      </c>
      <c r="K20" s="1">
        <v>181</v>
      </c>
      <c r="L20" s="1">
        <v>2</v>
      </c>
      <c r="N20" s="1">
        <f>Table1[[#This Row],[Bauart 1924]]*B44+Table1[[#This Row],[B 1925]]*C44+Table1[[#This Row],[B 1927-30]]*D44+Table1[[#This Row],[B 1932]]*E44+Table1[[#This Row],[B 1934-38]]*F44+Table1[[#This Row],[B 1936]]*G44+Table1[[#This Row],[B 1938-41]]*H44+Table1[[#This Row],[B 1941 (ex Peenemünde)]]*I43+Table1[[#This Row],[B 170.0]]*J44</f>
        <v>0</v>
      </c>
      <c r="O20" s="1">
        <v>670</v>
      </c>
    </row>
    <row r="21" spans="1:16" ht="28.5" customHeight="1" x14ac:dyDescent="0.45">
      <c r="B21" s="2" t="s">
        <v>6</v>
      </c>
      <c r="C21" s="2">
        <v>1980</v>
      </c>
      <c r="D21" s="1" t="s">
        <v>2</v>
      </c>
      <c r="G21" s="1" t="s">
        <v>31</v>
      </c>
      <c r="H21" s="1">
        <v>36</v>
      </c>
      <c r="I21" s="1">
        <v>18</v>
      </c>
      <c r="J21" s="1">
        <v>19</v>
      </c>
      <c r="K21" s="1">
        <v>181</v>
      </c>
      <c r="L21" s="1">
        <v>9</v>
      </c>
      <c r="N21" s="1" t="e">
        <f>Table1[[#This Row],[Bauart 1924]]*B45+Table1[[#This Row],[B 1925]]*C45+Table1[[#This Row],[B 1927-30]]*D45+Table1[[#This Row],[B 1932]]*E45+Table1[[#This Row],[B 1934-38]]*F45+Table1[[#This Row],[B 1936]]*G45+Table1[[#This Row],[B 1938-41]]*H45+Table1[[#This Row],[B 1941 (ex Peenemünde)]]*I44+Table1[[#This Row],[B 170.0]]*J45</f>
        <v>#VALUE!</v>
      </c>
      <c r="O21" s="1">
        <v>669</v>
      </c>
      <c r="P21" s="1" t="s">
        <v>32</v>
      </c>
    </row>
    <row r="22" spans="1:16" x14ac:dyDescent="0.45">
      <c r="B22" s="2"/>
      <c r="C22" s="2"/>
      <c r="D22" s="1" t="s">
        <v>3</v>
      </c>
      <c r="G22" s="1">
        <v>3</v>
      </c>
      <c r="L22" s="1">
        <v>7</v>
      </c>
      <c r="N22" s="1">
        <f>Table1[[#This Row],[Bauart 1924]]*B46+Table1[[#This Row],[B 1925]]*C46+Table1[[#This Row],[B 1927-30]]*D46+Table1[[#This Row],[B 1932]]*E46+Table1[[#This Row],[B 1934-38]]*F46+Table1[[#This Row],[B 1936]]*G46+Table1[[#This Row],[B 1938-41]]*H46+Table1[[#This Row],[B 1941 (ex Peenemünde)]]*I45+Table1[[#This Row],[B 170.0]]*J46</f>
        <v>0</v>
      </c>
      <c r="O22" s="1">
        <v>10</v>
      </c>
    </row>
    <row r="23" spans="1:16" x14ac:dyDescent="0.45">
      <c r="B23" s="2"/>
      <c r="C23" s="2"/>
      <c r="D23" s="1" t="s">
        <v>4</v>
      </c>
      <c r="G23" s="1">
        <v>401</v>
      </c>
      <c r="H23" s="1">
        <v>36</v>
      </c>
      <c r="I23" s="1">
        <v>18</v>
      </c>
      <c r="J23" s="1">
        <v>19</v>
      </c>
      <c r="K23" s="1">
        <v>181</v>
      </c>
      <c r="L23" s="1">
        <v>2</v>
      </c>
      <c r="N23" s="1">
        <f>Table1[[#This Row],[Bauart 1924]]*B47+Table1[[#This Row],[B 1925]]*C47+Table1[[#This Row],[B 1927-30]]*D47+Table1[[#This Row],[B 1932]]*E47+Table1[[#This Row],[B 1934-38]]*F47+Table1[[#This Row],[B 1936]]*G47+Table1[[#This Row],[B 1938-41]]*H47+Table1[[#This Row],[B 1941 (ex Peenemünde)]]*I46+Table1[[#This Row],[B 170.0]]*J47</f>
        <v>0</v>
      </c>
      <c r="O23" s="1">
        <v>657</v>
      </c>
    </row>
    <row r="28" spans="1:16" ht="50.25" customHeight="1" x14ac:dyDescent="0.45">
      <c r="B28" s="3" t="s">
        <v>41</v>
      </c>
      <c r="C28" s="3" t="s">
        <v>44</v>
      </c>
      <c r="D28" s="3" t="s">
        <v>50</v>
      </c>
      <c r="E28" s="3" t="s">
        <v>52</v>
      </c>
      <c r="F28" s="3" t="s">
        <v>54</v>
      </c>
      <c r="G28" s="3" t="s">
        <v>17</v>
      </c>
      <c r="H28" s="3" t="s">
        <v>59</v>
      </c>
      <c r="I28" s="3" t="s">
        <v>67</v>
      </c>
      <c r="J28" s="3" t="s">
        <v>61</v>
      </c>
      <c r="K28" s="3" t="s">
        <v>64</v>
      </c>
    </row>
    <row r="29" spans="1:16" x14ac:dyDescent="0.45">
      <c r="A29" s="1" t="s">
        <v>34</v>
      </c>
      <c r="B29" s="1" t="s">
        <v>37</v>
      </c>
      <c r="C29" s="1" t="s">
        <v>48</v>
      </c>
      <c r="D29" s="1" t="s">
        <v>48</v>
      </c>
      <c r="E29" s="1" t="s">
        <v>48</v>
      </c>
      <c r="F29" s="1" t="s">
        <v>56</v>
      </c>
      <c r="G29" s="1" t="s">
        <v>55</v>
      </c>
      <c r="H29" s="1" t="s">
        <v>60</v>
      </c>
      <c r="I29" s="1">
        <v>56</v>
      </c>
      <c r="J29" s="1" t="s">
        <v>62</v>
      </c>
      <c r="K29" s="1" t="s">
        <v>65</v>
      </c>
    </row>
    <row r="30" spans="1:16" x14ac:dyDescent="0.45">
      <c r="A30" s="1" t="s">
        <v>36</v>
      </c>
      <c r="B30" s="1">
        <f>66+90</f>
        <v>156</v>
      </c>
      <c r="C30" s="1">
        <f>54+100</f>
        <v>154</v>
      </c>
      <c r="D30" s="1">
        <f>54+100</f>
        <v>154</v>
      </c>
      <c r="E30" s="1">
        <f>54+100</f>
        <v>154</v>
      </c>
      <c r="F30" s="1">
        <f>56+100</f>
        <v>156</v>
      </c>
      <c r="G30" s="1">
        <f>52+90</f>
        <v>142</v>
      </c>
      <c r="H30" s="1">
        <f>52+100</f>
        <v>152</v>
      </c>
      <c r="J30" s="1">
        <f>52+134</f>
        <v>186</v>
      </c>
      <c r="K30" s="1">
        <f>46+115</f>
        <v>161</v>
      </c>
    </row>
    <row r="31" spans="1:16" x14ac:dyDescent="0.45">
      <c r="A31" s="1" t="s">
        <v>43</v>
      </c>
      <c r="D31" s="1" t="s">
        <v>49</v>
      </c>
      <c r="I31" s="1">
        <v>54</v>
      </c>
    </row>
    <row r="32" spans="1:16" x14ac:dyDescent="0.45">
      <c r="A32" s="1" t="s">
        <v>36</v>
      </c>
      <c r="D32" s="1">
        <f>58+90</f>
        <v>148</v>
      </c>
    </row>
    <row r="33" spans="1:11" ht="28.5" x14ac:dyDescent="0.45">
      <c r="A33" s="1" t="s">
        <v>35</v>
      </c>
      <c r="B33" s="1" t="s">
        <v>39</v>
      </c>
      <c r="C33" s="1" t="s">
        <v>49</v>
      </c>
      <c r="D33" s="1" t="s">
        <v>51</v>
      </c>
      <c r="E33" s="1" t="s">
        <v>53</v>
      </c>
      <c r="F33" s="1" t="s">
        <v>57</v>
      </c>
      <c r="G33" s="1" t="s">
        <v>58</v>
      </c>
      <c r="H33" s="1" t="s">
        <v>57</v>
      </c>
      <c r="I33" s="1">
        <v>58</v>
      </c>
      <c r="J33" s="1" t="s">
        <v>63</v>
      </c>
      <c r="K33" s="1" t="s">
        <v>66</v>
      </c>
    </row>
    <row r="34" spans="1:11" x14ac:dyDescent="0.45">
      <c r="A34" s="1" t="s">
        <v>36</v>
      </c>
      <c r="B34" s="1">
        <f>36+50</f>
        <v>86</v>
      </c>
      <c r="C34" s="1">
        <f>58+90</f>
        <v>148</v>
      </c>
      <c r="D34" s="1">
        <f>63+42</f>
        <v>105</v>
      </c>
      <c r="E34" s="1">
        <f>63+90</f>
        <v>153</v>
      </c>
      <c r="F34" s="1">
        <f>61+90</f>
        <v>151</v>
      </c>
      <c r="G34" s="1">
        <f>63+75</f>
        <v>138</v>
      </c>
      <c r="H34" s="1">
        <f>61+90</f>
        <v>151</v>
      </c>
      <c r="J34" s="1">
        <f>60+113</f>
        <v>173</v>
      </c>
      <c r="K34" s="1">
        <f>58+130</f>
        <v>188</v>
      </c>
    </row>
    <row r="35" spans="1:11" ht="28.5" x14ac:dyDescent="0.45">
      <c r="A35" s="1" t="s">
        <v>45</v>
      </c>
      <c r="B35" s="1" t="s">
        <v>46</v>
      </c>
      <c r="C35" s="1">
        <v>80</v>
      </c>
      <c r="D35" s="1">
        <v>80</v>
      </c>
      <c r="E35" s="1">
        <v>80</v>
      </c>
      <c r="F35" s="1">
        <v>80</v>
      </c>
      <c r="G35" s="1">
        <v>80</v>
      </c>
      <c r="H35" s="1">
        <v>80</v>
      </c>
      <c r="I35" s="1">
        <v>80</v>
      </c>
      <c r="J35" s="1">
        <v>90</v>
      </c>
      <c r="K35" s="1">
        <v>90</v>
      </c>
    </row>
    <row r="36" spans="1:11" ht="28.5" x14ac:dyDescent="0.45">
      <c r="B36" s="1" t="s">
        <v>38</v>
      </c>
    </row>
    <row r="37" spans="1:11" ht="28.5" x14ac:dyDescent="0.45">
      <c r="B37" s="1" t="s">
        <v>40</v>
      </c>
    </row>
    <row r="38" spans="1:11" ht="28.5" x14ac:dyDescent="0.45">
      <c r="B38" s="1" t="s">
        <v>47</v>
      </c>
    </row>
    <row r="39" spans="1:11" ht="28.5" x14ac:dyDescent="0.45">
      <c r="B39" s="1" t="s">
        <v>42</v>
      </c>
    </row>
  </sheetData>
  <mergeCells count="2">
    <mergeCell ref="B4:Q4"/>
    <mergeCell ref="C2:F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A2BE4-FFE2-4DAC-A849-435BA30C4DED}">
  <dimension ref="A1:O34"/>
  <sheetViews>
    <sheetView tabSelected="1" workbookViewId="0">
      <selection activeCell="H12" sqref="H12"/>
    </sheetView>
  </sheetViews>
  <sheetFormatPr defaultRowHeight="14.25" x14ac:dyDescent="0.45"/>
  <cols>
    <col min="1" max="1" width="14.6640625" customWidth="1"/>
    <col min="2" max="2" width="14.86328125" customWidth="1"/>
    <col min="11" max="11" width="18.796875" customWidth="1"/>
    <col min="12" max="12" width="18.1328125" customWidth="1"/>
    <col min="13" max="13" width="17.46484375" customWidth="1"/>
    <col min="14" max="14" width="17.06640625" customWidth="1"/>
    <col min="15" max="15" width="11.19921875" bestFit="1" customWidth="1"/>
  </cols>
  <sheetData>
    <row r="1" spans="1:15" ht="57" x14ac:dyDescent="0.45">
      <c r="A1" s="1" t="s">
        <v>149</v>
      </c>
      <c r="B1" s="1" t="s">
        <v>166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x14ac:dyDescent="0.45">
      <c r="A3" s="1"/>
      <c r="B3" s="18" t="s">
        <v>125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5" ht="85.5" x14ac:dyDescent="0.45">
      <c r="A4" s="1"/>
      <c r="B4" s="1" t="s">
        <v>126</v>
      </c>
      <c r="C4" s="1" t="s">
        <v>71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 t="s">
        <v>72</v>
      </c>
      <c r="N4" s="1" t="s">
        <v>127</v>
      </c>
      <c r="O4" s="1" t="s">
        <v>129</v>
      </c>
    </row>
    <row r="5" spans="1:15" x14ac:dyDescent="0.45">
      <c r="A5" s="1"/>
      <c r="B5" s="2" t="s">
        <v>10</v>
      </c>
      <c r="C5" s="1" t="s">
        <v>2</v>
      </c>
      <c r="D5" s="1">
        <v>24</v>
      </c>
      <c r="E5" s="1">
        <v>36</v>
      </c>
      <c r="F5" s="1">
        <v>592</v>
      </c>
      <c r="G5" s="1">
        <v>51</v>
      </c>
      <c r="H5" s="1">
        <v>18</v>
      </c>
      <c r="I5" s="1">
        <v>33</v>
      </c>
      <c r="J5" s="1">
        <v>267</v>
      </c>
      <c r="K5" s="1"/>
      <c r="L5" s="1"/>
      <c r="M5" s="1">
        <f>((Table13[[#This Row],[Bauart 1924]]*156)+Table13[[#This Row],[B 1925]]*154+Table13[[#This Row],[B 1927-30]]*154+Table13[[#This Row],[B 1932]]*154+Table13[[#This Row],[B 1934-38]]*156+Table13[[#This Row],[B 1936]]*142+Table13[[#This Row],[B 1938-41]]*152+Table13[[#This Row],[B 1941 (ex Peenemünde)]]*55)/Table13[[#This Row],[Total Wagons]]</f>
        <v>153.17140058765915</v>
      </c>
      <c r="N5" s="1">
        <f>SUM(Table13[[#This Row],[Bauart 1924]:[B 170.0]])</f>
        <v>1021</v>
      </c>
      <c r="O5" s="1"/>
    </row>
    <row r="6" spans="1:15" x14ac:dyDescent="0.45">
      <c r="A6" s="1"/>
      <c r="B6" s="2"/>
      <c r="C6" s="1" t="s">
        <v>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45">
      <c r="A7" s="1"/>
      <c r="B7" s="2"/>
      <c r="C7" s="1" t="s">
        <v>4</v>
      </c>
      <c r="D7" s="1">
        <v>36</v>
      </c>
      <c r="E7" s="1">
        <v>36</v>
      </c>
      <c r="F7" s="1">
        <v>592</v>
      </c>
      <c r="G7" s="1">
        <v>51</v>
      </c>
      <c r="H7" s="1">
        <v>18</v>
      </c>
      <c r="I7" s="1">
        <v>33</v>
      </c>
      <c r="J7" s="1">
        <v>267</v>
      </c>
      <c r="K7" s="1"/>
      <c r="L7" s="1"/>
      <c r="M7" s="1">
        <f>((Table13[[#This Row],[Bauart 1924]]*86)+Table13[[#This Row],[B 1925]]*148+Table13[[#This Row],[B 1927-30]]*105+Table13[[#This Row],[B 1932]]*153+Table13[[#This Row],[B 1934-38]]*151+Table13[[#This Row],[B 1936]]*138+Table13[[#This Row],[B 1938-41]]*151)/Table13[[#This Row],[Total Wagons]]</f>
        <v>121.95159728944822</v>
      </c>
      <c r="N7" s="1">
        <f>SUM(Table13[[#This Row],[Bauart 1924]:[B 170.0]])</f>
        <v>1033</v>
      </c>
      <c r="O7" s="1">
        <f>((M5*2)+(Table13[[#This Row],[Avg. Wagonsize]]*2))*2</f>
        <v>1100.4919915084295</v>
      </c>
    </row>
    <row r="8" spans="1:15" x14ac:dyDescent="0.45">
      <c r="A8" s="1"/>
      <c r="B8" s="2">
        <v>1958</v>
      </c>
      <c r="C8" s="1" t="s">
        <v>2</v>
      </c>
      <c r="D8" s="1">
        <v>16</v>
      </c>
      <c r="E8" s="1">
        <v>19</v>
      </c>
      <c r="F8" s="1">
        <v>435</v>
      </c>
      <c r="G8" s="1">
        <v>36</v>
      </c>
      <c r="H8" s="1">
        <v>18</v>
      </c>
      <c r="I8" s="1">
        <v>19</v>
      </c>
      <c r="J8" s="1">
        <v>181</v>
      </c>
      <c r="K8" s="1">
        <v>9</v>
      </c>
      <c r="L8" s="1"/>
      <c r="M8" s="1">
        <f>((Table13[[#This Row],[Bauart 1924]]*156)+Table13[[#This Row],[B 1925]]*154+Table13[[#This Row],[B 1927-30]]*154+Table13[[#This Row],[B 1932]]*154+Table13[[#This Row],[B 1934-38]]*156+Table13[[#This Row],[B 1936]]*142+Table13[[#This Row],[B 1938-41]]*152+Table13[[#This Row],[B 1941 (ex Peenemünde)]]*55)/Table13[[#This Row],[Total Wagons]]</f>
        <v>152.07230559345157</v>
      </c>
      <c r="N8" s="1">
        <f>SUM(Table13[[#This Row],[Bauart 1924]:[B 170.0]])</f>
        <v>733</v>
      </c>
      <c r="O8" s="1"/>
    </row>
    <row r="9" spans="1:15" x14ac:dyDescent="0.45">
      <c r="A9" s="1"/>
      <c r="B9" s="2"/>
      <c r="C9" s="1" t="s">
        <v>3</v>
      </c>
      <c r="D9" s="1"/>
      <c r="E9" s="1"/>
      <c r="F9" s="1">
        <v>3</v>
      </c>
      <c r="G9" s="1"/>
      <c r="H9" s="1"/>
      <c r="I9" s="1"/>
      <c r="J9" s="1"/>
      <c r="K9" s="1"/>
      <c r="L9" s="1"/>
      <c r="M9" s="1">
        <f>(Table13[[#This Row],[B 1927-30]]*148+Table13[[#This Row],[B 1941 (ex Peenemünde)]]*54)/Table13[[#This Row],[Total Wagons]]</f>
        <v>148</v>
      </c>
      <c r="N9" s="1">
        <v>3</v>
      </c>
      <c r="O9" s="1"/>
    </row>
    <row r="10" spans="1:15" x14ac:dyDescent="0.45">
      <c r="A10" s="1"/>
      <c r="B10" s="2"/>
      <c r="C10" s="1" t="s">
        <v>4</v>
      </c>
      <c r="D10" s="1">
        <v>24</v>
      </c>
      <c r="E10" s="1">
        <v>21</v>
      </c>
      <c r="F10" s="1">
        <v>429</v>
      </c>
      <c r="G10" s="1">
        <v>37</v>
      </c>
      <c r="H10" s="1">
        <v>18</v>
      </c>
      <c r="I10" s="1">
        <v>19</v>
      </c>
      <c r="J10" s="1">
        <v>181</v>
      </c>
      <c r="K10" s="1">
        <v>9</v>
      </c>
      <c r="L10" s="1"/>
      <c r="M10" s="1">
        <f>((Table13[[#This Row],[Bauart 1924]]*86)+Table13[[#This Row],[B 1925]]*148+Table13[[#This Row],[B 1927-30]]*105+Table13[[#This Row],[B 1932]]*153+Table13[[#This Row],[B 1934-38]]*151+Table13[[#This Row],[B 1936]]*138+Table13[[#This Row],[B 1938-41]]*151)/Table13[[#This Row],[Total Wagons]]</f>
        <v>119.98509485094851</v>
      </c>
      <c r="N10" s="1">
        <f>SUM(Table13[[#This Row],[Bauart 1924]:[B 170.0]])</f>
        <v>738</v>
      </c>
      <c r="O10" s="1">
        <f>((M8*2)+(Table13[[#This Row],[Avg. Wagonsize]]*2))*2</f>
        <v>1088.2296017776002</v>
      </c>
    </row>
    <row r="11" spans="1:15" x14ac:dyDescent="0.45">
      <c r="A11" s="1"/>
      <c r="B11" s="2">
        <v>1968</v>
      </c>
      <c r="C11" s="1" t="s">
        <v>2</v>
      </c>
      <c r="D11" s="1"/>
      <c r="E11" s="1"/>
      <c r="F11" s="1">
        <v>432</v>
      </c>
      <c r="G11" s="1">
        <v>36</v>
      </c>
      <c r="H11" s="1">
        <v>18</v>
      </c>
      <c r="I11" s="1">
        <v>19</v>
      </c>
      <c r="J11" s="1">
        <v>182</v>
      </c>
      <c r="K11" s="1">
        <v>9</v>
      </c>
      <c r="L11" s="1">
        <v>8</v>
      </c>
      <c r="M11" s="1">
        <f>((Table13[[#This Row],[Bauart 1924]]*156)+Table13[[#This Row],[B 1925]]*154+Table13[[#This Row],[B 1927-30]]*154+Table13[[#This Row],[B 1932]]*154+Table13[[#This Row],[B 1934-38]]*156+Table13[[#This Row],[B 1936]]*142+Table13[[#This Row],[B 1938-41]]*152+Table13[[#This Row],[B 1941 (ex Peenemünde)]]*55)/Table13[[#This Row],[Total Wagons]]</f>
        <v>150.19460227272728</v>
      </c>
      <c r="N11" s="1">
        <v>704</v>
      </c>
      <c r="O11" s="1"/>
    </row>
    <row r="12" spans="1:15" x14ac:dyDescent="0.45">
      <c r="A12" s="1"/>
      <c r="B12" s="2"/>
      <c r="C12" s="1" t="s">
        <v>3</v>
      </c>
      <c r="D12" s="1"/>
      <c r="E12" s="1"/>
      <c r="F12" s="1">
        <v>3</v>
      </c>
      <c r="G12" s="1"/>
      <c r="H12" s="1"/>
      <c r="I12" s="1"/>
      <c r="J12" s="1"/>
      <c r="K12" s="1">
        <v>7</v>
      </c>
      <c r="L12" s="1"/>
      <c r="M12" s="1">
        <f>(Table13[[#This Row],[B 1927-30]]*148+Table13[[#This Row],[B 1941 (ex Peenemünde)]]*54)/Table13[[#This Row],[Total Wagons]]</f>
        <v>82.2</v>
      </c>
      <c r="N12" s="1">
        <v>10</v>
      </c>
      <c r="O12" s="1"/>
    </row>
    <row r="13" spans="1:15" x14ac:dyDescent="0.45">
      <c r="A13" s="1"/>
      <c r="B13" s="2"/>
      <c r="C13" s="1" t="s">
        <v>4</v>
      </c>
      <c r="D13" s="1"/>
      <c r="E13" s="1">
        <v>2</v>
      </c>
      <c r="F13" s="1">
        <v>426</v>
      </c>
      <c r="G13" s="1">
        <v>37</v>
      </c>
      <c r="H13" s="1">
        <v>18</v>
      </c>
      <c r="I13" s="1">
        <v>19</v>
      </c>
      <c r="J13" s="1">
        <v>182</v>
      </c>
      <c r="K13" s="1">
        <v>2</v>
      </c>
      <c r="L13" s="1"/>
      <c r="M13" s="1">
        <f>((Table13[[#This Row],[Bauart 1924]]*86)+Table13[[#This Row],[B 1925]]*148+Table13[[#This Row],[B 1927-30]]*105+Table13[[#This Row],[B 1932]]*153+Table13[[#This Row],[B 1934-38]]*151+Table13[[#This Row],[B 1936]]*138+Table13[[#This Row],[B 1938-41]]*151)/Table13[[#This Row],[Total Wagons]]</f>
        <v>121.73323615160349</v>
      </c>
      <c r="N13" s="1">
        <v>686</v>
      </c>
      <c r="O13" s="1">
        <f>((M11*2)+(Table13[[#This Row],[Avg. Wagonsize]]*2))*2</f>
        <v>1087.7113536973231</v>
      </c>
    </row>
    <row r="14" spans="1:15" x14ac:dyDescent="0.45">
      <c r="A14" s="1"/>
      <c r="B14" s="2">
        <v>1970</v>
      </c>
      <c r="C14" s="1" t="s">
        <v>2</v>
      </c>
      <c r="D14" s="1"/>
      <c r="E14" s="1"/>
      <c r="F14" s="1">
        <v>417</v>
      </c>
      <c r="G14" s="1">
        <v>36</v>
      </c>
      <c r="H14" s="1">
        <v>18</v>
      </c>
      <c r="I14" s="1">
        <v>19</v>
      </c>
      <c r="J14" s="1">
        <v>181</v>
      </c>
      <c r="K14" s="1">
        <v>9</v>
      </c>
      <c r="L14" s="1">
        <v>4</v>
      </c>
      <c r="M14" s="1">
        <f>((Table13[[#This Row],[Bauart 1924]]*156)+Table13[[#This Row],[B 1925]]*154+Table13[[#This Row],[B 1927-30]]*154+Table13[[#This Row],[B 1932]]*154+Table13[[#This Row],[B 1934-38]]*156+Table13[[#This Row],[B 1936]]*142+Table13[[#This Row],[B 1938-41]]*152+Table13[[#This Row],[B 1941 (ex Peenemünde)]]*55)/Table13[[#This Row],[Total Wagons]]</f>
        <v>150.98684210526315</v>
      </c>
      <c r="N14" s="1">
        <v>684</v>
      </c>
      <c r="O14" s="1"/>
    </row>
    <row r="15" spans="1:15" x14ac:dyDescent="0.45">
      <c r="A15" s="1"/>
      <c r="B15" s="2"/>
      <c r="C15" s="1" t="s">
        <v>3</v>
      </c>
      <c r="D15" s="1"/>
      <c r="E15" s="1"/>
      <c r="F15" s="1">
        <v>3</v>
      </c>
      <c r="G15" s="1"/>
      <c r="H15" s="1"/>
      <c r="I15" s="1"/>
      <c r="J15" s="1"/>
      <c r="K15" s="1">
        <v>7</v>
      </c>
      <c r="L15" s="1"/>
      <c r="M15" s="1">
        <f>(Table13[[#This Row],[B 1927-30]]*148+Table13[[#This Row],[B 1941 (ex Peenemünde)]]*54)/Table13[[#This Row],[Total Wagons]]</f>
        <v>82.2</v>
      </c>
      <c r="N15" s="1">
        <v>10</v>
      </c>
      <c r="O15" s="1"/>
    </row>
    <row r="16" spans="1:15" x14ac:dyDescent="0.45">
      <c r="A16" s="1"/>
      <c r="B16" s="2"/>
      <c r="C16" s="1" t="s">
        <v>4</v>
      </c>
      <c r="D16" s="1"/>
      <c r="E16" s="1"/>
      <c r="F16" s="1">
        <v>413</v>
      </c>
      <c r="G16" s="1">
        <v>37</v>
      </c>
      <c r="H16" s="1">
        <v>18</v>
      </c>
      <c r="I16" s="1">
        <v>19</v>
      </c>
      <c r="J16" s="1">
        <v>181</v>
      </c>
      <c r="K16" s="1">
        <v>2</v>
      </c>
      <c r="L16" s="1"/>
      <c r="M16" s="1">
        <f>((Table13[[#This Row],[Bauart 1924]]*86)+Table13[[#This Row],[B 1925]]*148+Table13[[#This Row],[B 1927-30]]*105+Table13[[#This Row],[B 1932]]*153+Table13[[#This Row],[B 1934-38]]*151+Table13[[#This Row],[B 1936]]*138+Table13[[#This Row],[B 1938-41]]*151)/Table13[[#This Row],[Total Wagons]]</f>
        <v>121.93582089552238</v>
      </c>
      <c r="N16" s="1">
        <v>670</v>
      </c>
      <c r="O16" s="1">
        <f>((M14*2)+(Table13[[#This Row],[Avg. Wagonsize]]*2))*2</f>
        <v>1091.6906520031421</v>
      </c>
    </row>
    <row r="17" spans="1:15" x14ac:dyDescent="0.45">
      <c r="A17" s="1"/>
      <c r="B17" s="2">
        <v>1980</v>
      </c>
      <c r="C17" s="1" t="s">
        <v>2</v>
      </c>
      <c r="D17" s="1"/>
      <c r="E17" s="1"/>
      <c r="F17" s="1">
        <v>406</v>
      </c>
      <c r="G17" s="1">
        <v>36</v>
      </c>
      <c r="H17" s="1">
        <v>18</v>
      </c>
      <c r="I17" s="1">
        <v>19</v>
      </c>
      <c r="J17" s="1">
        <v>181</v>
      </c>
      <c r="K17" s="1">
        <v>9</v>
      </c>
      <c r="L17" s="1"/>
      <c r="M17" s="1">
        <f>((Table13[[#This Row],[Bauart 1924]]*156)+Table13[[#This Row],[B 1925]]*154+Table13[[#This Row],[B 1927-30]]*154+Table13[[#This Row],[B 1932]]*154+Table13[[#This Row],[B 1934-38]]*156+Table13[[#This Row],[B 1936]]*142+Table13[[#This Row],[B 1938-41]]*152+Table13[[#This Row],[B 1941 (ex Peenemünde)]]*55)/Table13[[#This Row],[Total Wagons]]</f>
        <v>151.84005979073243</v>
      </c>
      <c r="N17" s="1">
        <v>669</v>
      </c>
      <c r="O17" s="1"/>
    </row>
    <row r="18" spans="1:15" x14ac:dyDescent="0.45">
      <c r="A18" s="1"/>
      <c r="B18" s="2"/>
      <c r="C18" s="1" t="s">
        <v>3</v>
      </c>
      <c r="D18" s="1"/>
      <c r="E18" s="1"/>
      <c r="F18" s="1">
        <v>3</v>
      </c>
      <c r="G18" s="1"/>
      <c r="H18" s="1"/>
      <c r="I18" s="1"/>
      <c r="J18" s="1"/>
      <c r="K18" s="1">
        <v>7</v>
      </c>
      <c r="L18" s="1"/>
      <c r="M18" s="1">
        <f>(Table13[[#This Row],[B 1927-30]]*D27+Table13[[#This Row],[B 1941 (ex Peenemünde)]]*54)/Table13[[#This Row],[Total Wagons]]</f>
        <v>82.2</v>
      </c>
      <c r="N18" s="1">
        <v>10</v>
      </c>
      <c r="O18" s="1"/>
    </row>
    <row r="19" spans="1:15" x14ac:dyDescent="0.45">
      <c r="A19" s="1"/>
      <c r="B19" s="2"/>
      <c r="C19" s="1" t="s">
        <v>4</v>
      </c>
      <c r="D19" s="1"/>
      <c r="E19" s="1"/>
      <c r="F19" s="1">
        <v>401</v>
      </c>
      <c r="G19" s="1">
        <v>36</v>
      </c>
      <c r="H19" s="1">
        <v>18</v>
      </c>
      <c r="I19" s="1">
        <v>19</v>
      </c>
      <c r="J19" s="1">
        <v>181</v>
      </c>
      <c r="K19" s="1">
        <v>2</v>
      </c>
      <c r="L19" s="1"/>
      <c r="M19" s="1">
        <f>((Table13[[#This Row],[Bauart 1924]]*86)+Table13[[#This Row],[B 1925]]*148+Table13[[#This Row],[B 1927-30]]*105+Table13[[#This Row],[B 1932]]*153+Table13[[#This Row],[B 1934-38]]*151+Table13[[#This Row],[B 1936]]*138+Table13[[#This Row],[B 1938-41]]*151)/Table13[[#This Row],[Total Wagons]]</f>
        <v>122.1978691019787</v>
      </c>
      <c r="N19" s="1">
        <v>657</v>
      </c>
      <c r="O19" s="1">
        <f>((M17*2)+(Table13[[#This Row],[Avg. Wagonsize]]*2))*2</f>
        <v>1096.1517155708445</v>
      </c>
    </row>
    <row r="20" spans="1:15" x14ac:dyDescent="0.4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5" x14ac:dyDescent="0.4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5" x14ac:dyDescent="0.45">
      <c r="A22" s="1"/>
      <c r="B22" s="24" t="s">
        <v>128</v>
      </c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1"/>
      <c r="N22" s="1"/>
    </row>
    <row r="23" spans="1:15" ht="114" x14ac:dyDescent="0.45">
      <c r="A23" s="1"/>
      <c r="B23" s="3" t="s">
        <v>41</v>
      </c>
      <c r="C23" s="3" t="s">
        <v>44</v>
      </c>
      <c r="D23" s="3" t="s">
        <v>50</v>
      </c>
      <c r="E23" s="3" t="s">
        <v>52</v>
      </c>
      <c r="F23" s="3" t="s">
        <v>54</v>
      </c>
      <c r="G23" s="3" t="s">
        <v>17</v>
      </c>
      <c r="H23" s="3" t="s">
        <v>59</v>
      </c>
      <c r="I23" s="3" t="s">
        <v>67</v>
      </c>
      <c r="J23" s="3" t="s">
        <v>61</v>
      </c>
      <c r="K23" s="3" t="s">
        <v>64</v>
      </c>
      <c r="L23" s="1"/>
      <c r="M23" s="1"/>
      <c r="N23" s="1"/>
    </row>
    <row r="24" spans="1:15" x14ac:dyDescent="0.45">
      <c r="A24" s="1" t="s">
        <v>34</v>
      </c>
      <c r="B24" s="1" t="s">
        <v>37</v>
      </c>
      <c r="C24" s="1" t="s">
        <v>48</v>
      </c>
      <c r="D24" s="1" t="s">
        <v>48</v>
      </c>
      <c r="E24" s="1" t="s">
        <v>48</v>
      </c>
      <c r="F24" s="1" t="s">
        <v>56</v>
      </c>
      <c r="G24" s="1" t="s">
        <v>55</v>
      </c>
      <c r="H24" s="1" t="s">
        <v>60</v>
      </c>
      <c r="I24" s="1">
        <v>56</v>
      </c>
      <c r="J24" s="1" t="s">
        <v>62</v>
      </c>
      <c r="K24" s="1" t="s">
        <v>65</v>
      </c>
      <c r="L24" s="1"/>
      <c r="M24" s="1"/>
      <c r="N24" s="1"/>
    </row>
    <row r="25" spans="1:15" x14ac:dyDescent="0.45">
      <c r="A25" s="1" t="s">
        <v>36</v>
      </c>
      <c r="B25" s="1">
        <f>66+90</f>
        <v>156</v>
      </c>
      <c r="C25" s="1">
        <f>54+100</f>
        <v>154</v>
      </c>
      <c r="D25" s="1">
        <f>54+100</f>
        <v>154</v>
      </c>
      <c r="E25" s="1">
        <f>54+100</f>
        <v>154</v>
      </c>
      <c r="F25" s="1">
        <f>56+100</f>
        <v>156</v>
      </c>
      <c r="G25" s="1">
        <f>52+90</f>
        <v>142</v>
      </c>
      <c r="H25" s="1">
        <f>52+100</f>
        <v>152</v>
      </c>
      <c r="I25" s="1"/>
      <c r="J25" s="1">
        <f>52+134</f>
        <v>186</v>
      </c>
      <c r="K25" s="1">
        <f>46+115</f>
        <v>161</v>
      </c>
      <c r="L25" s="1"/>
      <c r="M25" s="1"/>
      <c r="N25" s="1"/>
    </row>
    <row r="26" spans="1:15" x14ac:dyDescent="0.45">
      <c r="A26" s="1" t="s">
        <v>43</v>
      </c>
      <c r="B26" s="1"/>
      <c r="C26" s="1"/>
      <c r="D26" s="1" t="s">
        <v>49</v>
      </c>
      <c r="E26" s="1"/>
      <c r="F26" s="1"/>
      <c r="G26" s="1"/>
      <c r="H26" s="1"/>
      <c r="I26" s="1">
        <v>54</v>
      </c>
      <c r="J26" s="1"/>
      <c r="K26" s="1"/>
      <c r="L26" s="1"/>
      <c r="M26" s="1"/>
      <c r="N26" s="1"/>
    </row>
    <row r="27" spans="1:15" x14ac:dyDescent="0.45">
      <c r="A27" s="1" t="s">
        <v>36</v>
      </c>
      <c r="B27" s="1"/>
      <c r="C27" s="1"/>
      <c r="D27" s="1">
        <f>58+90</f>
        <v>148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5" ht="28.5" x14ac:dyDescent="0.45">
      <c r="A28" s="1" t="s">
        <v>35</v>
      </c>
      <c r="B28" s="1" t="s">
        <v>39</v>
      </c>
      <c r="C28" s="1" t="s">
        <v>49</v>
      </c>
      <c r="D28" s="1" t="s">
        <v>51</v>
      </c>
      <c r="E28" s="1" t="s">
        <v>53</v>
      </c>
      <c r="F28" s="1" t="s">
        <v>57</v>
      </c>
      <c r="G28" s="1" t="s">
        <v>58</v>
      </c>
      <c r="H28" s="1" t="s">
        <v>57</v>
      </c>
      <c r="I28" s="1">
        <v>58</v>
      </c>
      <c r="J28" s="1" t="s">
        <v>63</v>
      </c>
      <c r="K28" s="1" t="s">
        <v>66</v>
      </c>
      <c r="L28" s="1"/>
      <c r="M28" s="1"/>
      <c r="N28" s="1"/>
    </row>
    <row r="29" spans="1:15" x14ac:dyDescent="0.45">
      <c r="A29" s="1" t="s">
        <v>36</v>
      </c>
      <c r="B29" s="1">
        <f>36+50</f>
        <v>86</v>
      </c>
      <c r="C29" s="1">
        <f>58+90</f>
        <v>148</v>
      </c>
      <c r="D29" s="1">
        <f>63+42</f>
        <v>105</v>
      </c>
      <c r="E29" s="1">
        <f>63+90</f>
        <v>153</v>
      </c>
      <c r="F29" s="1">
        <f>61+90</f>
        <v>151</v>
      </c>
      <c r="G29" s="1">
        <f>63+75</f>
        <v>138</v>
      </c>
      <c r="H29" s="1">
        <f>61+90</f>
        <v>151</v>
      </c>
      <c r="I29" s="1"/>
      <c r="J29" s="1">
        <f>60+113</f>
        <v>173</v>
      </c>
      <c r="K29" s="1">
        <f>58+130</f>
        <v>188</v>
      </c>
      <c r="L29" s="1"/>
      <c r="M29" s="1"/>
      <c r="N29" s="1"/>
    </row>
    <row r="30" spans="1:15" ht="42.75" x14ac:dyDescent="0.45">
      <c r="A30" s="1" t="s">
        <v>45</v>
      </c>
      <c r="B30" s="1" t="s">
        <v>46</v>
      </c>
      <c r="C30" s="1">
        <v>80</v>
      </c>
      <c r="D30" s="1">
        <v>80</v>
      </c>
      <c r="E30" s="1">
        <v>80</v>
      </c>
      <c r="F30" s="1">
        <v>80</v>
      </c>
      <c r="G30" s="1">
        <v>80</v>
      </c>
      <c r="H30" s="1">
        <v>80</v>
      </c>
      <c r="I30" s="1">
        <v>80</v>
      </c>
      <c r="J30" s="1">
        <v>90</v>
      </c>
      <c r="K30" s="1">
        <v>90</v>
      </c>
      <c r="L30" s="1"/>
      <c r="M30" s="1"/>
      <c r="N30" s="1"/>
    </row>
    <row r="31" spans="1:15" ht="28.5" x14ac:dyDescent="0.45">
      <c r="A31" s="1"/>
      <c r="B31" s="1" t="s">
        <v>38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5" ht="28.5" x14ac:dyDescent="0.45">
      <c r="A32" s="1"/>
      <c r="B32" s="1" t="s">
        <v>40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28.5" x14ac:dyDescent="0.45">
      <c r="A33" s="1"/>
      <c r="B33" s="1" t="s">
        <v>47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45">
      <c r="A34" s="1"/>
      <c r="B34" s="1" t="s">
        <v>42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</sheetData>
  <mergeCells count="2">
    <mergeCell ref="B3:N3"/>
    <mergeCell ref="B22:K2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8A8A0-4659-493F-8B88-7F893442AA8D}">
  <dimension ref="A1:K40"/>
  <sheetViews>
    <sheetView zoomScale="235" zoomScaleNormal="235" workbookViewId="0">
      <selection activeCell="A2" sqref="A2:K2"/>
    </sheetView>
  </sheetViews>
  <sheetFormatPr defaultRowHeight="15.75" x14ac:dyDescent="0.5"/>
  <cols>
    <col min="1" max="1" width="9.06640625" style="5"/>
    <col min="2" max="2" width="21.1328125" style="5" customWidth="1"/>
    <col min="3" max="3" width="26.06640625" style="5" customWidth="1"/>
    <col min="4" max="4" width="21.19921875" style="5" customWidth="1"/>
    <col min="5" max="5" width="15.73046875" style="5" customWidth="1"/>
    <col min="6" max="6" width="20.19921875" style="5" customWidth="1"/>
    <col min="7" max="7" width="19" style="5" customWidth="1"/>
    <col min="8" max="16384" width="9.06640625" style="5"/>
  </cols>
  <sheetData>
    <row r="1" spans="1:11" x14ac:dyDescent="0.5">
      <c r="A1" s="5" t="s">
        <v>149</v>
      </c>
      <c r="B1" s="5" t="s">
        <v>168</v>
      </c>
    </row>
    <row r="2" spans="1:11" x14ac:dyDescent="0.5">
      <c r="A2" s="22" t="s">
        <v>130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x14ac:dyDescent="0.5">
      <c r="A3" s="23" t="s">
        <v>132</v>
      </c>
      <c r="B3" s="23"/>
      <c r="C3" s="6" t="s">
        <v>135</v>
      </c>
      <c r="D3" s="23" t="s">
        <v>133</v>
      </c>
      <c r="E3" s="23"/>
      <c r="F3" s="6" t="s">
        <v>135</v>
      </c>
      <c r="G3" s="23" t="s">
        <v>136</v>
      </c>
      <c r="H3" s="23"/>
      <c r="I3" s="6" t="s">
        <v>135</v>
      </c>
    </row>
    <row r="4" spans="1:11" x14ac:dyDescent="0.5">
      <c r="A4" s="7"/>
      <c r="B4" s="20"/>
      <c r="C4" s="6"/>
      <c r="D4" s="7" t="s">
        <v>85</v>
      </c>
      <c r="E4" s="8" t="s">
        <v>86</v>
      </c>
      <c r="F4" s="6">
        <f>(72+163)*4</f>
        <v>940</v>
      </c>
      <c r="G4" s="7" t="s">
        <v>87</v>
      </c>
      <c r="H4" s="8" t="s">
        <v>138</v>
      </c>
      <c r="I4" s="6">
        <f>(44+120)*8</f>
        <v>1312</v>
      </c>
    </row>
    <row r="5" spans="1:11" x14ac:dyDescent="0.5">
      <c r="A5" s="9"/>
      <c r="B5" s="20"/>
      <c r="C5" s="6"/>
      <c r="D5" s="9" t="s">
        <v>88</v>
      </c>
      <c r="E5" s="10" t="s">
        <v>89</v>
      </c>
      <c r="F5" s="6">
        <f t="shared" ref="F5:F9" si="0">(72+163)*4</f>
        <v>940</v>
      </c>
      <c r="G5" s="9" t="s">
        <v>90</v>
      </c>
      <c r="H5" s="10" t="s">
        <v>139</v>
      </c>
      <c r="I5" s="6">
        <f>(83+250)*4</f>
        <v>1332</v>
      </c>
    </row>
    <row r="6" spans="1:11" x14ac:dyDescent="0.5">
      <c r="A6" s="7"/>
      <c r="B6" s="8"/>
      <c r="C6" s="6"/>
      <c r="D6" s="7" t="s">
        <v>91</v>
      </c>
      <c r="E6" s="8" t="s">
        <v>92</v>
      </c>
      <c r="F6" s="6">
        <f t="shared" si="0"/>
        <v>940</v>
      </c>
      <c r="G6" s="11"/>
      <c r="H6" s="11"/>
      <c r="I6" s="6"/>
    </row>
    <row r="7" spans="1:11" x14ac:dyDescent="0.5">
      <c r="A7" s="9" t="s">
        <v>93</v>
      </c>
      <c r="B7" s="10" t="s">
        <v>159</v>
      </c>
      <c r="C7" s="6">
        <v>650</v>
      </c>
      <c r="D7" s="9" t="s">
        <v>94</v>
      </c>
      <c r="E7" s="10" t="s">
        <v>95</v>
      </c>
      <c r="F7" s="6">
        <f t="shared" si="0"/>
        <v>940</v>
      </c>
      <c r="G7" s="12"/>
      <c r="H7" s="12"/>
      <c r="I7" s="6"/>
    </row>
    <row r="8" spans="1:11" x14ac:dyDescent="0.5">
      <c r="A8" s="7"/>
      <c r="B8" s="8"/>
      <c r="C8" s="6"/>
      <c r="D8" s="7" t="s">
        <v>96</v>
      </c>
      <c r="E8" s="8" t="s">
        <v>97</v>
      </c>
      <c r="F8" s="6">
        <f t="shared" si="0"/>
        <v>940</v>
      </c>
      <c r="G8" s="11"/>
      <c r="H8" s="11"/>
      <c r="I8" s="6"/>
    </row>
    <row r="9" spans="1:11" x14ac:dyDescent="0.5">
      <c r="A9" s="9">
        <v>1929</v>
      </c>
      <c r="B9" s="10" t="s">
        <v>98</v>
      </c>
      <c r="C9" s="6">
        <v>1050</v>
      </c>
      <c r="D9" s="9" t="s">
        <v>99</v>
      </c>
      <c r="E9" s="10" t="s">
        <v>100</v>
      </c>
      <c r="F9" s="6">
        <f t="shared" si="0"/>
        <v>940</v>
      </c>
      <c r="G9" s="12"/>
      <c r="H9" s="12"/>
      <c r="I9" s="6"/>
    </row>
    <row r="10" spans="1:11" x14ac:dyDescent="0.5">
      <c r="A10" s="7">
        <v>1930</v>
      </c>
      <c r="B10" s="8" t="s">
        <v>101</v>
      </c>
      <c r="C10" s="6"/>
      <c r="D10" s="7" t="s">
        <v>102</v>
      </c>
      <c r="E10" s="8" t="s">
        <v>103</v>
      </c>
      <c r="F10" s="6">
        <f>(72+176)*4</f>
        <v>992</v>
      </c>
      <c r="G10" s="11"/>
      <c r="H10" s="11"/>
      <c r="I10" s="6"/>
    </row>
    <row r="11" spans="1:11" x14ac:dyDescent="0.5">
      <c r="A11" s="9" t="s">
        <v>104</v>
      </c>
      <c r="B11" s="10" t="s">
        <v>105</v>
      </c>
      <c r="C11" s="6"/>
      <c r="D11" s="9" t="s">
        <v>106</v>
      </c>
      <c r="E11" s="10" t="s">
        <v>107</v>
      </c>
      <c r="F11" s="6">
        <f t="shared" ref="F11:F12" si="1">(72+176)*4</f>
        <v>992</v>
      </c>
      <c r="G11" s="12"/>
      <c r="H11" s="12"/>
      <c r="I11" s="6"/>
    </row>
    <row r="12" spans="1:11" x14ac:dyDescent="0.5">
      <c r="A12" s="11"/>
      <c r="B12" s="11"/>
      <c r="C12" s="6"/>
      <c r="D12" s="7" t="s">
        <v>108</v>
      </c>
      <c r="E12" s="8" t="s">
        <v>109</v>
      </c>
      <c r="F12" s="6">
        <f t="shared" si="1"/>
        <v>992</v>
      </c>
      <c r="G12" s="11"/>
      <c r="H12" s="11"/>
      <c r="I12" s="6"/>
    </row>
    <row r="14" spans="1:11" x14ac:dyDescent="0.5">
      <c r="D14" s="5" t="s">
        <v>167</v>
      </c>
    </row>
    <row r="16" spans="1:11" x14ac:dyDescent="0.5">
      <c r="A16" s="21" t="s">
        <v>131</v>
      </c>
      <c r="B16" s="21"/>
      <c r="C16" s="21"/>
      <c r="D16" s="21"/>
      <c r="E16" s="21"/>
      <c r="F16" s="21"/>
      <c r="G16" s="21"/>
      <c r="H16" s="21"/>
      <c r="I16" s="21"/>
      <c r="J16" s="13"/>
      <c r="K16" s="13"/>
    </row>
    <row r="17" spans="1:9" x14ac:dyDescent="0.5">
      <c r="A17" s="23" t="s">
        <v>132</v>
      </c>
      <c r="B17" s="23"/>
      <c r="C17" s="6" t="s">
        <v>135</v>
      </c>
      <c r="D17" s="23" t="s">
        <v>133</v>
      </c>
      <c r="E17" s="23"/>
      <c r="F17" s="6" t="s">
        <v>135</v>
      </c>
      <c r="G17" s="23" t="s">
        <v>134</v>
      </c>
      <c r="H17" s="23"/>
      <c r="I17" s="6" t="s">
        <v>135</v>
      </c>
    </row>
    <row r="18" spans="1:9" x14ac:dyDescent="0.5">
      <c r="A18" s="7" t="s">
        <v>73</v>
      </c>
      <c r="B18" s="20" t="s">
        <v>110</v>
      </c>
      <c r="C18" s="6"/>
      <c r="D18" s="7" t="s">
        <v>111</v>
      </c>
      <c r="E18" s="8" t="s">
        <v>76</v>
      </c>
      <c r="F18" s="6">
        <f>(52+101)*4</f>
        <v>612</v>
      </c>
      <c r="G18" s="7">
        <v>1974</v>
      </c>
      <c r="H18" s="8" t="s">
        <v>137</v>
      </c>
      <c r="I18" s="6">
        <f>(66+133)*4</f>
        <v>796</v>
      </c>
    </row>
    <row r="19" spans="1:9" x14ac:dyDescent="0.5">
      <c r="A19" s="9" t="s">
        <v>74</v>
      </c>
      <c r="B19" s="20"/>
      <c r="C19" s="6">
        <f>176*4</f>
        <v>704</v>
      </c>
      <c r="D19" s="9">
        <v>1964</v>
      </c>
      <c r="E19" s="10" t="s">
        <v>77</v>
      </c>
      <c r="F19" s="6"/>
      <c r="G19" s="9" t="s">
        <v>83</v>
      </c>
      <c r="H19" s="10" t="s">
        <v>112</v>
      </c>
      <c r="I19" s="6"/>
    </row>
    <row r="20" spans="1:9" x14ac:dyDescent="0.5">
      <c r="A20" s="7" t="s">
        <v>75</v>
      </c>
      <c r="B20" s="20"/>
      <c r="C20" s="6"/>
      <c r="D20" s="7">
        <v>1966</v>
      </c>
      <c r="E20" s="8" t="s">
        <v>78</v>
      </c>
      <c r="F20" s="6"/>
      <c r="G20" s="7">
        <v>1983</v>
      </c>
      <c r="H20" s="8" t="s">
        <v>113</v>
      </c>
      <c r="I20" s="6"/>
    </row>
    <row r="21" spans="1:9" x14ac:dyDescent="0.5">
      <c r="A21" s="9" t="s">
        <v>114</v>
      </c>
      <c r="B21" s="10" t="s">
        <v>115</v>
      </c>
      <c r="C21" s="6">
        <f>176*4</f>
        <v>704</v>
      </c>
      <c r="D21" s="9">
        <v>1966</v>
      </c>
      <c r="E21" s="10" t="s">
        <v>79</v>
      </c>
      <c r="F21" s="6"/>
      <c r="G21" s="9" t="s">
        <v>84</v>
      </c>
      <c r="H21" s="10" t="s">
        <v>116</v>
      </c>
      <c r="I21" s="6"/>
    </row>
    <row r="22" spans="1:9" x14ac:dyDescent="0.5">
      <c r="A22" s="11"/>
      <c r="B22" s="11"/>
      <c r="C22" s="6"/>
      <c r="D22" s="7" t="s">
        <v>117</v>
      </c>
      <c r="E22" s="8" t="s">
        <v>80</v>
      </c>
      <c r="F22" s="6"/>
      <c r="G22" s="11"/>
      <c r="H22" s="11"/>
      <c r="I22" s="6"/>
    </row>
    <row r="23" spans="1:9" x14ac:dyDescent="0.5">
      <c r="A23" s="12"/>
      <c r="B23" s="12"/>
      <c r="C23" s="6"/>
      <c r="D23" s="9" t="s">
        <v>118</v>
      </c>
      <c r="E23" s="10" t="s">
        <v>81</v>
      </c>
      <c r="F23" s="6"/>
      <c r="G23" s="12"/>
      <c r="H23" s="12"/>
      <c r="I23" s="6"/>
    </row>
    <row r="24" spans="1:9" x14ac:dyDescent="0.5">
      <c r="A24" s="11"/>
      <c r="B24" s="11"/>
      <c r="C24" s="6"/>
      <c r="D24" s="7" t="s">
        <v>119</v>
      </c>
      <c r="E24" s="8" t="s">
        <v>82</v>
      </c>
      <c r="F24" s="6"/>
      <c r="G24" s="11"/>
      <c r="H24" s="11"/>
      <c r="I24" s="6"/>
    </row>
    <row r="28" spans="1:9" ht="15.75" customHeight="1" x14ac:dyDescent="0.5">
      <c r="C28" s="17"/>
    </row>
    <row r="29" spans="1:9" x14ac:dyDescent="0.5">
      <c r="C29" s="25"/>
    </row>
    <row r="30" spans="1:9" x14ac:dyDescent="0.5">
      <c r="C30" s="25"/>
    </row>
    <row r="31" spans="1:9" x14ac:dyDescent="0.5">
      <c r="C31" s="25"/>
    </row>
    <row r="32" spans="1:9" x14ac:dyDescent="0.5">
      <c r="C32" s="25"/>
    </row>
    <row r="33" spans="3:3" x14ac:dyDescent="0.5">
      <c r="C33" s="25"/>
    </row>
    <row r="34" spans="3:3" ht="63" x14ac:dyDescent="0.5">
      <c r="C34" s="25" t="s">
        <v>124</v>
      </c>
    </row>
    <row r="35" spans="3:3" x14ac:dyDescent="0.5">
      <c r="C35" s="25"/>
    </row>
    <row r="36" spans="3:3" x14ac:dyDescent="0.5">
      <c r="C36" s="25"/>
    </row>
    <row r="37" spans="3:3" x14ac:dyDescent="0.5">
      <c r="C37" s="25"/>
    </row>
    <row r="40" spans="3:3" x14ac:dyDescent="0.5">
      <c r="C40" s="5" t="s">
        <v>123</v>
      </c>
    </row>
  </sheetData>
  <mergeCells count="10">
    <mergeCell ref="B18:B20"/>
    <mergeCell ref="A16:I16"/>
    <mergeCell ref="B4:B5"/>
    <mergeCell ref="A2:K2"/>
    <mergeCell ref="A17:B17"/>
    <mergeCell ref="D17:E17"/>
    <mergeCell ref="G17:H17"/>
    <mergeCell ref="A3:B3"/>
    <mergeCell ref="D3:E3"/>
    <mergeCell ref="G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E57C4-E7B3-4A75-86ED-D5A767639757}">
  <dimension ref="D4:I19"/>
  <sheetViews>
    <sheetView topLeftCell="C1" workbookViewId="0">
      <selection activeCell="E19" sqref="E19"/>
    </sheetView>
  </sheetViews>
  <sheetFormatPr defaultRowHeight="14.25" x14ac:dyDescent="0.45"/>
  <cols>
    <col min="4" max="4" width="23.9296875" customWidth="1"/>
    <col min="5" max="6" width="16.796875" customWidth="1"/>
  </cols>
  <sheetData>
    <row r="4" spans="4:9" x14ac:dyDescent="0.45">
      <c r="D4" s="26" t="s">
        <v>140</v>
      </c>
      <c r="E4" s="26" t="s">
        <v>141</v>
      </c>
      <c r="F4" s="26" t="s">
        <v>148</v>
      </c>
      <c r="G4" s="26" t="s">
        <v>142</v>
      </c>
      <c r="H4" s="26" t="s">
        <v>149</v>
      </c>
      <c r="I4" s="26" t="s">
        <v>151</v>
      </c>
    </row>
    <row r="5" spans="4:9" x14ac:dyDescent="0.45">
      <c r="D5" s="4" t="s">
        <v>70</v>
      </c>
      <c r="E5">
        <f>28+35</f>
        <v>63</v>
      </c>
      <c r="H5" t="s">
        <v>160</v>
      </c>
    </row>
    <row r="6" spans="4:9" x14ac:dyDescent="0.45">
      <c r="D6" t="s">
        <v>143</v>
      </c>
      <c r="E6">
        <f>23+41</f>
        <v>64</v>
      </c>
      <c r="H6" t="s">
        <v>161</v>
      </c>
    </row>
    <row r="7" spans="4:9" x14ac:dyDescent="0.45">
      <c r="D7" t="s">
        <v>144</v>
      </c>
      <c r="E7">
        <f>24+40</f>
        <v>64</v>
      </c>
      <c r="H7" t="s">
        <v>161</v>
      </c>
      <c r="I7" t="s">
        <v>152</v>
      </c>
    </row>
    <row r="8" spans="4:9" x14ac:dyDescent="0.45">
      <c r="D8" t="s">
        <v>145</v>
      </c>
      <c r="E8">
        <v>70</v>
      </c>
      <c r="H8" t="s">
        <v>161</v>
      </c>
    </row>
    <row r="9" spans="4:9" x14ac:dyDescent="0.45">
      <c r="D9" s="1" t="s">
        <v>146</v>
      </c>
      <c r="E9">
        <f>32+27</f>
        <v>59</v>
      </c>
      <c r="H9" t="s">
        <v>161</v>
      </c>
    </row>
    <row r="10" spans="4:9" x14ac:dyDescent="0.45">
      <c r="D10" s="1" t="s">
        <v>147</v>
      </c>
      <c r="E10">
        <f>30+40</f>
        <v>70</v>
      </c>
      <c r="F10">
        <v>2</v>
      </c>
      <c r="G10">
        <f>E10*2</f>
        <v>140</v>
      </c>
      <c r="H10" t="s">
        <v>162</v>
      </c>
    </row>
    <row r="11" spans="4:9" x14ac:dyDescent="0.45">
      <c r="D11" s="1" t="s">
        <v>150</v>
      </c>
      <c r="F11" s="1"/>
      <c r="G11" s="1">
        <f>60+102</f>
        <v>162</v>
      </c>
      <c r="H11" t="s">
        <v>162</v>
      </c>
    </row>
    <row r="12" spans="4:9" x14ac:dyDescent="0.45">
      <c r="D12" s="1" t="s">
        <v>153</v>
      </c>
      <c r="G12">
        <v>180</v>
      </c>
      <c r="H12" t="s">
        <v>155</v>
      </c>
    </row>
    <row r="13" spans="4:9" x14ac:dyDescent="0.45">
      <c r="D13" s="1" t="s">
        <v>154</v>
      </c>
      <c r="H13" t="s">
        <v>156</v>
      </c>
    </row>
    <row r="14" spans="4:9" x14ac:dyDescent="0.45">
      <c r="D14" s="1" t="s">
        <v>157</v>
      </c>
      <c r="E14" t="s">
        <v>158</v>
      </c>
      <c r="G14">
        <f>95+110</f>
        <v>205</v>
      </c>
    </row>
    <row r="18" spans="4:5" x14ac:dyDescent="0.45">
      <c r="D18" t="s">
        <v>163</v>
      </c>
      <c r="E18" t="s">
        <v>164</v>
      </c>
    </row>
    <row r="19" spans="4:5" x14ac:dyDescent="0.45">
      <c r="D19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22F2E-F62D-4B57-9755-AB8C259DE463}">
  <dimension ref="A1:I46"/>
  <sheetViews>
    <sheetView workbookViewId="0">
      <selection activeCell="B1" sqref="B1"/>
    </sheetView>
  </sheetViews>
  <sheetFormatPr defaultRowHeight="14.25" x14ac:dyDescent="0.45"/>
  <cols>
    <col min="1" max="6" width="17.46484375" customWidth="1"/>
  </cols>
  <sheetData>
    <row r="1" spans="1:9" x14ac:dyDescent="0.45">
      <c r="A1" t="s">
        <v>149</v>
      </c>
      <c r="B1" t="s">
        <v>121</v>
      </c>
    </row>
    <row r="2" spans="1:9" x14ac:dyDescent="0.45">
      <c r="B2" s="14" t="s">
        <v>120</v>
      </c>
    </row>
    <row r="9" spans="1:9" x14ac:dyDescent="0.45">
      <c r="A9" s="19" t="s">
        <v>122</v>
      </c>
      <c r="C9" s="15"/>
      <c r="D9" s="15"/>
      <c r="E9" s="15"/>
      <c r="F9" s="15"/>
      <c r="G9" s="15"/>
      <c r="H9" s="15"/>
      <c r="I9" s="15"/>
    </row>
    <row r="10" spans="1:9" x14ac:dyDescent="0.45">
      <c r="A10" s="19"/>
    </row>
    <row r="11" spans="1:9" x14ac:dyDescent="0.45">
      <c r="A11" s="19"/>
      <c r="B11" t="s">
        <v>169</v>
      </c>
      <c r="C11" t="s">
        <v>171</v>
      </c>
      <c r="D11" t="s">
        <v>170</v>
      </c>
    </row>
    <row r="12" spans="1:9" x14ac:dyDescent="0.45">
      <c r="A12" s="16"/>
      <c r="B12">
        <v>1955</v>
      </c>
      <c r="C12">
        <v>202670</v>
      </c>
    </row>
    <row r="13" spans="1:9" x14ac:dyDescent="0.45">
      <c r="A13" s="16"/>
      <c r="B13">
        <v>1956</v>
      </c>
      <c r="C13">
        <v>189900</v>
      </c>
    </row>
    <row r="14" spans="1:9" x14ac:dyDescent="0.45">
      <c r="A14" s="16">
        <f t="shared" ref="A13:A46" si="0">C14/D14</f>
        <v>38.628124364966467</v>
      </c>
      <c r="B14">
        <v>1957</v>
      </c>
      <c r="C14">
        <v>190089</v>
      </c>
      <c r="D14">
        <v>4921</v>
      </c>
    </row>
    <row r="15" spans="1:9" x14ac:dyDescent="0.45">
      <c r="A15" s="16">
        <f t="shared" si="0"/>
        <v>38.959811287786124</v>
      </c>
      <c r="B15">
        <v>1958</v>
      </c>
      <c r="C15">
        <v>222967</v>
      </c>
      <c r="D15">
        <v>5723</v>
      </c>
    </row>
    <row r="16" spans="1:9" x14ac:dyDescent="0.45">
      <c r="A16" s="16">
        <f t="shared" si="0"/>
        <v>38.991190132948901</v>
      </c>
      <c r="B16">
        <v>1959</v>
      </c>
      <c r="C16">
        <v>243422</v>
      </c>
      <c r="D16">
        <v>6243</v>
      </c>
    </row>
    <row r="17" spans="1:4" x14ac:dyDescent="0.45">
      <c r="A17" s="16">
        <f t="shared" si="0"/>
        <v>38.704621664965735</v>
      </c>
      <c r="B17">
        <v>1960</v>
      </c>
      <c r="C17">
        <v>265475</v>
      </c>
      <c r="D17">
        <v>6859</v>
      </c>
    </row>
    <row r="18" spans="1:4" x14ac:dyDescent="0.45">
      <c r="A18" s="16">
        <f t="shared" si="0"/>
        <v>38.842810722989441</v>
      </c>
      <c r="B18">
        <v>1961</v>
      </c>
      <c r="C18">
        <v>286893</v>
      </c>
      <c r="D18">
        <v>7386</v>
      </c>
    </row>
    <row r="19" spans="1:4" x14ac:dyDescent="0.45">
      <c r="A19" s="16">
        <f t="shared" si="0"/>
        <v>36.731106745252127</v>
      </c>
      <c r="B19">
        <v>1962</v>
      </c>
      <c r="C19">
        <v>280442</v>
      </c>
      <c r="D19">
        <v>7635</v>
      </c>
    </row>
    <row r="20" spans="1:4" x14ac:dyDescent="0.45">
      <c r="A20" s="16">
        <f t="shared" si="0"/>
        <v>36.604595978518795</v>
      </c>
      <c r="B20">
        <v>1963</v>
      </c>
      <c r="C20">
        <v>293093</v>
      </c>
      <c r="D20">
        <v>8007</v>
      </c>
    </row>
    <row r="21" spans="1:4" x14ac:dyDescent="0.45">
      <c r="A21" s="16">
        <f t="shared" si="0"/>
        <v>36.57216064831367</v>
      </c>
      <c r="B21">
        <v>1964</v>
      </c>
      <c r="C21">
        <v>306877</v>
      </c>
      <c r="D21">
        <v>8391</v>
      </c>
    </row>
    <row r="22" spans="1:4" x14ac:dyDescent="0.45">
      <c r="A22" s="16">
        <f t="shared" si="0"/>
        <v>36.539633799613327</v>
      </c>
      <c r="B22">
        <v>1965</v>
      </c>
      <c r="C22">
        <v>321293</v>
      </c>
      <c r="D22">
        <v>8793</v>
      </c>
    </row>
    <row r="23" spans="1:4" x14ac:dyDescent="0.45">
      <c r="A23" s="16">
        <f t="shared" si="0"/>
        <v>36.723306794634091</v>
      </c>
      <c r="B23">
        <v>1966</v>
      </c>
      <c r="C23">
        <v>336716</v>
      </c>
      <c r="D23">
        <v>9169</v>
      </c>
    </row>
    <row r="24" spans="1:4" x14ac:dyDescent="0.45">
      <c r="A24" s="16">
        <f t="shared" si="0"/>
        <v>36.521086865295842</v>
      </c>
      <c r="B24">
        <v>1967</v>
      </c>
      <c r="C24">
        <v>348119</v>
      </c>
      <c r="D24">
        <v>9532</v>
      </c>
    </row>
    <row r="25" spans="1:4" x14ac:dyDescent="0.45">
      <c r="A25" s="16">
        <f t="shared" si="0"/>
        <v>36.490889066880257</v>
      </c>
      <c r="B25">
        <v>1968</v>
      </c>
      <c r="C25">
        <v>364471</v>
      </c>
      <c r="D25">
        <v>9988</v>
      </c>
    </row>
    <row r="26" spans="1:4" x14ac:dyDescent="0.45">
      <c r="A26" s="16">
        <f t="shared" si="0"/>
        <v>36.814392107553921</v>
      </c>
      <c r="B26">
        <v>1969</v>
      </c>
      <c r="C26">
        <v>380624</v>
      </c>
      <c r="D26">
        <v>10339</v>
      </c>
    </row>
    <row r="27" spans="1:4" x14ac:dyDescent="0.45">
      <c r="A27" s="16">
        <f t="shared" si="0"/>
        <v>37.547681938245745</v>
      </c>
      <c r="B27">
        <v>1970</v>
      </c>
      <c r="C27">
        <v>412236</v>
      </c>
      <c r="D27">
        <v>10979</v>
      </c>
    </row>
    <row r="28" spans="1:4" x14ac:dyDescent="0.45">
      <c r="A28" s="16">
        <f t="shared" si="0"/>
        <v>37.869401310474821</v>
      </c>
      <c r="B28">
        <v>1971</v>
      </c>
      <c r="C28">
        <v>421903</v>
      </c>
      <c r="D28">
        <v>11141</v>
      </c>
    </row>
    <row r="29" spans="1:4" x14ac:dyDescent="0.45">
      <c r="A29" s="16">
        <f t="shared" si="0"/>
        <v>38.097208597164006</v>
      </c>
      <c r="B29">
        <v>1972</v>
      </c>
      <c r="C29">
        <v>427184</v>
      </c>
      <c r="D29">
        <v>11213</v>
      </c>
    </row>
    <row r="30" spans="1:4" x14ac:dyDescent="0.45">
      <c r="A30" s="16">
        <f t="shared" si="0"/>
        <v>38.136204988507707</v>
      </c>
      <c r="B30">
        <v>1973</v>
      </c>
      <c r="C30">
        <v>447986</v>
      </c>
      <c r="D30">
        <v>11747</v>
      </c>
    </row>
    <row r="31" spans="1:4" x14ac:dyDescent="0.45">
      <c r="A31" s="16">
        <f t="shared" si="0"/>
        <v>38.545780520346895</v>
      </c>
      <c r="B31">
        <v>1974</v>
      </c>
      <c r="C31">
        <v>462241</v>
      </c>
      <c r="D31">
        <v>11992</v>
      </c>
    </row>
    <row r="32" spans="1:4" x14ac:dyDescent="0.45">
      <c r="A32" s="16">
        <f t="shared" si="0"/>
        <v>39.014333964906498</v>
      </c>
      <c r="B32">
        <v>1975</v>
      </c>
      <c r="C32">
        <v>473595</v>
      </c>
      <c r="D32">
        <v>12139</v>
      </c>
    </row>
    <row r="33" spans="1:4" x14ac:dyDescent="0.45">
      <c r="A33" s="16">
        <f t="shared" si="0"/>
        <v>39.210957127806147</v>
      </c>
      <c r="B33">
        <v>1976</v>
      </c>
      <c r="C33">
        <v>483824</v>
      </c>
      <c r="D33">
        <v>12339</v>
      </c>
    </row>
    <row r="34" spans="1:4" x14ac:dyDescent="0.45">
      <c r="A34" s="16">
        <f t="shared" si="0"/>
        <v>39.304871152758707</v>
      </c>
      <c r="B34">
        <v>1977</v>
      </c>
      <c r="C34">
        <v>486555</v>
      </c>
      <c r="D34">
        <v>12379</v>
      </c>
    </row>
    <row r="35" spans="1:4" x14ac:dyDescent="0.45">
      <c r="A35" s="16">
        <f t="shared" si="0"/>
        <v>39.701761345604567</v>
      </c>
      <c r="B35">
        <v>1978</v>
      </c>
      <c r="C35">
        <v>500401</v>
      </c>
      <c r="D35">
        <v>12604</v>
      </c>
    </row>
    <row r="36" spans="1:4" x14ac:dyDescent="0.45">
      <c r="A36" s="16">
        <f t="shared" si="0"/>
        <v>40.105855501337949</v>
      </c>
      <c r="B36">
        <v>1979</v>
      </c>
      <c r="C36">
        <v>509585</v>
      </c>
      <c r="D36">
        <v>12706</v>
      </c>
    </row>
    <row r="37" spans="1:4" x14ac:dyDescent="0.45">
      <c r="A37" s="16">
        <f t="shared" si="0"/>
        <v>40.155525238744886</v>
      </c>
      <c r="B37">
        <v>1980</v>
      </c>
      <c r="C37">
        <v>500378</v>
      </c>
      <c r="D37">
        <v>12461</v>
      </c>
    </row>
    <row r="38" spans="1:4" x14ac:dyDescent="0.45">
      <c r="A38" s="16">
        <f t="shared" si="0"/>
        <v>34.178292969019523</v>
      </c>
      <c r="B38">
        <v>1981</v>
      </c>
      <c r="C38">
        <v>495346</v>
      </c>
      <c r="D38">
        <v>14493</v>
      </c>
    </row>
    <row r="39" spans="1:4" x14ac:dyDescent="0.45">
      <c r="A39" s="16">
        <f t="shared" si="0"/>
        <v>39.529407555809961</v>
      </c>
      <c r="B39">
        <v>1982</v>
      </c>
      <c r="C39">
        <v>552463</v>
      </c>
      <c r="D39">
        <v>13976</v>
      </c>
    </row>
    <row r="40" spans="1:4" x14ac:dyDescent="0.45">
      <c r="A40" s="16">
        <f t="shared" si="0"/>
        <v>39.634612578432801</v>
      </c>
      <c r="B40">
        <v>1983</v>
      </c>
      <c r="C40">
        <v>543232</v>
      </c>
      <c r="D40">
        <v>13706</v>
      </c>
    </row>
    <row r="41" spans="1:4" x14ac:dyDescent="0.45">
      <c r="A41" s="16">
        <f t="shared" si="0"/>
        <v>39.478793178836902</v>
      </c>
      <c r="B41">
        <v>1984</v>
      </c>
      <c r="C41">
        <v>541728</v>
      </c>
      <c r="D41">
        <v>13722</v>
      </c>
    </row>
    <row r="42" spans="1:4" x14ac:dyDescent="0.45">
      <c r="A42" s="16">
        <f t="shared" si="0"/>
        <v>39.231453789481364</v>
      </c>
      <c r="B42">
        <v>1985</v>
      </c>
      <c r="C42">
        <v>537824</v>
      </c>
      <c r="D42">
        <v>13709</v>
      </c>
    </row>
    <row r="43" spans="1:4" x14ac:dyDescent="0.45">
      <c r="A43" s="16">
        <f t="shared" si="0"/>
        <v>39.25915049065253</v>
      </c>
      <c r="B43">
        <v>1986</v>
      </c>
      <c r="C43">
        <v>548097</v>
      </c>
      <c r="D43">
        <v>13961</v>
      </c>
    </row>
    <row r="44" spans="1:4" x14ac:dyDescent="0.45">
      <c r="A44" s="16">
        <f t="shared" si="0"/>
        <v>39.385487369673221</v>
      </c>
      <c r="B44">
        <v>1987</v>
      </c>
      <c r="C44">
        <v>562858</v>
      </c>
      <c r="D44">
        <v>14291</v>
      </c>
    </row>
    <row r="45" spans="1:4" x14ac:dyDescent="0.45">
      <c r="A45" s="16">
        <f t="shared" si="0"/>
        <v>39.447644345030056</v>
      </c>
      <c r="B45">
        <v>1988</v>
      </c>
      <c r="C45">
        <v>564338</v>
      </c>
      <c r="D45">
        <v>14306</v>
      </c>
    </row>
    <row r="46" spans="1:4" x14ac:dyDescent="0.45">
      <c r="A46" s="16">
        <f t="shared" si="0"/>
        <v>39.618484060747022</v>
      </c>
      <c r="B46">
        <v>1989</v>
      </c>
      <c r="C46">
        <v>579143</v>
      </c>
      <c r="D46">
        <v>14618</v>
      </c>
    </row>
  </sheetData>
  <mergeCells count="1">
    <mergeCell ref="A9:A11"/>
  </mergeCells>
  <hyperlinks>
    <hyperlink ref="B2" r:id="rId1" display="https://procitybahn.de/kapazitaet-busmodelle/" xr:uid="{0EA97445-8235-49FC-8C41-B73E7B0677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SBahn</vt:lpstr>
      <vt:lpstr>S-Bahn</vt:lpstr>
      <vt:lpstr>U-Bahn</vt:lpstr>
      <vt:lpstr>Tram</vt:lpstr>
      <vt:lpstr>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Baumann</dc:creator>
  <cp:lastModifiedBy>Noah Baumann</cp:lastModifiedBy>
  <dcterms:created xsi:type="dcterms:W3CDTF">2023-09-09T16:12:36Z</dcterms:created>
  <dcterms:modified xsi:type="dcterms:W3CDTF">2024-04-24T18:56:23Z</dcterms:modified>
</cp:coreProperties>
</file>